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icing\DUoS\April 2022\models - no links\"/>
    </mc:Choice>
  </mc:AlternateContent>
  <xr:revisionPtr revIDLastSave="0" documentId="10_ncr:100000_{863157FC-E7B2-4FF3-ABB4-E26CB606102F}" xr6:coauthVersionLast="31" xr6:coauthVersionMax="44" xr10:uidLastSave="{00000000-0000-0000-0000-000000000000}"/>
  <workbookProtection lockStructure="1"/>
  <bookViews>
    <workbookView xWindow="-120" yWindow="-120" windowWidth="29040" windowHeight="1584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_xlnm._FilterDatabase" localSheetId="10" hidden="1">'ARP_Inputs by customer type'!$F$6:$S$2134</definedName>
    <definedName name="_xlnm._FilterDatabase" localSheetId="11" hidden="1">'ARP_Inputs by network level'!$B$5:$S$220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3" i="98" l="1"/>
  <c r="L96" i="98" s="1"/>
  <c r="L95" i="98"/>
  <c r="K89" i="98"/>
  <c r="L89" i="98"/>
  <c r="M89" i="98"/>
  <c r="N89" i="98"/>
  <c r="K90" i="98"/>
  <c r="K91" i="98" s="1"/>
  <c r="L82" i="98"/>
  <c r="M82" i="98"/>
  <c r="N82" i="98"/>
  <c r="L72" i="98"/>
  <c r="M72" i="98"/>
  <c r="N72" i="98"/>
  <c r="L59" i="98"/>
  <c r="M59" i="98"/>
  <c r="N59" i="98"/>
  <c r="L47" i="98"/>
  <c r="L48" i="98" s="1"/>
  <c r="M47" i="98"/>
  <c r="M48" i="98" s="1"/>
  <c r="N47" i="98"/>
  <c r="N48" i="98" s="1"/>
  <c r="M75" i="98" l="1"/>
  <c r="L75" i="98"/>
  <c r="L83" i="98" s="1"/>
  <c r="L93" i="98" s="1"/>
  <c r="O89" i="98"/>
  <c r="N75" i="98"/>
  <c r="N83" i="98" s="1"/>
  <c r="N93" i="98" s="1"/>
  <c r="L90" i="98" l="1"/>
  <c r="L91" i="98" s="1"/>
  <c r="M95" i="98"/>
  <c r="M83" i="98"/>
  <c r="M90" i="98" s="1"/>
  <c r="M91" i="98" s="1"/>
  <c r="N95" i="98"/>
  <c r="N90" i="98"/>
  <c r="N91" i="98" s="1"/>
  <c r="N94" i="98"/>
  <c r="L94" i="98"/>
  <c r="M93" i="98" l="1"/>
  <c r="M96" i="98" s="1"/>
  <c r="N96" i="98"/>
  <c r="M94" i="98"/>
  <c r="P121" i="98" l="1"/>
  <c r="S82" i="98" l="1"/>
  <c r="R82" i="98"/>
  <c r="Q82" i="98"/>
  <c r="P82" i="98"/>
  <c r="S72" i="98"/>
  <c r="R72" i="98"/>
  <c r="Q72" i="98"/>
  <c r="P72" i="98"/>
  <c r="S59" i="98"/>
  <c r="R59" i="98"/>
  <c r="Q59" i="98"/>
  <c r="P59" i="98"/>
  <c r="S47" i="98"/>
  <c r="S48" i="98" s="1"/>
  <c r="R47" i="98"/>
  <c r="R48" i="98" s="1"/>
  <c r="Q47" i="98"/>
  <c r="Q48" i="98" s="1"/>
  <c r="P47" i="98"/>
  <c r="P48" i="98" s="1"/>
  <c r="R75" i="98" l="1"/>
  <c r="S75" i="98"/>
  <c r="S83" i="98" s="1"/>
  <c r="Q75" i="98"/>
  <c r="P75" i="98"/>
  <c r="Q89" i="98"/>
  <c r="P89" i="98"/>
  <c r="Q95" i="98" l="1"/>
  <c r="P83" i="98"/>
  <c r="P93" i="98" s="1"/>
  <c r="R95" i="98"/>
  <c r="Q83" i="98"/>
  <c r="S93" i="98"/>
  <c r="S94" i="98" s="1"/>
  <c r="R89" i="98"/>
  <c r="S89" i="98"/>
  <c r="S90" i="98" s="1"/>
  <c r="S91" i="98" s="1"/>
  <c r="R83" i="98"/>
  <c r="S95" i="98"/>
  <c r="P90" i="98" l="1"/>
  <c r="P91" i="98" s="1"/>
  <c r="R93" i="98"/>
  <c r="R90" i="98"/>
  <c r="R91" i="98" s="1"/>
  <c r="Q93" i="98"/>
  <c r="Q90" i="98"/>
  <c r="Q91" i="98" s="1"/>
  <c r="R94" i="98" l="1"/>
  <c r="S96" i="98"/>
  <c r="R96" i="98"/>
  <c r="Q94" i="98"/>
  <c r="Q96" i="98"/>
  <c r="P94" i="98"/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N166" i="196" s="1"/>
  <c r="AN174" i="196" s="1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7" i="195"/>
  <c r="Y45" i="195" s="1"/>
  <c r="X27" i="195"/>
  <c r="X45" i="195" s="1"/>
  <c r="W27" i="195"/>
  <c r="W45" i="195" s="1"/>
  <c r="V27" i="195"/>
  <c r="U27" i="195"/>
  <c r="U45" i="195" s="1"/>
  <c r="T27" i="195"/>
  <c r="T45" i="195" s="1"/>
  <c r="S27" i="195"/>
  <c r="S45" i="195" s="1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K45" i="195" s="1"/>
  <c r="J27" i="195"/>
  <c r="Y26" i="195"/>
  <c r="Y44" i="195" s="1"/>
  <c r="X26" i="195"/>
  <c r="X44" i="195" s="1"/>
  <c r="X46" i="195" s="1"/>
  <c r="W26" i="195"/>
  <c r="W44" i="195" s="1"/>
  <c r="V26" i="195"/>
  <c r="U26" i="195"/>
  <c r="U44" i="195" s="1"/>
  <c r="T26" i="195"/>
  <c r="T44" i="195" s="1"/>
  <c r="T46" i="195" s="1"/>
  <c r="T29" i="196" s="1"/>
  <c r="S26" i="195"/>
  <c r="S44" i="195" s="1"/>
  <c r="R26" i="195"/>
  <c r="R44" i="195" s="1"/>
  <c r="Q26" i="195"/>
  <c r="Q44" i="195" s="1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T88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4" i="184" s="1"/>
  <c r="S306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3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2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Q52" i="181"/>
  <c r="Q51" i="181"/>
  <c r="J51" i="181"/>
  <c r="Q50" i="181"/>
  <c r="L50" i="181"/>
  <c r="Q48" i="181"/>
  <c r="Q47" i="181"/>
  <c r="J47" i="181"/>
  <c r="Q46" i="181"/>
  <c r="Q34" i="18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Q32" i="181"/>
  <c r="P32" i="181"/>
  <c r="P50" i="181" s="1"/>
  <c r="O32" i="181"/>
  <c r="O50" i="181" s="1"/>
  <c r="N32" i="181"/>
  <c r="N50" i="181" s="1"/>
  <c r="M32" i="181"/>
  <c r="M50" i="181" s="1"/>
  <c r="L32" i="18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9" i="181" s="1"/>
  <c r="N30" i="181"/>
  <c r="N49" i="181" s="1"/>
  <c r="M30" i="181"/>
  <c r="M49" i="181" s="1"/>
  <c r="L30" i="181"/>
  <c r="L48" i="181" s="1"/>
  <c r="K30" i="181"/>
  <c r="K49" i="181" s="1"/>
  <c r="J30" i="181"/>
  <c r="J49" i="181" s="1"/>
  <c r="Q29" i="18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Q28" i="18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Y190" i="177"/>
  <c r="X190" i="177"/>
  <c r="W190" i="177"/>
  <c r="V190" i="177"/>
  <c r="U190" i="177"/>
  <c r="T190" i="177"/>
  <c r="S190" i="177"/>
  <c r="R190" i="177"/>
  <c r="Q190" i="177"/>
  <c r="P190" i="177"/>
  <c r="O190" i="177"/>
  <c r="N190" i="177"/>
  <c r="M190" i="177"/>
  <c r="L190" i="177"/>
  <c r="K190" i="177"/>
  <c r="J190" i="177"/>
  <c r="H187" i="177" a="1"/>
  <c r="H187" i="177" s="1"/>
  <c r="A1" i="177"/>
  <c r="H191" i="177" l="1"/>
  <c r="H193" i="177"/>
  <c r="M48" i="181"/>
  <c r="L49" i="181"/>
  <c r="AK171" i="197"/>
  <c r="AK76" i="198" s="1"/>
  <c r="T75" i="194"/>
  <c r="O104" i="196"/>
  <c r="H190" i="177"/>
  <c r="H196" i="177" s="1"/>
  <c r="J21" i="183"/>
  <c r="J23" i="183"/>
  <c r="J25" i="183"/>
  <c r="J27" i="183"/>
  <c r="J29" i="183"/>
  <c r="J31" i="183"/>
  <c r="J33" i="183"/>
  <c r="J35" i="183"/>
  <c r="S246" i="184"/>
  <c r="S256" i="184"/>
  <c r="S258" i="184" s="1"/>
  <c r="S282" i="184"/>
  <c r="S284" i="184" s="1"/>
  <c r="S294" i="184"/>
  <c r="S296" i="184" s="1"/>
  <c r="S297" i="184" s="1"/>
  <c r="S189" i="186" s="1"/>
  <c r="S305" i="184"/>
  <c r="S318" i="184"/>
  <c r="S60" i="197" s="1"/>
  <c r="AI78" i="197" s="1"/>
  <c r="S324" i="184"/>
  <c r="S66" i="197" s="1"/>
  <c r="AI84" i="197" s="1"/>
  <c r="S328" i="184"/>
  <c r="S70" i="197" s="1"/>
  <c r="AI88" i="197" s="1"/>
  <c r="T85" i="194"/>
  <c r="O48" i="181"/>
  <c r="H192" i="177"/>
  <c r="K21" i="183"/>
  <c r="K23" i="183"/>
  <c r="K25" i="183"/>
  <c r="K27" i="183"/>
  <c r="K29" i="183"/>
  <c r="K31" i="183"/>
  <c r="K33" i="183"/>
  <c r="K35" i="183"/>
  <c r="S257" i="184"/>
  <c r="S271" i="184"/>
  <c r="S273" i="184" s="1"/>
  <c r="S285" i="184"/>
  <c r="S315" i="184"/>
  <c r="S335" i="184" s="1"/>
  <c r="S319" i="184"/>
  <c r="S61" i="197" s="1"/>
  <c r="AI79" i="197" s="1"/>
  <c r="S325" i="184"/>
  <c r="S329" i="184"/>
  <c r="S71" i="197" s="1"/>
  <c r="AI89" i="197" s="1"/>
  <c r="T73" i="194"/>
  <c r="T87" i="194"/>
  <c r="J48" i="181"/>
  <c r="M21" i="183"/>
  <c r="M23" i="183"/>
  <c r="M25" i="183"/>
  <c r="M27" i="183"/>
  <c r="M29" i="183"/>
  <c r="M31" i="183"/>
  <c r="M33" i="183"/>
  <c r="M35" i="183"/>
  <c r="S234" i="184"/>
  <c r="S236" i="184" s="1"/>
  <c r="S316" i="184"/>
  <c r="S58" i="197" s="1"/>
  <c r="AI76" i="197" s="1"/>
  <c r="S320" i="184"/>
  <c r="S62" i="197" s="1"/>
  <c r="AI80" i="197" s="1"/>
  <c r="S326" i="184"/>
  <c r="S330" i="184"/>
  <c r="S72" i="197" s="1"/>
  <c r="AI90" i="197" s="1"/>
  <c r="S107" i="196"/>
  <c r="AC111" i="196"/>
  <c r="Y109" i="196"/>
  <c r="AK168" i="197"/>
  <c r="AK73" i="198" s="1"/>
  <c r="H194" i="177"/>
  <c r="J22" i="183"/>
  <c r="J24" i="183"/>
  <c r="J26" i="183"/>
  <c r="J28" i="183"/>
  <c r="J30" i="183"/>
  <c r="J32" i="183"/>
  <c r="J34" i="183"/>
  <c r="J36" i="183"/>
  <c r="S235" i="184"/>
  <c r="S245" i="184"/>
  <c r="S247" i="184" s="1"/>
  <c r="S317" i="184"/>
  <c r="S59" i="197" s="1"/>
  <c r="AI77" i="197" s="1"/>
  <c r="S321" i="184"/>
  <c r="S63" i="197" s="1"/>
  <c r="AI81" i="197" s="1"/>
  <c r="T76" i="194"/>
  <c r="Y93" i="194"/>
  <c r="AK170" i="197"/>
  <c r="AK75" i="198" s="1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U46" i="195"/>
  <c r="U29" i="196" s="1"/>
  <c r="AK48" i="196" s="1"/>
  <c r="AK47" i="197" s="1"/>
  <c r="M46" i="195"/>
  <c r="M29" i="196" s="1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46" i="195"/>
  <c r="Y29" i="196" s="1"/>
  <c r="AO48" i="196" s="1"/>
  <c r="AO47" i="197" s="1"/>
  <c r="K46" i="195"/>
  <c r="K29" i="196" s="1"/>
  <c r="K48" i="196" s="1"/>
  <c r="K47" i="197" s="1"/>
  <c r="R46" i="195"/>
  <c r="R29" i="196" s="1"/>
  <c r="AH48" i="196" s="1"/>
  <c r="AH47" i="197" s="1"/>
  <c r="S307" i="184"/>
  <c r="S308" i="184" s="1"/>
  <c r="W46" i="195"/>
  <c r="W29" i="196" s="1"/>
  <c r="AM48" i="196" s="1"/>
  <c r="AM47" i="197" s="1"/>
  <c r="W307" i="184"/>
  <c r="S46" i="195"/>
  <c r="S29" i="196" s="1"/>
  <c r="AI48" i="196" s="1"/>
  <c r="AI47" i="197" s="1"/>
  <c r="W296" i="184"/>
  <c r="X296" i="184"/>
  <c r="W274" i="184"/>
  <c r="Q46" i="195"/>
  <c r="Q29" i="196" s="1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S67" i="197"/>
  <c r="AI85" i="197" s="1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86" i="193"/>
  <c r="L99" i="192"/>
  <c r="L117" i="191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S68" i="197"/>
  <c r="AI86" i="197" s="1"/>
  <c r="M83" i="193"/>
  <c r="M96" i="192"/>
  <c r="M114" i="191"/>
  <c r="M25" i="186"/>
  <c r="M85" i="193"/>
  <c r="M98" i="192"/>
  <c r="M116" i="191"/>
  <c r="M27" i="186"/>
  <c r="M86" i="193"/>
  <c r="M99" i="192"/>
  <c r="M117" i="191"/>
  <c r="M28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0" i="196"/>
  <c r="X110" i="196"/>
  <c r="AG110" i="196"/>
  <c r="AI45" i="196"/>
  <c r="AI25" i="197" s="1"/>
  <c r="AI115" i="197" s="1"/>
  <c r="AJ45" i="196"/>
  <c r="AJ25" i="197" s="1"/>
  <c r="AJ115" i="197" s="1"/>
  <c r="AJ48" i="196"/>
  <c r="AJ47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111" i="198" s="1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107" i="198" s="1"/>
  <c r="AK34" i="198"/>
  <c r="AK106" i="198" s="1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33" i="198"/>
  <c r="AO39" i="198"/>
  <c r="AO38" i="198"/>
  <c r="AI39" i="198"/>
  <c r="AI111" i="198" s="1"/>
  <c r="AM106" i="198" l="1"/>
  <c r="S340" i="184"/>
  <c r="S339" i="184"/>
  <c r="AO111" i="198"/>
  <c r="AM107" i="198"/>
  <c r="W308" i="184"/>
  <c r="S286" i="184"/>
  <c r="S188" i="186" s="1"/>
  <c r="S191" i="186" s="1"/>
  <c r="S192" i="186" s="1"/>
  <c r="V286" i="184"/>
  <c r="V188" i="186" s="1"/>
  <c r="S337" i="184"/>
  <c r="S336" i="184"/>
  <c r="S57" i="197"/>
  <c r="AI75" i="197" s="1"/>
  <c r="S338" i="184"/>
  <c r="S341" i="184"/>
  <c r="A4" i="177"/>
  <c r="J37" i="55"/>
  <c r="AO106" i="198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V46" i="195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Y191" i="186" l="1"/>
  <c r="Y192" i="186" s="1"/>
  <c r="V191" i="186"/>
  <c r="V192" i="186" s="1"/>
  <c r="X191" i="186"/>
  <c r="X192" i="186" s="1"/>
  <c r="T191" i="186"/>
  <c r="T192" i="186" s="1"/>
  <c r="U191" i="186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J34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4" i="55" l="1"/>
  <c r="Q213" i="100" l="1"/>
  <c r="S213" i="100"/>
  <c r="P213" i="100"/>
  <c r="R213" i="100"/>
  <c r="O213" i="100"/>
  <c r="M121" i="98"/>
  <c r="M122" i="98"/>
  <c r="Q122" i="98"/>
  <c r="Q121" i="98"/>
  <c r="N121" i="98"/>
  <c r="N122" i="98"/>
  <c r="R121" i="98"/>
  <c r="R122" i="98"/>
  <c r="S122" i="98"/>
  <c r="S121" i="98"/>
  <c r="P122" i="98"/>
  <c r="H213" i="100" l="1"/>
  <c r="F36" i="55" l="1"/>
  <c r="F35" i="55"/>
  <c r="C161" i="177" l="1"/>
  <c r="G140" i="85" s="1"/>
  <c r="C220" i="193"/>
  <c r="G235" i="85" s="1"/>
  <c r="C33" i="177"/>
  <c r="G133" i="85" s="1"/>
  <c r="C43" i="177"/>
  <c r="G134" i="85" s="1"/>
  <c r="C190" i="193"/>
  <c r="G234" i="85" s="1"/>
  <c r="C19" i="191"/>
  <c r="G216" i="85" s="1"/>
  <c r="C49" i="191"/>
  <c r="G217" i="85" s="1"/>
  <c r="C127" i="194"/>
  <c r="G242" i="85" s="1"/>
  <c r="C53" i="184"/>
  <c r="G164" i="85" s="1"/>
  <c r="C40" i="197"/>
  <c r="G264" i="85" s="1"/>
  <c r="C523" i="184"/>
  <c r="G172" i="85" s="1"/>
  <c r="C186" i="178"/>
  <c r="G144" i="85" s="1"/>
  <c r="C332" i="184"/>
  <c r="G166" i="85" s="1"/>
  <c r="C28" i="180"/>
  <c r="G150" i="85" s="1"/>
  <c r="C17" i="182"/>
  <c r="G156" i="85" s="1"/>
  <c r="C92" i="180"/>
  <c r="G152" i="85" s="1"/>
  <c r="C98" i="180"/>
  <c r="G153" i="85" s="1"/>
  <c r="C40" i="182"/>
  <c r="G159" i="85" s="1"/>
  <c r="C37" i="190"/>
  <c r="G215" i="85" s="1"/>
  <c r="C14" i="187"/>
  <c r="G195" i="85" s="1"/>
  <c r="C16" i="194"/>
  <c r="G236" i="85" s="1"/>
  <c r="C16" i="183"/>
  <c r="G161" i="85" s="1"/>
  <c r="C84" i="177"/>
  <c r="G135" i="85" s="1"/>
  <c r="C38" i="180"/>
  <c r="G151" i="85" s="1"/>
  <c r="C141" i="177"/>
  <c r="G137" i="85" s="1"/>
  <c r="C16" i="179"/>
  <c r="G145" i="85" s="1"/>
  <c r="C26" i="179"/>
  <c r="G146" i="85" s="1"/>
  <c r="C159" i="194"/>
  <c r="G243" i="85" s="1"/>
  <c r="C13" i="189"/>
  <c r="G208" i="85" s="1"/>
  <c r="C189" i="192"/>
  <c r="G227" i="85" s="1"/>
  <c r="C266" i="186"/>
  <c r="G194" i="85" s="1"/>
  <c r="C174" i="185"/>
  <c r="G182" i="85" s="1"/>
  <c r="C221" i="185"/>
  <c r="G183" i="85" s="1"/>
  <c r="C419" i="184"/>
  <c r="G169" i="85" s="1"/>
  <c r="C448" i="184"/>
  <c r="G170" i="85" s="1"/>
  <c r="C15" i="184"/>
  <c r="G163" i="85" s="1"/>
  <c r="C16" i="195"/>
  <c r="G244" i="85" s="1"/>
  <c r="C121" i="182"/>
  <c r="G160" i="85" s="1"/>
  <c r="C50" i="188"/>
  <c r="G200" i="85" s="1"/>
  <c r="C22" i="194"/>
  <c r="G237" i="85" s="1"/>
  <c r="C155" i="193"/>
  <c r="G233" i="85" s="1"/>
  <c r="C80" i="188"/>
  <c r="G203" i="85" s="1"/>
  <c r="C164" i="186"/>
  <c r="G189" i="85" s="1"/>
  <c r="C184" i="186"/>
  <c r="G190" i="85" s="1"/>
  <c r="C110" i="188"/>
  <c r="G206" i="85" s="1"/>
  <c r="C92" i="198"/>
  <c r="G273" i="85" s="1"/>
  <c r="C102" i="180"/>
  <c r="G154" i="85" s="1"/>
  <c r="C118" i="197"/>
  <c r="G268" i="85" s="1"/>
  <c r="C16" i="197"/>
  <c r="G262" i="85" s="1"/>
  <c r="C69" i="196"/>
  <c r="G248" i="85" s="1"/>
  <c r="C88" i="196"/>
  <c r="G249" i="85" s="1"/>
  <c r="C151" i="196"/>
  <c r="G250" i="85" s="1"/>
  <c r="C345" i="196"/>
  <c r="G259" i="85" s="1"/>
  <c r="C107" i="197"/>
  <c r="G267" i="85" s="1"/>
  <c r="C155" i="177"/>
  <c r="G139" i="85" s="1"/>
  <c r="C109" i="191"/>
  <c r="G219" i="85" s="1"/>
  <c r="C28" i="197"/>
  <c r="G263" i="85" s="1"/>
  <c r="C15" i="196"/>
  <c r="G247" i="85" s="1"/>
  <c r="C232" i="196"/>
  <c r="G256" i="85" s="1"/>
  <c r="C286" i="196"/>
  <c r="G257" i="85" s="1"/>
  <c r="C313" i="196"/>
  <c r="G258" i="85" s="1"/>
  <c r="C97" i="194"/>
  <c r="G241" i="85" s="1"/>
  <c r="C176" i="196"/>
  <c r="G252" i="85" s="1"/>
  <c r="C192" i="196"/>
  <c r="G253" i="85" s="1"/>
  <c r="C34" i="179"/>
  <c r="G147" i="85" s="1"/>
  <c r="C409" i="196"/>
  <c r="G261" i="85" s="1"/>
  <c r="C225" i="184"/>
  <c r="G165" i="85" s="1"/>
  <c r="C16" i="180"/>
  <c r="G149" i="85" s="1"/>
  <c r="C38" i="179"/>
  <c r="G148" i="85" s="1"/>
  <c r="C99" i="177"/>
  <c r="G136" i="85" s="1"/>
  <c r="C92" i="197"/>
  <c r="G266" i="85" s="1"/>
  <c r="C16" i="178"/>
  <c r="G141" i="85" s="1"/>
  <c r="C21" i="178"/>
  <c r="G142" i="85" s="1"/>
  <c r="C154" i="191"/>
  <c r="G221" i="85" s="1"/>
  <c r="C204" i="189"/>
  <c r="G212" i="85" s="1"/>
  <c r="C81" i="198"/>
  <c r="G272" i="85" s="1"/>
  <c r="C236" i="186"/>
  <c r="G192" i="85" s="1"/>
  <c r="C87" i="185"/>
  <c r="G180" i="85" s="1"/>
  <c r="C146" i="189"/>
  <c r="G210" i="85" s="1"/>
  <c r="C69" i="188"/>
  <c r="G202" i="85" s="1"/>
  <c r="C390" i="184"/>
  <c r="G168" i="85" s="1"/>
  <c r="C25" i="182"/>
  <c r="G157" i="85" s="1"/>
  <c r="C35" i="182"/>
  <c r="G158" i="85" s="1"/>
  <c r="C477" i="184"/>
  <c r="G171" i="85" s="1"/>
  <c r="C33" i="195"/>
  <c r="G245" i="85" s="1"/>
  <c r="C38" i="183"/>
  <c r="G162" i="85" s="1"/>
  <c r="C147" i="197"/>
  <c r="G269" i="85" s="1"/>
  <c r="C120" i="193"/>
  <c r="G232" i="85" s="1"/>
  <c r="C254" i="192"/>
  <c r="G229" i="85" s="1"/>
  <c r="C259" i="192"/>
  <c r="G230" i="85" s="1"/>
  <c r="C17" i="190"/>
  <c r="G213" i="85" s="1"/>
  <c r="C33" i="190"/>
  <c r="G214" i="85" s="1"/>
  <c r="C129" i="192"/>
  <c r="G225" i="85" s="1"/>
  <c r="C20" i="177"/>
  <c r="G132" i="85" s="1"/>
  <c r="C138" i="198"/>
  <c r="G275" i="85" s="1"/>
  <c r="C249" i="186"/>
  <c r="G193" i="85" s="1"/>
  <c r="C219" i="192"/>
  <c r="G228" i="85" s="1"/>
  <c r="C184" i="191"/>
  <c r="G222" i="85" s="1"/>
  <c r="C214" i="191"/>
  <c r="G223" i="85" s="1"/>
  <c r="C19" i="188"/>
  <c r="G196" i="85" s="1"/>
  <c r="C27" i="188"/>
  <c r="G197" i="85" s="1"/>
  <c r="C79" i="191"/>
  <c r="G218" i="85" s="1"/>
  <c r="C52" i="198"/>
  <c r="G271" i="85" s="1"/>
  <c r="C19" i="181"/>
  <c r="G155" i="85" s="1"/>
  <c r="C118" i="189"/>
  <c r="G209" i="85" s="1"/>
  <c r="C213" i="196"/>
  <c r="G255" i="85" s="1"/>
  <c r="C52" i="194"/>
  <c r="G238" i="85" s="1"/>
  <c r="C58" i="194"/>
  <c r="G239" i="85" s="1"/>
  <c r="C67" i="194"/>
  <c r="G240" i="85" s="1"/>
  <c r="C19" i="192"/>
  <c r="G224" i="85" s="1"/>
  <c r="C377" i="196"/>
  <c r="G260" i="85" s="1"/>
  <c r="C42" i="188"/>
  <c r="G199" i="85" s="1"/>
  <c r="C200" i="196"/>
  <c r="G254" i="85" s="1"/>
  <c r="C92" i="188"/>
  <c r="G204" i="85" s="1"/>
  <c r="C35" i="188"/>
  <c r="G198" i="85" s="1"/>
  <c r="C166" i="178"/>
  <c r="G143" i="85" s="1"/>
  <c r="C124" i="191"/>
  <c r="G220" i="85" s="1"/>
  <c r="C100" i="185"/>
  <c r="G181" i="85" s="1"/>
  <c r="C361" i="184"/>
  <c r="G167" i="85" s="1"/>
  <c r="C52" i="197"/>
  <c r="G265" i="85" s="1"/>
  <c r="C159" i="196"/>
  <c r="G251" i="85" s="1"/>
  <c r="C151" i="177"/>
  <c r="G138" i="85" s="1"/>
  <c r="C13" i="177"/>
  <c r="G131" i="85" s="1"/>
  <c r="C117" i="188"/>
  <c r="G207" i="85" s="1"/>
  <c r="C159" i="192"/>
  <c r="G226" i="85" s="1"/>
  <c r="C17" i="193"/>
  <c r="G231" i="85" s="1"/>
  <c r="C62" i="188"/>
  <c r="G201" i="85" s="1"/>
  <c r="C67" i="186"/>
  <c r="G187" i="85" s="1"/>
  <c r="C138" i="186"/>
  <c r="G188" i="85" s="1"/>
  <c r="C36" i="185"/>
  <c r="G176" i="85" s="1"/>
  <c r="C52" i="185"/>
  <c r="G177" i="85" s="1"/>
  <c r="C194" i="186"/>
  <c r="G191" i="85" s="1"/>
  <c r="C124" i="198"/>
  <c r="G274" i="85" s="1"/>
  <c r="C48" i="195"/>
  <c r="G246" i="85" s="1"/>
  <c r="C657" i="184"/>
  <c r="G173" i="85" s="1"/>
  <c r="C18" i="186"/>
  <c r="G186" i="85" s="1"/>
  <c r="C18" i="185"/>
  <c r="G174" i="85" s="1"/>
  <c r="C28" i="185"/>
  <c r="G175" i="85" s="1"/>
  <c r="C265" i="185"/>
  <c r="G184" i="85" s="1"/>
  <c r="C269" i="185"/>
  <c r="G185" i="85" s="1"/>
  <c r="C60" i="185"/>
  <c r="G178" i="85" s="1"/>
  <c r="C13" i="198"/>
  <c r="G270" i="85" s="1"/>
  <c r="C65" i="185"/>
  <c r="G179" i="85" s="1"/>
  <c r="C175" i="189"/>
  <c r="G211" i="85" s="1"/>
  <c r="C104" i="188"/>
  <c r="G20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7" i="98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G130" i="85" l="1"/>
  <c r="C2076" i="97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8" i="98"/>
  <c r="G128" i="85" s="1"/>
  <c r="C103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90" i="97" l="1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91" i="178" s="1" a="1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1994" i="97"/>
  <c r="J1990" i="97"/>
  <c r="J1986" i="97"/>
  <c r="J1982" i="97"/>
  <c r="J1993" i="97"/>
  <c r="J1989" i="97"/>
  <c r="J1985" i="97"/>
  <c r="J1981" i="97"/>
  <c r="J1996" i="97"/>
  <c r="J1992" i="97"/>
  <c r="J1988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1350" i="97"/>
  <c r="J157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100" i="98"/>
  <c r="H94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69" i="100"/>
  <c r="P45" i="179" s="1"/>
  <c r="H145" i="185" s="1"/>
  <c r="J157" i="100"/>
  <c r="P44" i="179" s="1"/>
  <c r="H144" i="185" s="1"/>
  <c r="J145" i="100"/>
  <c r="P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01" i="98"/>
  <c r="H95" i="180" s="1"/>
  <c r="H96" i="180" s="1"/>
  <c r="J89" i="98"/>
  <c r="J88" i="98"/>
  <c r="H88" i="180" s="1"/>
  <c r="J87" i="98"/>
  <c r="H87" i="180" s="1"/>
  <c r="J86" i="98"/>
  <c r="H86" i="180" s="1"/>
  <c r="J85" i="98"/>
  <c r="H85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74" i="97"/>
  <c r="J72" i="97"/>
  <c r="J62" i="97"/>
  <c r="J23" i="100"/>
  <c r="N18" i="179" s="1"/>
  <c r="N19" i="182" s="1"/>
  <c r="J64" i="97"/>
  <c r="J76" i="97"/>
  <c r="J26" i="100"/>
  <c r="Q18" i="179" s="1"/>
  <c r="Q19" i="182" s="1"/>
  <c r="J70" i="97"/>
  <c r="J21" i="100"/>
  <c r="L18" i="179" s="1"/>
  <c r="L19" i="182" s="1"/>
  <c r="J66" i="97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103" i="178" a="1"/>
  <c r="N103" i="178" s="1"/>
  <c r="N135" i="184" s="1"/>
  <c r="N592" i="184" s="1"/>
  <c r="U36" i="198" s="1"/>
  <c r="J142" i="178" a="1"/>
  <c r="K142" i="178" s="1"/>
  <c r="J133" i="178" a="1"/>
  <c r="L133" i="178" s="1"/>
  <c r="L165" i="184" s="1"/>
  <c r="L640" i="184" s="1"/>
  <c r="M48" i="198" s="1"/>
  <c r="J66" i="178" a="1"/>
  <c r="P66" i="178" s="1"/>
  <c r="P98" i="184" s="1"/>
  <c r="J37" i="178" a="1"/>
  <c r="O37" i="178" s="1"/>
  <c r="O69" i="184" s="1"/>
  <c r="J48" i="178" a="1"/>
  <c r="W48" i="178" s="1"/>
  <c r="J94" i="178" a="1"/>
  <c r="J94" i="178" s="1"/>
  <c r="J124" i="178" a="1"/>
  <c r="T124" i="178" s="1"/>
  <c r="T156" i="184" s="1"/>
  <c r="J68" i="178" a="1"/>
  <c r="L68" i="178" s="1"/>
  <c r="L100" i="184" s="1"/>
  <c r="L567" i="184" s="1"/>
  <c r="P28" i="198" s="1"/>
  <c r="J173" i="178" a="1"/>
  <c r="L173" i="178" s="1"/>
  <c r="L666" i="184" s="1"/>
  <c r="J79" i="178" a="1"/>
  <c r="L79" i="178" s="1"/>
  <c r="L111" i="184" s="1"/>
  <c r="L607" i="184" s="1"/>
  <c r="L39" i="198" s="1"/>
  <c r="J109" i="178" a="1"/>
  <c r="M109" i="178" s="1"/>
  <c r="J58" i="178" a="1"/>
  <c r="R58" i="178" s="1"/>
  <c r="J144" i="178" a="1"/>
  <c r="N144" i="178" s="1"/>
  <c r="N176" i="184" s="1"/>
  <c r="N653" i="184" s="1"/>
  <c r="T50" i="198" s="1"/>
  <c r="J102" i="178" a="1"/>
  <c r="X102" i="178" s="1"/>
  <c r="J160" i="178" a="1"/>
  <c r="J41" i="178" a="1"/>
  <c r="K41" i="178" s="1"/>
  <c r="J157" i="178" a="1"/>
  <c r="X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Y142" i="178"/>
  <c r="J129" i="178"/>
  <c r="J161" i="184" s="1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Y41" i="178"/>
  <c r="J39" i="178" a="1"/>
  <c r="J184" i="178" a="1"/>
  <c r="J134" i="178" a="1"/>
  <c r="W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M161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H89" i="180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S103" i="178"/>
  <c r="Y103" i="178"/>
  <c r="K103" i="178"/>
  <c r="Q103" i="178"/>
  <c r="U103" i="178"/>
  <c r="R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P103" i="178"/>
  <c r="P135" i="184" s="1"/>
  <c r="P592" i="184" s="1"/>
  <c r="AE36" i="198" s="1"/>
  <c r="AE141" i="198" s="1"/>
  <c r="V103" i="178"/>
  <c r="J93" i="178" a="1"/>
  <c r="J123" i="178" a="1"/>
  <c r="J191" i="178" a="1"/>
  <c r="J126" i="178" a="1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S55" i="178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35" i="178" a="1"/>
  <c r="J177" i="178" a="1"/>
  <c r="J172" i="178" a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M31" i="188"/>
  <c r="H47" i="186"/>
  <c r="K19" i="182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8" i="196"/>
  <c r="AJ198" i="196"/>
  <c r="L198" i="196"/>
  <c r="AN198" i="196"/>
  <c r="Q198" i="196"/>
  <c r="AH198" i="196"/>
  <c r="AG198" i="196"/>
  <c r="W198" i="196"/>
  <c r="AO198" i="196"/>
  <c r="AB198" i="196"/>
  <c r="R198" i="196"/>
  <c r="AL198" i="196"/>
  <c r="AI198" i="196"/>
  <c r="K198" i="196"/>
  <c r="AM198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P55" i="178" l="1"/>
  <c r="P87" i="184" s="1"/>
  <c r="Q68" i="178"/>
  <c r="J37" i="178"/>
  <c r="J69" i="184" s="1"/>
  <c r="N55" i="178"/>
  <c r="N87" i="184" s="1"/>
  <c r="N542" i="184" s="1"/>
  <c r="U24" i="198" s="1"/>
  <c r="Y68" i="178"/>
  <c r="Q58" i="178"/>
  <c r="U41" i="178"/>
  <c r="M173" i="178"/>
  <c r="M666" i="184" s="1"/>
  <c r="N37" i="178"/>
  <c r="N69" i="184" s="1"/>
  <c r="Y49" i="178"/>
  <c r="W49" i="178"/>
  <c r="T37" i="178"/>
  <c r="S48" i="178"/>
  <c r="L48" i="178"/>
  <c r="L80" i="184" s="1"/>
  <c r="L553" i="184" s="1"/>
  <c r="N26" i="198" s="1"/>
  <c r="J173" i="178"/>
  <c r="J666" i="184" s="1"/>
  <c r="O55" i="178"/>
  <c r="O87" i="184" s="1"/>
  <c r="O542" i="184" s="1"/>
  <c r="Z24" i="198" s="1"/>
  <c r="Q55" i="178"/>
  <c r="T103" i="178"/>
  <c r="M103" i="178"/>
  <c r="W103" i="178"/>
  <c r="U68" i="178"/>
  <c r="M48" i="178"/>
  <c r="P37" i="178"/>
  <c r="P69" i="184" s="1"/>
  <c r="P540" i="184" s="1"/>
  <c r="AC24" i="198" s="1"/>
  <c r="M58" i="178"/>
  <c r="X68" i="178"/>
  <c r="N68" i="178"/>
  <c r="N100" i="184" s="1"/>
  <c r="N567" i="184" s="1"/>
  <c r="V28" i="198" s="1"/>
  <c r="O68" i="178"/>
  <c r="O100" i="184" s="1"/>
  <c r="O567" i="184" s="1"/>
  <c r="AA28" i="198" s="1"/>
  <c r="P68" i="178"/>
  <c r="P100" i="184" s="1"/>
  <c r="Y58" i="178"/>
  <c r="T109" i="178"/>
  <c r="M68" i="178"/>
  <c r="K68" i="178"/>
  <c r="V68" i="178"/>
  <c r="J68" i="178"/>
  <c r="O58" i="178"/>
  <c r="O90" i="184" s="1"/>
  <c r="O560" i="184" s="1"/>
  <c r="Z27" i="198" s="1"/>
  <c r="T102" i="178"/>
  <c r="T68" i="178"/>
  <c r="R68" i="178"/>
  <c r="S68" i="178"/>
  <c r="N173" i="178"/>
  <c r="N666" i="184" s="1"/>
  <c r="K173" i="178"/>
  <c r="K666" i="184" s="1"/>
  <c r="V157" i="178"/>
  <c r="L156" i="178"/>
  <c r="L188" i="184" s="1"/>
  <c r="L619" i="184" s="1"/>
  <c r="P44" i="198" s="1"/>
  <c r="J144" i="178"/>
  <c r="R144" i="178"/>
  <c r="O142" i="178"/>
  <c r="O174" i="184" s="1"/>
  <c r="O641" i="184" s="1"/>
  <c r="Y48" i="198" s="1"/>
  <c r="J142" i="178"/>
  <c r="Q142" i="178"/>
  <c r="L142" i="178"/>
  <c r="L174" i="184" s="1"/>
  <c r="L641" i="184" s="1"/>
  <c r="N48" i="198" s="1"/>
  <c r="N142" i="178"/>
  <c r="N174" i="184" s="1"/>
  <c r="N641" i="184" s="1"/>
  <c r="T48" i="198" s="1"/>
  <c r="R142" i="178"/>
  <c r="X142" i="178"/>
  <c r="V142" i="178"/>
  <c r="S133" i="178"/>
  <c r="O133" i="178"/>
  <c r="O165" i="184" s="1"/>
  <c r="O640" i="184" s="1"/>
  <c r="X48" i="198" s="1"/>
  <c r="K129" i="178"/>
  <c r="R129" i="178"/>
  <c r="X129" i="178"/>
  <c r="Y129" i="178"/>
  <c r="Q129" i="178"/>
  <c r="Q161" i="184" s="1"/>
  <c r="Q616" i="184" s="1"/>
  <c r="AG44" i="198" s="1"/>
  <c r="M129" i="178"/>
  <c r="L129" i="178"/>
  <c r="L161" i="184" s="1"/>
  <c r="L616" i="184" s="1"/>
  <c r="M44" i="198" s="1"/>
  <c r="O110" i="178"/>
  <c r="O142" i="184" s="1"/>
  <c r="O581" i="184" s="1"/>
  <c r="AA34" i="198" s="1"/>
  <c r="AA106" i="198" s="1"/>
  <c r="M100" i="178"/>
  <c r="L94" i="178"/>
  <c r="L126" i="184" s="1"/>
  <c r="L591" i="184" s="1"/>
  <c r="N36" i="198" s="1"/>
  <c r="O79" i="178"/>
  <c r="O111" i="184" s="1"/>
  <c r="O607" i="184" s="1"/>
  <c r="W39" i="198" s="1"/>
  <c r="W111" i="198" s="1"/>
  <c r="N109" i="178"/>
  <c r="N141" i="184" s="1"/>
  <c r="N575" i="184" s="1"/>
  <c r="V33" i="198" s="1"/>
  <c r="V66" i="178"/>
  <c r="Y157" i="178"/>
  <c r="AE108" i="198"/>
  <c r="P79" i="178"/>
  <c r="P111" i="184" s="1"/>
  <c r="P607" i="184" s="1"/>
  <c r="AB39" i="198" s="1"/>
  <c r="AB111" i="198" s="1"/>
  <c r="X94" i="178"/>
  <c r="N102" i="178"/>
  <c r="N134" i="184" s="1"/>
  <c r="N586" i="184" s="1"/>
  <c r="U35" i="198" s="1"/>
  <c r="W142" i="178"/>
  <c r="M142" i="178"/>
  <c r="T142" i="178"/>
  <c r="J161" i="178"/>
  <c r="K161" i="178"/>
  <c r="W161" i="178"/>
  <c r="T56" i="178"/>
  <c r="K48" i="178"/>
  <c r="U48" i="178"/>
  <c r="T48" i="178"/>
  <c r="X48" i="178"/>
  <c r="Y48" i="178"/>
  <c r="J48" i="178"/>
  <c r="P48" i="178"/>
  <c r="P80" i="184" s="1"/>
  <c r="P553" i="184" s="1"/>
  <c r="AD26" i="198" s="1"/>
  <c r="R48" i="178"/>
  <c r="O48" i="178"/>
  <c r="O80" i="184" s="1"/>
  <c r="O553" i="184" s="1"/>
  <c r="Y26" i="198" s="1"/>
  <c r="Q41" i="178"/>
  <c r="Q73" i="184" s="1"/>
  <c r="Q564" i="184" s="1"/>
  <c r="AG28" i="198" s="1"/>
  <c r="J41" i="178"/>
  <c r="J73" i="184" s="1"/>
  <c r="O41" i="178"/>
  <c r="O73" i="184" s="1"/>
  <c r="O564" i="184" s="1"/>
  <c r="X28" i="198" s="1"/>
  <c r="N41" i="178"/>
  <c r="N73" i="184" s="1"/>
  <c r="N564" i="184" s="1"/>
  <c r="S28" i="198" s="1"/>
  <c r="M41" i="178"/>
  <c r="W41" i="178"/>
  <c r="T41" i="178"/>
  <c r="V41" i="178"/>
  <c r="P41" i="178"/>
  <c r="P73" i="184" s="1"/>
  <c r="P564" i="184" s="1"/>
  <c r="AC28" i="198" s="1"/>
  <c r="S41" i="178"/>
  <c r="S37" i="178"/>
  <c r="M37" i="178"/>
  <c r="Y37" i="178"/>
  <c r="K37" i="178"/>
  <c r="X37" i="178"/>
  <c r="U37" i="178"/>
  <c r="R37" i="178"/>
  <c r="W37" i="178"/>
  <c r="L37" i="178"/>
  <c r="L69" i="184" s="1"/>
  <c r="L540" i="184" s="1"/>
  <c r="M24" i="198" s="1"/>
  <c r="V37" i="178"/>
  <c r="Q37" i="178"/>
  <c r="Q69" i="184" s="1"/>
  <c r="Q201" i="184" s="1"/>
  <c r="Q253" i="184" s="1"/>
  <c r="S79" i="178"/>
  <c r="Y79" i="178"/>
  <c r="T79" i="178"/>
  <c r="T111" i="184" s="1"/>
  <c r="T607" i="184" s="1"/>
  <c r="AJ39" i="198" s="1"/>
  <c r="N79" i="178"/>
  <c r="N111" i="184" s="1"/>
  <c r="N607" i="184" s="1"/>
  <c r="R39" i="198" s="1"/>
  <c r="N94" i="178"/>
  <c r="N126" i="184" s="1"/>
  <c r="N591" i="184" s="1"/>
  <c r="T36" i="198" s="1"/>
  <c r="O94" i="178"/>
  <c r="O126" i="184" s="1"/>
  <c r="O591" i="184" s="1"/>
  <c r="Y36" i="198" s="1"/>
  <c r="Y141" i="198" s="1"/>
  <c r="U157" i="178"/>
  <c r="Q157" i="178"/>
  <c r="W102" i="178"/>
  <c r="Y102" i="178"/>
  <c r="Y133" i="178"/>
  <c r="R133" i="178"/>
  <c r="J141" i="178"/>
  <c r="V79" i="178"/>
  <c r="U79" i="178"/>
  <c r="Y94" i="178"/>
  <c r="V94" i="178"/>
  <c r="M157" i="178"/>
  <c r="W157" i="178"/>
  <c r="O102" i="178"/>
  <c r="O134" i="184" s="1"/>
  <c r="O586" i="184" s="1"/>
  <c r="Z35" i="198" s="1"/>
  <c r="Z107" i="198" s="1"/>
  <c r="M102" i="178"/>
  <c r="V133" i="178"/>
  <c r="X133" i="178"/>
  <c r="J100" i="178"/>
  <c r="M94" i="178"/>
  <c r="K94" i="178"/>
  <c r="O157" i="178"/>
  <c r="O189" i="184" s="1"/>
  <c r="O625" i="184" s="1"/>
  <c r="AA45" i="198" s="1"/>
  <c r="S157" i="178"/>
  <c r="S102" i="178"/>
  <c r="U102" i="178"/>
  <c r="W133" i="178"/>
  <c r="U133" i="178"/>
  <c r="P100" i="178"/>
  <c r="P132" i="184" s="1"/>
  <c r="P574" i="184" s="1"/>
  <c r="AE33" i="198" s="1"/>
  <c r="AE105" i="198" s="1"/>
  <c r="S56" i="178"/>
  <c r="R66" i="178"/>
  <c r="T35" i="178"/>
  <c r="V35" i="178"/>
  <c r="P160" i="178"/>
  <c r="P192" i="184" s="1"/>
  <c r="P643" i="184" s="1"/>
  <c r="AF48" i="198" s="1"/>
  <c r="V160" i="178"/>
  <c r="O109" i="178"/>
  <c r="O141" i="184" s="1"/>
  <c r="O575" i="184" s="1"/>
  <c r="AA33" i="198" s="1"/>
  <c r="AA105" i="198" s="1"/>
  <c r="J109" i="178"/>
  <c r="X109" i="178"/>
  <c r="P109" i="178"/>
  <c r="P141" i="184" s="1"/>
  <c r="P575" i="184" s="1"/>
  <c r="AF33" i="198" s="1"/>
  <c r="AF105" i="198" s="1"/>
  <c r="L109" i="178"/>
  <c r="L141" i="184" s="1"/>
  <c r="L575" i="184" s="1"/>
  <c r="P33" i="198" s="1"/>
  <c r="K109" i="178"/>
  <c r="U109" i="178"/>
  <c r="Q109" i="178"/>
  <c r="W109" i="178"/>
  <c r="S109" i="178"/>
  <c r="Y109" i="178"/>
  <c r="W124" i="178"/>
  <c r="W156" i="184" s="1"/>
  <c r="W639" i="184" s="1"/>
  <c r="AM48" i="198" s="1"/>
  <c r="AM119" i="198" s="1"/>
  <c r="J124" i="178"/>
  <c r="N66" i="178"/>
  <c r="N98" i="184" s="1"/>
  <c r="N555" i="184" s="1"/>
  <c r="V26" i="198" s="1"/>
  <c r="S66" i="178"/>
  <c r="J66" i="178"/>
  <c r="O66" i="178"/>
  <c r="O98" i="184" s="1"/>
  <c r="O555" i="184" s="1"/>
  <c r="AA26" i="198" s="1"/>
  <c r="Y66" i="178"/>
  <c r="X66" i="178"/>
  <c r="L66" i="178"/>
  <c r="L98" i="184" s="1"/>
  <c r="L555" i="184" s="1"/>
  <c r="P26" i="198" s="1"/>
  <c r="U66" i="178"/>
  <c r="K66" i="178"/>
  <c r="M66" i="178"/>
  <c r="T66" i="178"/>
  <c r="Q66" i="178"/>
  <c r="V109" i="178"/>
  <c r="Y35" i="178"/>
  <c r="R109" i="178"/>
  <c r="W66" i="178"/>
  <c r="K79" i="178"/>
  <c r="K111" i="184" s="1"/>
  <c r="K607" i="184" s="1"/>
  <c r="K39" i="198" s="1"/>
  <c r="W79" i="178"/>
  <c r="Q79" i="178"/>
  <c r="J79" i="178"/>
  <c r="T94" i="178"/>
  <c r="U94" i="178"/>
  <c r="Q94" i="178"/>
  <c r="W94" i="178"/>
  <c r="R157" i="178"/>
  <c r="P157" i="178"/>
  <c r="P189" i="184" s="1"/>
  <c r="P625" i="184" s="1"/>
  <c r="AF45" i="198" s="1"/>
  <c r="K157" i="178"/>
  <c r="J157" i="178"/>
  <c r="R102" i="178"/>
  <c r="Q102" i="178"/>
  <c r="P102" i="178"/>
  <c r="P134" i="184" s="1"/>
  <c r="P586" i="184" s="1"/>
  <c r="AE35" i="198" s="1"/>
  <c r="AE107" i="198" s="1"/>
  <c r="J102" i="178"/>
  <c r="J133" i="178"/>
  <c r="J165" i="184" s="1"/>
  <c r="J640" i="184" s="1"/>
  <c r="J48" i="198" s="1"/>
  <c r="P133" i="178"/>
  <c r="P165" i="184" s="1"/>
  <c r="P640" i="184" s="1"/>
  <c r="AC48" i="198" s="1"/>
  <c r="Q133" i="178"/>
  <c r="Q165" i="184" s="1"/>
  <c r="Q640" i="184" s="1"/>
  <c r="AG48" i="198" s="1"/>
  <c r="K133" i="178"/>
  <c r="R100" i="178"/>
  <c r="O100" i="178"/>
  <c r="O132" i="184" s="1"/>
  <c r="O574" i="184" s="1"/>
  <c r="Z33" i="198" s="1"/>
  <c r="Z105" i="198" s="1"/>
  <c r="X79" i="178"/>
  <c r="M79" i="178"/>
  <c r="M111" i="184" s="1"/>
  <c r="M607" i="184" s="1"/>
  <c r="Q39" i="198" s="1"/>
  <c r="R79" i="178"/>
  <c r="R111" i="184" s="1"/>
  <c r="R607" i="184" s="1"/>
  <c r="AH39" i="198" s="1"/>
  <c r="L55" i="178"/>
  <c r="L87" i="184" s="1"/>
  <c r="L542" i="184" s="1"/>
  <c r="O24" i="198" s="1"/>
  <c r="P94" i="178"/>
  <c r="P126" i="184" s="1"/>
  <c r="P591" i="184" s="1"/>
  <c r="AD36" i="198" s="1"/>
  <c r="AD141" i="198" s="1"/>
  <c r="R94" i="178"/>
  <c r="S94" i="178"/>
  <c r="L157" i="178"/>
  <c r="L189" i="184" s="1"/>
  <c r="L625" i="184" s="1"/>
  <c r="P45" i="198" s="1"/>
  <c r="T157" i="178"/>
  <c r="N157" i="178"/>
  <c r="N189" i="184" s="1"/>
  <c r="N625" i="184" s="1"/>
  <c r="V45" i="198" s="1"/>
  <c r="K102" i="178"/>
  <c r="V102" i="178"/>
  <c r="L102" i="178"/>
  <c r="L134" i="184" s="1"/>
  <c r="L586" i="184" s="1"/>
  <c r="O35" i="198" s="1"/>
  <c r="N48" i="178"/>
  <c r="N80" i="184" s="1"/>
  <c r="N553" i="184" s="1"/>
  <c r="T26" i="198" s="1"/>
  <c r="Q48" i="178"/>
  <c r="V48" i="178"/>
  <c r="T133" i="178"/>
  <c r="M133" i="178"/>
  <c r="N133" i="178"/>
  <c r="N165" i="184" s="1"/>
  <c r="N640" i="184" s="1"/>
  <c r="S48" i="198" s="1"/>
  <c r="R41" i="178"/>
  <c r="L41" i="178"/>
  <c r="L73" i="184" s="1"/>
  <c r="L564" i="184" s="1"/>
  <c r="M28" i="198" s="1"/>
  <c r="X41" i="178"/>
  <c r="Y100" i="178"/>
  <c r="W110" i="178"/>
  <c r="S142" i="178"/>
  <c r="P142" i="178"/>
  <c r="P174" i="184" s="1"/>
  <c r="P641" i="184" s="1"/>
  <c r="AD48" i="198" s="1"/>
  <c r="U142" i="178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528" i="184" s="1"/>
  <c r="AG22" i="198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S100" i="178"/>
  <c r="T100" i="178"/>
  <c r="N100" i="178"/>
  <c r="N132" i="184" s="1"/>
  <c r="N574" i="184" s="1"/>
  <c r="U33" i="198" s="1"/>
  <c r="W100" i="178"/>
  <c r="Q100" i="178"/>
  <c r="K100" i="178"/>
  <c r="X100" i="178"/>
  <c r="V100" i="178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N540" i="184"/>
  <c r="S24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P123" i="178"/>
  <c r="P155" i="184" s="1"/>
  <c r="P633" i="184" s="1"/>
  <c r="AB47" i="198" s="1"/>
  <c r="O123" i="178"/>
  <c r="O155" i="184" s="1"/>
  <c r="O633" i="184" s="1"/>
  <c r="W47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P567" i="184"/>
  <c r="AF28" i="198" s="1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Q217" i="184"/>
  <c r="Q233" i="184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R601" i="184"/>
  <c r="AH38" i="198" s="1"/>
  <c r="AH110" i="198" s="1"/>
  <c r="R340" i="184"/>
  <c r="J217" i="184"/>
  <c r="J233" i="184" s="1"/>
  <c r="J616" i="184"/>
  <c r="J44" i="198" s="1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X348" i="184" l="1"/>
  <c r="H199" i="178"/>
  <c r="T341" i="184"/>
  <c r="N214" i="184"/>
  <c r="N302" i="184" s="1"/>
  <c r="N306" i="184" s="1"/>
  <c r="Q540" i="184"/>
  <c r="AG24" i="198" s="1"/>
  <c r="S348" i="184"/>
  <c r="S357" i="184" s="1"/>
  <c r="S505" i="184" s="1"/>
  <c r="AI57" i="196" s="1"/>
  <c r="AI79" i="196" s="1"/>
  <c r="Y348" i="184"/>
  <c r="Y357" i="184" s="1"/>
  <c r="Y505" i="184" s="1"/>
  <c r="AO57" i="196" s="1"/>
  <c r="AO79" i="196" s="1"/>
  <c r="T214" i="184"/>
  <c r="T302" i="184" s="1"/>
  <c r="T306" i="184" s="1"/>
  <c r="AE112" i="198"/>
  <c r="T210" i="184"/>
  <c r="T254" i="184" s="1"/>
  <c r="T258" i="184" s="1"/>
  <c r="Y108" i="198"/>
  <c r="Y112" i="198" s="1"/>
  <c r="W348" i="184"/>
  <c r="W357" i="184" s="1"/>
  <c r="W505" i="184" s="1"/>
  <c r="AM57" i="196" s="1"/>
  <c r="AM79" i="196" s="1"/>
  <c r="AD108" i="198"/>
  <c r="AD112" i="198" s="1"/>
  <c r="K210" i="184"/>
  <c r="K254" i="184" s="1"/>
  <c r="K258" i="184" s="1"/>
  <c r="Q199" i="184"/>
  <c r="Q231" i="184" s="1"/>
  <c r="R341" i="184"/>
  <c r="J199" i="184"/>
  <c r="J231" i="184" s="1"/>
  <c r="V639" i="184"/>
  <c r="AL48" i="198" s="1"/>
  <c r="AL119" i="198" s="1"/>
  <c r="R348" i="184"/>
  <c r="R357" i="184" s="1"/>
  <c r="R505" i="184" s="1"/>
  <c r="AH57" i="196" s="1"/>
  <c r="AH79" i="196" s="1"/>
  <c r="J308" i="184"/>
  <c r="U348" i="184"/>
  <c r="U357" i="184" s="1"/>
  <c r="U505" i="184" s="1"/>
  <c r="AK57" i="196" s="1"/>
  <c r="AK79" i="196" s="1"/>
  <c r="M210" i="184"/>
  <c r="M254" i="184" s="1"/>
  <c r="M258" i="184" s="1"/>
  <c r="J237" i="184"/>
  <c r="R337" i="184"/>
  <c r="R210" i="184"/>
  <c r="R254" i="184" s="1"/>
  <c r="R258" i="184" s="1"/>
  <c r="T583" i="184"/>
  <c r="AJ35" i="198" s="1"/>
  <c r="Z112" i="198"/>
  <c r="J286" i="184"/>
  <c r="J188" i="186" s="1"/>
  <c r="P201" i="184"/>
  <c r="P253" i="184" s="1"/>
  <c r="N295" i="184"/>
  <c r="J43" i="55"/>
  <c r="N221" i="184"/>
  <c r="N281" i="184" s="1"/>
  <c r="N285" i="184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L248" i="184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O248" i="184" s="1"/>
  <c r="AA141" i="198"/>
  <c r="AA108" i="198"/>
  <c r="AA112" i="198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55" i="184" s="1"/>
  <c r="N493" i="184" s="1"/>
  <c r="R55" i="196" s="1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S551" i="184"/>
  <c r="AI26" i="198" s="1"/>
  <c r="AI99" i="198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0" i="196" s="1"/>
  <c r="Q622" i="184"/>
  <c r="AG45" i="198" s="1"/>
  <c r="Q218" i="184"/>
  <c r="Q244" i="184" s="1"/>
  <c r="Q248" i="184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79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248" i="184" s="1"/>
  <c r="N622" i="184"/>
  <c r="S45" i="198" s="1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0" i="196" s="1"/>
  <c r="P622" i="184"/>
  <c r="AC45" i="198" s="1"/>
  <c r="P218" i="184"/>
  <c r="P244" i="184" s="1"/>
  <c r="P248" i="184" s="1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AF141" i="198"/>
  <c r="AF108" i="198"/>
  <c r="AF112" i="198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T357" i="184"/>
  <c r="T505" i="184" s="1"/>
  <c r="AJ57" i="196" s="1"/>
  <c r="AJ79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46" i="184" s="1"/>
  <c r="O520" i="184" s="1"/>
  <c r="Z59" i="196" s="1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T354" i="184" l="1"/>
  <c r="T487" i="184" s="1"/>
  <c r="AJ54" i="196" s="1"/>
  <c r="N441" i="184"/>
  <c r="N490" i="184" s="1"/>
  <c r="U54" i="196" s="1"/>
  <c r="O413" i="184"/>
  <c r="O495" i="184" s="1"/>
  <c r="Y55" i="196" s="1"/>
  <c r="L472" i="184"/>
  <c r="L503" i="184" s="1"/>
  <c r="P56" i="196" s="1"/>
  <c r="P153" i="196" s="1"/>
  <c r="O414" i="184"/>
  <c r="O501" i="184" s="1"/>
  <c r="Y56" i="196" s="1"/>
  <c r="Y153" i="196" s="1"/>
  <c r="O355" i="184"/>
  <c r="O493" i="184" s="1"/>
  <c r="W55" i="196" s="1"/>
  <c r="P353" i="184"/>
  <c r="P481" i="184" s="1"/>
  <c r="AB53" i="196" s="1"/>
  <c r="M191" i="186"/>
  <c r="M192" i="186" s="1"/>
  <c r="M260" i="186" s="1"/>
  <c r="L355" i="184"/>
  <c r="L493" i="184" s="1"/>
  <c r="L55" i="196" s="1"/>
  <c r="P441" i="184"/>
  <c r="P490" i="184" s="1"/>
  <c r="AE54" i="196" s="1"/>
  <c r="L444" i="184"/>
  <c r="L508" i="184" s="1"/>
  <c r="O57" i="196" s="1"/>
  <c r="J383" i="184"/>
  <c r="J488" i="184" s="1"/>
  <c r="J54" i="196" s="1"/>
  <c r="M357" i="184"/>
  <c r="M505" i="184" s="1"/>
  <c r="Q57" i="196" s="1"/>
  <c r="J41" i="55"/>
  <c r="N470" i="184"/>
  <c r="N491" i="184" s="1"/>
  <c r="V54" i="196" s="1"/>
  <c r="L443" i="184"/>
  <c r="L502" i="184" s="1"/>
  <c r="O56" i="196" s="1"/>
  <c r="P118" i="196" s="1"/>
  <c r="P130" i="196" s="1"/>
  <c r="L474" i="184"/>
  <c r="L515" i="184" s="1"/>
  <c r="P58" i="196" s="1"/>
  <c r="O440" i="184"/>
  <c r="O484" i="184" s="1"/>
  <c r="Z53" i="196" s="1"/>
  <c r="R359" i="184"/>
  <c r="R517" i="184" s="1"/>
  <c r="AH59" i="196" s="1"/>
  <c r="L357" i="184"/>
  <c r="L505" i="184" s="1"/>
  <c r="L57" i="196" s="1"/>
  <c r="K238" i="184"/>
  <c r="K31" i="185" s="1"/>
  <c r="O388" i="184"/>
  <c r="O518" i="184" s="1"/>
  <c r="X59" i="196" s="1"/>
  <c r="N413" i="184"/>
  <c r="N495" i="184" s="1"/>
  <c r="T55" i="196" s="1"/>
  <c r="O359" i="184"/>
  <c r="O517" i="184" s="1"/>
  <c r="W59" i="196" s="1"/>
  <c r="L249" i="184"/>
  <c r="L32" i="185" s="1"/>
  <c r="Q383" i="184"/>
  <c r="Q488" i="184" s="1"/>
  <c r="AG54" i="196" s="1"/>
  <c r="O286" i="184"/>
  <c r="O188" i="186" s="1"/>
  <c r="M359" i="184"/>
  <c r="M517" i="184" s="1"/>
  <c r="Q59" i="196" s="1"/>
  <c r="O441" i="184"/>
  <c r="O490" i="184" s="1"/>
  <c r="Z54" i="196" s="1"/>
  <c r="L411" i="184"/>
  <c r="L483" i="184" s="1"/>
  <c r="N53" i="196" s="1"/>
  <c r="L442" i="184"/>
  <c r="L496" i="184" s="1"/>
  <c r="O55" i="196" s="1"/>
  <c r="J238" i="184"/>
  <c r="J31" i="185" s="1"/>
  <c r="P446" i="184"/>
  <c r="P520" i="184" s="1"/>
  <c r="AE59" i="196" s="1"/>
  <c r="N354" i="184"/>
  <c r="N487" i="184" s="1"/>
  <c r="R54" i="196" s="1"/>
  <c r="K358" i="184"/>
  <c r="K511" i="184" s="1"/>
  <c r="K58" i="196" s="1"/>
  <c r="S260" i="184"/>
  <c r="S58" i="186" s="1"/>
  <c r="R355" i="184"/>
  <c r="R493" i="184" s="1"/>
  <c r="AH55" i="196" s="1"/>
  <c r="O471" i="184"/>
  <c r="O497" i="184" s="1"/>
  <c r="AA55" i="196" s="1"/>
  <c r="N472" i="184"/>
  <c r="N503" i="184" s="1"/>
  <c r="V56" i="196" s="1"/>
  <c r="P357" i="184"/>
  <c r="P505" i="184" s="1"/>
  <c r="AB57" i="196" s="1"/>
  <c r="K357" i="184"/>
  <c r="K505" i="184" s="1"/>
  <c r="K57" i="196" s="1"/>
  <c r="O354" i="184"/>
  <c r="O487" i="184" s="1"/>
  <c r="W54" i="196" s="1"/>
  <c r="O356" i="184"/>
  <c r="O499" i="184" s="1"/>
  <c r="W56" i="196" s="1"/>
  <c r="O474" i="184"/>
  <c r="O515" i="184" s="1"/>
  <c r="AA58" i="196" s="1"/>
  <c r="P415" i="184"/>
  <c r="P507" i="184" s="1"/>
  <c r="AD57" i="196" s="1"/>
  <c r="L471" i="184"/>
  <c r="L497" i="184" s="1"/>
  <c r="P55" i="196" s="1"/>
  <c r="M353" i="184"/>
  <c r="M481" i="184" s="1"/>
  <c r="Q53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T114" i="196" s="1"/>
  <c r="T12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O417" i="184"/>
  <c r="O519" i="184" s="1"/>
  <c r="Y59" i="196" s="1"/>
  <c r="P260" i="184"/>
  <c r="P33" i="185" s="1"/>
  <c r="O383" i="184"/>
  <c r="O488" i="184" s="1"/>
  <c r="X54" i="196" s="1"/>
  <c r="O472" i="184"/>
  <c r="O503" i="184" s="1"/>
  <c r="AA56" i="196" s="1"/>
  <c r="AA153" i="196" s="1"/>
  <c r="P355" i="184"/>
  <c r="P493" i="184" s="1"/>
  <c r="AB55" i="196" s="1"/>
  <c r="V260" i="184"/>
  <c r="V58" i="186" s="1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S153" i="196" s="1"/>
  <c r="O385" i="184"/>
  <c r="O500" i="184" s="1"/>
  <c r="X56" i="196" s="1"/>
  <c r="X153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P354" i="184"/>
  <c r="P487" i="184" s="1"/>
  <c r="AB54" i="196" s="1"/>
  <c r="J385" i="184"/>
  <c r="J500" i="184" s="1"/>
  <c r="J56" i="196" s="1"/>
  <c r="J121" i="196" s="1"/>
  <c r="J133" i="196" s="1"/>
  <c r="N383" i="184"/>
  <c r="N488" i="184" s="1"/>
  <c r="S54" i="196" s="1"/>
  <c r="L238" i="184"/>
  <c r="L31" i="185" s="1"/>
  <c r="AO164" i="196"/>
  <c r="AI164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33" i="185" s="1"/>
  <c r="L685" i="184"/>
  <c r="O358" i="184"/>
  <c r="O511" i="184" s="1"/>
  <c r="W58" i="196" s="1"/>
  <c r="Q385" i="184"/>
  <c r="Q500" i="184" s="1"/>
  <c r="AG56" i="196" s="1"/>
  <c r="AG119" i="196" s="1"/>
  <c r="AG131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O58" i="186" s="1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3" i="196" s="1"/>
  <c r="N474" i="184"/>
  <c r="N515" i="184" s="1"/>
  <c r="V58" i="196" s="1"/>
  <c r="L475" i="184"/>
  <c r="L521" i="184" s="1"/>
  <c r="P59" i="196" s="1"/>
  <c r="V249" i="184"/>
  <c r="V57" i="186" s="1"/>
  <c r="L441" i="184"/>
  <c r="L490" i="184" s="1"/>
  <c r="O54" i="196" s="1"/>
  <c r="T353" i="184"/>
  <c r="T481" i="184" s="1"/>
  <c r="AJ53" i="196" s="1"/>
  <c r="AJ164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4" i="196"/>
  <c r="M358" i="184"/>
  <c r="M511" i="184" s="1"/>
  <c r="Q58" i="196" s="1"/>
  <c r="AM164" i="19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3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4" i="196"/>
  <c r="H212" i="178"/>
  <c r="Y20" i="195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P116" i="196"/>
  <c r="P128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4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P114" i="196" l="1"/>
  <c r="P126" i="196" s="1"/>
  <c r="O33" i="185"/>
  <c r="P115" i="196"/>
  <c r="P127" i="196" s="1"/>
  <c r="P119" i="196"/>
  <c r="P131" i="196" s="1"/>
  <c r="M254" i="186"/>
  <c r="M255" i="186"/>
  <c r="M256" i="186"/>
  <c r="M257" i="186"/>
  <c r="M258" i="186"/>
  <c r="M259" i="186"/>
  <c r="P120" i="196"/>
  <c r="P132" i="196" s="1"/>
  <c r="M252" i="186"/>
  <c r="M253" i="186"/>
  <c r="K56" i="186"/>
  <c r="Q56" i="186"/>
  <c r="J56" i="186"/>
  <c r="J58" i="186"/>
  <c r="V33" i="185"/>
  <c r="P32" i="185"/>
  <c r="L57" i="186"/>
  <c r="T153" i="196"/>
  <c r="O114" i="196"/>
  <c r="O126" i="196" s="1"/>
  <c r="O118" i="196"/>
  <c r="O130" i="196" s="1"/>
  <c r="O153" i="196"/>
  <c r="O115" i="196"/>
  <c r="O127" i="196" s="1"/>
  <c r="P117" i="196"/>
  <c r="P129" i="196" s="1"/>
  <c r="O117" i="196"/>
  <c r="O129" i="196" s="1"/>
  <c r="Z164" i="196"/>
  <c r="Z166" i="196" s="1"/>
  <c r="Z174" i="196" s="1"/>
  <c r="R57" i="186"/>
  <c r="Y114" i="196"/>
  <c r="Y126" i="196" s="1"/>
  <c r="P58" i="186"/>
  <c r="J115" i="196"/>
  <c r="J127" i="196" s="1"/>
  <c r="Q264" i="184"/>
  <c r="Q17" i="187" s="1"/>
  <c r="Q29" i="187" s="1"/>
  <c r="Q58" i="186"/>
  <c r="R164" i="196"/>
  <c r="V119" i="196"/>
  <c r="V131" i="196" s="1"/>
  <c r="X114" i="196"/>
  <c r="X126" i="196" s="1"/>
  <c r="W34" i="185"/>
  <c r="W49" i="185" s="1"/>
  <c r="S33" i="185"/>
  <c r="N32" i="185"/>
  <c r="V264" i="184"/>
  <c r="V17" i="187" s="1"/>
  <c r="S116" i="196"/>
  <c r="S128" i="196" s="1"/>
  <c r="T117" i="196"/>
  <c r="T129" i="196" s="1"/>
  <c r="Y117" i="196"/>
  <c r="Y129" i="196" s="1"/>
  <c r="V32" i="185"/>
  <c r="N153" i="196"/>
  <c r="AB164" i="196"/>
  <c r="V115" i="196"/>
  <c r="V127" i="196" s="1"/>
  <c r="Y164" i="196"/>
  <c r="Y166" i="196" s="1"/>
  <c r="Y174" i="196" s="1"/>
  <c r="X115" i="196"/>
  <c r="X127" i="196" s="1"/>
  <c r="T115" i="196"/>
  <c r="T127" i="196" s="1"/>
  <c r="S31" i="185"/>
  <c r="N117" i="196"/>
  <c r="N129" i="196" s="1"/>
  <c r="O120" i="196"/>
  <c r="O132" i="196" s="1"/>
  <c r="AA164" i="196"/>
  <c r="AA166" i="196" s="1"/>
  <c r="AA174" i="196" s="1"/>
  <c r="P264" i="184"/>
  <c r="P17" i="187" s="1"/>
  <c r="P275" i="184"/>
  <c r="P16" i="187" s="1"/>
  <c r="X116" i="196"/>
  <c r="X128" i="196" s="1"/>
  <c r="V116" i="196"/>
  <c r="V128" i="196" s="1"/>
  <c r="Y118" i="196"/>
  <c r="Y130" i="196" s="1"/>
  <c r="S117" i="196"/>
  <c r="S129" i="196" s="1"/>
  <c r="V114" i="196"/>
  <c r="V126" i="196" s="1"/>
  <c r="R56" i="186"/>
  <c r="O191" i="186"/>
  <c r="O192" i="186" s="1"/>
  <c r="X117" i="196"/>
  <c r="X129" i="196" s="1"/>
  <c r="X120" i="196"/>
  <c r="X132" i="196" s="1"/>
  <c r="T118" i="196"/>
  <c r="T130" i="196" s="1"/>
  <c r="S118" i="196"/>
  <c r="S130" i="196" s="1"/>
  <c r="V56" i="186"/>
  <c r="V59" i="186" s="1"/>
  <c r="P31" i="185"/>
  <c r="AA114" i="196"/>
  <c r="AA126" i="196" s="1"/>
  <c r="V153" i="196"/>
  <c r="AA119" i="196"/>
  <c r="AA131" i="196" s="1"/>
  <c r="Y115" i="196"/>
  <c r="Y127" i="196" s="1"/>
  <c r="X118" i="196"/>
  <c r="X130" i="196" s="1"/>
  <c r="AG164" i="196"/>
  <c r="AG166" i="196" s="1"/>
  <c r="AG174" i="196" s="1"/>
  <c r="AA116" i="196"/>
  <c r="AA128" i="196" s="1"/>
  <c r="S114" i="196"/>
  <c r="S126" i="196" s="1"/>
  <c r="S115" i="196"/>
  <c r="S127" i="196" s="1"/>
  <c r="S120" i="196"/>
  <c r="S132" i="196" s="1"/>
  <c r="W164" i="196"/>
  <c r="P56" i="186"/>
  <c r="AA115" i="196"/>
  <c r="AA127" i="196" s="1"/>
  <c r="N120" i="196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X164" i="196"/>
  <c r="X166" i="196" s="1"/>
  <c r="X174" i="19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K32" i="185"/>
  <c r="J120" i="196"/>
  <c r="J132" i="196" s="1"/>
  <c r="X275" i="184"/>
  <c r="X16" i="187" s="1"/>
  <c r="L56" i="186"/>
  <c r="N119" i="196"/>
  <c r="N131" i="196" s="1"/>
  <c r="N164" i="196"/>
  <c r="N166" i="196" s="1"/>
  <c r="M164" i="196"/>
  <c r="M166" i="196" s="1"/>
  <c r="AE164" i="196"/>
  <c r="AE166" i="196" s="1"/>
  <c r="AE174" i="196" s="1"/>
  <c r="N31" i="185"/>
  <c r="N34" i="185" s="1"/>
  <c r="N44" i="185" s="1"/>
  <c r="N50" i="185" s="1"/>
  <c r="Q164" i="196"/>
  <c r="M121" i="196"/>
  <c r="M133" i="196" s="1"/>
  <c r="AG114" i="196"/>
  <c r="AG126" i="196" s="1"/>
  <c r="AG116" i="196"/>
  <c r="AG128" i="196" s="1"/>
  <c r="M120" i="196"/>
  <c r="M132" i="196" s="1"/>
  <c r="M118" i="196"/>
  <c r="M130" i="196" s="1"/>
  <c r="K164" i="196"/>
  <c r="J172" i="196" s="1"/>
  <c r="AG121" i="196"/>
  <c r="AG133" i="196" s="1"/>
  <c r="P121" i="196"/>
  <c r="P133" i="196" s="1"/>
  <c r="M117" i="196"/>
  <c r="M129" i="196" s="1"/>
  <c r="AG120" i="196"/>
  <c r="AG132" i="196" s="1"/>
  <c r="AG115" i="196"/>
  <c r="AG127" i="196" s="1"/>
  <c r="M153" i="196"/>
  <c r="M119" i="196"/>
  <c r="M131" i="196" s="1"/>
  <c r="N115" i="196"/>
  <c r="N127" i="196" s="1"/>
  <c r="AG117" i="196"/>
  <c r="AG129" i="196" s="1"/>
  <c r="N121" i="196"/>
  <c r="N133" i="196" s="1"/>
  <c r="N118" i="196"/>
  <c r="N130" i="196" s="1"/>
  <c r="P164" i="196"/>
  <c r="P166" i="196" s="1"/>
  <c r="M114" i="196"/>
  <c r="M126" i="196" s="1"/>
  <c r="AG153" i="196"/>
  <c r="O121" i="196"/>
  <c r="O133" i="196" s="1"/>
  <c r="M115" i="196"/>
  <c r="M127" i="196" s="1"/>
  <c r="Z120" i="196"/>
  <c r="Z132" i="196" s="1"/>
  <c r="AG118" i="196"/>
  <c r="AG130" i="196" s="1"/>
  <c r="M116" i="196"/>
  <c r="M128" i="196" s="1"/>
  <c r="S164" i="196"/>
  <c r="S166" i="196" s="1"/>
  <c r="S174" i="196" s="1"/>
  <c r="O164" i="196"/>
  <c r="O166" i="196" s="1"/>
  <c r="AH164" i="196"/>
  <c r="J685" i="184"/>
  <c r="H687" i="184" s="1"/>
  <c r="S275" i="184"/>
  <c r="S16" i="187" s="1"/>
  <c r="Y119" i="196"/>
  <c r="Y131" i="196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U119" i="196"/>
  <c r="U131" i="196" s="1"/>
  <c r="K275" i="184"/>
  <c r="K16" i="187" s="1"/>
  <c r="AE114" i="196"/>
  <c r="AE126" i="196" s="1"/>
  <c r="T116" i="196"/>
  <c r="T128" i="196" s="1"/>
  <c r="V164" i="196"/>
  <c r="V166" i="196" s="1"/>
  <c r="V174" i="196" s="1"/>
  <c r="AF164" i="196"/>
  <c r="AF166" i="196" s="1"/>
  <c r="AF174" i="196" s="1"/>
  <c r="Y34" i="185"/>
  <c r="Y48" i="185" s="1"/>
  <c r="AE115" i="196"/>
  <c r="AE127" i="196" s="1"/>
  <c r="O275" i="184"/>
  <c r="O18" i="194" s="1"/>
  <c r="T119" i="196"/>
  <c r="T131" i="196" s="1"/>
  <c r="N264" i="184"/>
  <c r="N17" i="187" s="1"/>
  <c r="U34" i="185"/>
  <c r="U48" i="185" s="1"/>
  <c r="U59" i="186"/>
  <c r="S57" i="186"/>
  <c r="S59" i="186" s="1"/>
  <c r="Z119" i="196"/>
  <c r="Z131" i="196" s="1"/>
  <c r="Z116" i="196"/>
  <c r="Z128" i="196" s="1"/>
  <c r="N58" i="186"/>
  <c r="N59" i="186" s="1"/>
  <c r="AC164" i="196"/>
  <c r="AC166" i="196" s="1"/>
  <c r="AC174" i="196" s="1"/>
  <c r="S121" i="196"/>
  <c r="S133" i="196" s="1"/>
  <c r="O264" i="184"/>
  <c r="O17" i="187" s="1"/>
  <c r="H131" i="182"/>
  <c r="R150" i="182" s="1"/>
  <c r="J57" i="186"/>
  <c r="J32" i="185"/>
  <c r="J34" i="185" s="1"/>
  <c r="Q50" i="195"/>
  <c r="X121" i="196"/>
  <c r="X133" i="196" s="1"/>
  <c r="V121" i="196"/>
  <c r="V133" i="196" s="1"/>
  <c r="Y59" i="186"/>
  <c r="J164" i="196"/>
  <c r="J166" i="196" s="1"/>
  <c r="K50" i="195"/>
  <c r="R275" i="184"/>
  <c r="X57" i="186"/>
  <c r="X32" i="185"/>
  <c r="Q275" i="184"/>
  <c r="Y116" i="196"/>
  <c r="Y128" i="196" s="1"/>
  <c r="T32" i="185"/>
  <c r="T57" i="186"/>
  <c r="T50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U50" i="195"/>
  <c r="H139" i="182"/>
  <c r="M177" i="182" s="1"/>
  <c r="N275" i="184"/>
  <c r="K33" i="185"/>
  <c r="K264" i="184"/>
  <c r="K17" i="187" s="1"/>
  <c r="K58" i="186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AA117" i="196"/>
  <c r="AA129" i="196" s="1"/>
  <c r="Z115" i="196"/>
  <c r="Z127" i="196" s="1"/>
  <c r="Z118" i="196"/>
  <c r="Z130" i="196" s="1"/>
  <c r="U115" i="196"/>
  <c r="U127" i="196" s="1"/>
  <c r="U153" i="196"/>
  <c r="U118" i="196"/>
  <c r="U130" i="196" s="1"/>
  <c r="U117" i="196"/>
  <c r="U129" i="196" s="1"/>
  <c r="U114" i="196"/>
  <c r="U126" i="196" s="1"/>
  <c r="V117" i="196"/>
  <c r="V129" i="196" s="1"/>
  <c r="AA118" i="196"/>
  <c r="AA130" i="196" s="1"/>
  <c r="Z117" i="196"/>
  <c r="Z129" i="196" s="1"/>
  <c r="V118" i="196"/>
  <c r="V130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U121" i="196"/>
  <c r="U133" i="196" s="1"/>
  <c r="X33" i="185"/>
  <c r="X264" i="184"/>
  <c r="X17" i="187" s="1"/>
  <c r="X58" i="186"/>
  <c r="AF117" i="196"/>
  <c r="AF129" i="196" s="1"/>
  <c r="U18" i="194"/>
  <c r="U16" i="187"/>
  <c r="X50" i="195"/>
  <c r="U116" i="196"/>
  <c r="U128" i="196" s="1"/>
  <c r="X31" i="185"/>
  <c r="X56" i="186"/>
  <c r="M58" i="186"/>
  <c r="M33" i="185"/>
  <c r="M32" i="185"/>
  <c r="M57" i="186"/>
  <c r="W18" i="194"/>
  <c r="W16" i="187"/>
  <c r="M50" i="195"/>
  <c r="X119" i="196"/>
  <c r="X131" i="196" s="1"/>
  <c r="AA121" i="196"/>
  <c r="AA133" i="196" s="1"/>
  <c r="O57" i="186"/>
  <c r="O59" i="186" s="1"/>
  <c r="O32" i="185"/>
  <c r="T58" i="186"/>
  <c r="T33" i="185"/>
  <c r="T264" i="184"/>
  <c r="T17" i="187" s="1"/>
  <c r="Y18" i="194"/>
  <c r="Y16" i="187"/>
  <c r="Q57" i="186"/>
  <c r="Q32" i="185"/>
  <c r="Q34" i="185" s="1"/>
  <c r="AA120" i="196"/>
  <c r="AA132" i="196" s="1"/>
  <c r="T56" i="186"/>
  <c r="T31" i="185"/>
  <c r="W59" i="186"/>
  <c r="W50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Z121" i="196"/>
  <c r="Z133" i="196" s="1"/>
  <c r="T121" i="196"/>
  <c r="T133" i="196" s="1"/>
  <c r="S119" i="196"/>
  <c r="S131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Y50" i="195"/>
  <c r="Y120" i="196"/>
  <c r="Y132" i="196" s="1"/>
  <c r="U120" i="196"/>
  <c r="U132" i="196" s="1"/>
  <c r="V275" i="184"/>
  <c r="AF118" i="196"/>
  <c r="AF130" i="196" s="1"/>
  <c r="V120" i="196"/>
  <c r="V132" i="196" s="1"/>
  <c r="T120" i="196"/>
  <c r="T132" i="196" s="1"/>
  <c r="L58" i="186"/>
  <c r="L264" i="184"/>
  <c r="L17" i="187" s="1"/>
  <c r="L33" i="185"/>
  <c r="L34" i="185" s="1"/>
  <c r="V50" i="195"/>
  <c r="AE117" i="196"/>
  <c r="AE129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K59" i="186" l="1"/>
  <c r="J59" i="186"/>
  <c r="K158" i="182"/>
  <c r="V34" i="185"/>
  <c r="V50" i="185" s="1"/>
  <c r="W50" i="185"/>
  <c r="W48" i="185"/>
  <c r="S34" i="185"/>
  <c r="S49" i="185" s="1"/>
  <c r="P34" i="185"/>
  <c r="P42" i="185" s="1"/>
  <c r="P48" i="185" s="1"/>
  <c r="M150" i="182"/>
  <c r="J150" i="182"/>
  <c r="X18" i="194"/>
  <c r="P59" i="186"/>
  <c r="P18" i="194"/>
  <c r="Q59" i="186"/>
  <c r="K34" i="185"/>
  <c r="J43" i="185" s="1"/>
  <c r="J49" i="185" s="1"/>
  <c r="S18" i="194"/>
  <c r="J174" i="196"/>
  <c r="H693" i="184" a="1"/>
  <c r="H693" i="184" s="1"/>
  <c r="A4" i="184" s="1"/>
  <c r="L59" i="186"/>
  <c r="R59" i="186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6" i="196"/>
  <c r="AD137" i="196"/>
  <c r="O16" i="187"/>
  <c r="O27" i="187" s="1"/>
  <c r="O33" i="187" s="1"/>
  <c r="J137" i="196"/>
  <c r="V137" i="196"/>
  <c r="S137" i="196"/>
  <c r="M137" i="196"/>
  <c r="AF141" i="196"/>
  <c r="T136" i="196"/>
  <c r="Q177" i="182"/>
  <c r="P150" i="182"/>
  <c r="AA143" i="196"/>
  <c r="L150" i="182"/>
  <c r="X59" i="186"/>
  <c r="T34" i="185"/>
  <c r="T48" i="185" s="1"/>
  <c r="Q150" i="182"/>
  <c r="N43" i="185"/>
  <c r="N49" i="185" s="1"/>
  <c r="AE141" i="196"/>
  <c r="M143" i="196"/>
  <c r="S136" i="196"/>
  <c r="P140" i="196"/>
  <c r="AF137" i="196"/>
  <c r="N42" i="185"/>
  <c r="N48" i="185" s="1"/>
  <c r="AC139" i="196"/>
  <c r="P138" i="196"/>
  <c r="N141" i="196"/>
  <c r="M34" i="185"/>
  <c r="L44" i="185" s="1"/>
  <c r="L50" i="185" s="1"/>
  <c r="Z139" i="196"/>
  <c r="O140" i="196"/>
  <c r="R158" i="182"/>
  <c r="R177" i="182"/>
  <c r="J136" i="196"/>
  <c r="N137" i="196"/>
  <c r="P177" i="182"/>
  <c r="O158" i="182"/>
  <c r="P158" i="182"/>
  <c r="AG136" i="196"/>
  <c r="P136" i="196"/>
  <c r="Y142" i="196"/>
  <c r="P137" i="196"/>
  <c r="U49" i="185"/>
  <c r="AD136" i="196"/>
  <c r="L158" i="182"/>
  <c r="N158" i="182"/>
  <c r="J177" i="182"/>
  <c r="X136" i="196"/>
  <c r="V136" i="196"/>
  <c r="U137" i="196"/>
  <c r="V141" i="196"/>
  <c r="S141" i="196"/>
  <c r="M138" i="196"/>
  <c r="U50" i="185"/>
  <c r="AC136" i="196"/>
  <c r="Z141" i="196"/>
  <c r="S158" i="182"/>
  <c r="L177" i="182"/>
  <c r="Y136" i="196"/>
  <c r="P141" i="196"/>
  <c r="V143" i="196"/>
  <c r="AA139" i="196"/>
  <c r="N136" i="196"/>
  <c r="N138" i="196"/>
  <c r="Q158" i="182"/>
  <c r="N177" i="182"/>
  <c r="Y143" i="196"/>
  <c r="AC141" i="196"/>
  <c r="AE138" i="196"/>
  <c r="AD139" i="196"/>
  <c r="K177" i="182"/>
  <c r="X137" i="196"/>
  <c r="M158" i="182"/>
  <c r="O177" i="182"/>
  <c r="AA136" i="196"/>
  <c r="J158" i="182"/>
  <c r="Z136" i="196"/>
  <c r="AA137" i="196"/>
  <c r="S177" i="182"/>
  <c r="AF136" i="196"/>
  <c r="M136" i="196"/>
  <c r="J141" i="196"/>
  <c r="O137" i="196"/>
  <c r="N140" i="196"/>
  <c r="R50" i="185"/>
  <c r="R49" i="185"/>
  <c r="R48" i="185"/>
  <c r="Q50" i="185"/>
  <c r="Q48" i="185"/>
  <c r="Q49" i="185"/>
  <c r="O142" i="196"/>
  <c r="N142" i="196"/>
  <c r="P27" i="187"/>
  <c r="P33" i="187" s="1"/>
  <c r="P28" i="187"/>
  <c r="P34" i="187" s="1"/>
  <c r="W27" i="187"/>
  <c r="W33" i="187" s="1"/>
  <c r="W28" i="187"/>
  <c r="W34" i="187" s="1"/>
  <c r="M140" i="196"/>
  <c r="AE136" i="196"/>
  <c r="AD141" i="196"/>
  <c r="X141" i="196"/>
  <c r="T137" i="196"/>
  <c r="Z137" i="196"/>
  <c r="AG137" i="196"/>
  <c r="O143" i="196"/>
  <c r="AC143" i="196"/>
  <c r="J142" i="196"/>
  <c r="X142" i="196"/>
  <c r="X34" i="185"/>
  <c r="U139" i="196"/>
  <c r="O139" i="196"/>
  <c r="X140" i="196"/>
  <c r="U140" i="196"/>
  <c r="V138" i="196"/>
  <c r="AA138" i="196"/>
  <c r="V18" i="194"/>
  <c r="V16" i="187"/>
  <c r="U28" i="187"/>
  <c r="U34" i="187" s="1"/>
  <c r="U27" i="187"/>
  <c r="U33" i="187" s="1"/>
  <c r="H51" i="193" a="1"/>
  <c r="H52" i="193" s="1"/>
  <c r="U136" i="196"/>
  <c r="M141" i="196"/>
  <c r="T141" i="196"/>
  <c r="AC137" i="196"/>
  <c r="AE137" i="196"/>
  <c r="X143" i="196"/>
  <c r="S143" i="196"/>
  <c r="U143" i="196"/>
  <c r="X27" i="187"/>
  <c r="X33" i="187" s="1"/>
  <c r="X28" i="187"/>
  <c r="X34" i="187" s="1"/>
  <c r="AA142" i="196"/>
  <c r="P142" i="196"/>
  <c r="Y139" i="196"/>
  <c r="P139" i="196"/>
  <c r="V140" i="196"/>
  <c r="AE140" i="196"/>
  <c r="AF140" i="196"/>
  <c r="R18" i="194"/>
  <c r="R16" i="187"/>
  <c r="X138" i="196"/>
  <c r="AD138" i="196"/>
  <c r="Z143" i="196"/>
  <c r="AD143" i="196"/>
  <c r="AG143" i="196"/>
  <c r="Y28" i="187"/>
  <c r="Y34" i="187" s="1"/>
  <c r="Y27" i="187"/>
  <c r="Y33" i="187" s="1"/>
  <c r="S142" i="196"/>
  <c r="V142" i="196"/>
  <c r="AF139" i="196"/>
  <c r="X139" i="196"/>
  <c r="M139" i="196"/>
  <c r="AA140" i="196"/>
  <c r="S140" i="196"/>
  <c r="AC140" i="196"/>
  <c r="L689" i="184"/>
  <c r="N170" i="196" s="1"/>
  <c r="N172" i="196" s="1"/>
  <c r="N174" i="196" s="1"/>
  <c r="N689" i="184"/>
  <c r="P170" i="196" s="1"/>
  <c r="P172" i="196" s="1"/>
  <c r="P174" i="196" s="1"/>
  <c r="J689" i="184"/>
  <c r="M689" i="184"/>
  <c r="O170" i="196" s="1"/>
  <c r="O172" i="196" s="1"/>
  <c r="O174" i="196" s="1"/>
  <c r="K689" i="184"/>
  <c r="M170" i="196" s="1"/>
  <c r="M172" i="196" s="1"/>
  <c r="M174" i="196" s="1"/>
  <c r="O138" i="196"/>
  <c r="Z138" i="196"/>
  <c r="Y141" i="196"/>
  <c r="AE143" i="196"/>
  <c r="N143" i="196"/>
  <c r="K28" i="187"/>
  <c r="K34" i="187" s="1"/>
  <c r="K27" i="187"/>
  <c r="K33" i="187" s="1"/>
  <c r="Z142" i="196"/>
  <c r="AE142" i="196"/>
  <c r="S28" i="187"/>
  <c r="S34" i="187" s="1"/>
  <c r="S27" i="187"/>
  <c r="S33" i="187" s="1"/>
  <c r="AE139" i="196"/>
  <c r="S139" i="196"/>
  <c r="L18" i="194"/>
  <c r="L16" i="187"/>
  <c r="T18" i="194"/>
  <c r="T16" i="187"/>
  <c r="Y140" i="196"/>
  <c r="AG140" i="196"/>
  <c r="J138" i="196"/>
  <c r="T138" i="196"/>
  <c r="H53" i="192" a="1"/>
  <c r="H55" i="192" s="1"/>
  <c r="O141" i="196"/>
  <c r="Y137" i="196"/>
  <c r="P143" i="196"/>
  <c r="M142" i="196"/>
  <c r="T142" i="196"/>
  <c r="AD142" i="196"/>
  <c r="J139" i="196"/>
  <c r="T139" i="196"/>
  <c r="M16" i="187"/>
  <c r="M18" i="194"/>
  <c r="N18" i="194"/>
  <c r="N16" i="187"/>
  <c r="J18" i="194"/>
  <c r="J16" i="187"/>
  <c r="AD140" i="196"/>
  <c r="AG138" i="196"/>
  <c r="S138" i="196"/>
  <c r="U141" i="196"/>
  <c r="AA141" i="196"/>
  <c r="T143" i="196"/>
  <c r="AF143" i="196"/>
  <c r="U142" i="196"/>
  <c r="AG142" i="196"/>
  <c r="AC142" i="196"/>
  <c r="V139" i="196"/>
  <c r="AG139" i="196"/>
  <c r="T140" i="196"/>
  <c r="J140" i="196"/>
  <c r="U138" i="196"/>
  <c r="AC138" i="196"/>
  <c r="AG141" i="196"/>
  <c r="J143" i="196"/>
  <c r="T59" i="186"/>
  <c r="AF142" i="196"/>
  <c r="N139" i="196"/>
  <c r="Z140" i="196"/>
  <c r="Q18" i="194"/>
  <c r="Q16" i="187"/>
  <c r="Y138" i="196"/>
  <c r="AF138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V49" i="185" l="1"/>
  <c r="V48" i="185"/>
  <c r="S50" i="185"/>
  <c r="P43" i="185"/>
  <c r="P49" i="185" s="1"/>
  <c r="P44" i="185"/>
  <c r="P50" i="185" s="1"/>
  <c r="S48" i="185"/>
  <c r="J42" i="185"/>
  <c r="J48" i="185" s="1"/>
  <c r="K44" i="185"/>
  <c r="K50" i="185" s="1"/>
  <c r="J44" i="185"/>
  <c r="J50" i="185" s="1"/>
  <c r="K43" i="185"/>
  <c r="K49" i="185" s="1"/>
  <c r="K42" i="185"/>
  <c r="K48" i="185" s="1"/>
  <c r="O43" i="185"/>
  <c r="O49" i="185" s="1"/>
  <c r="J44" i="55"/>
  <c r="O44" i="185"/>
  <c r="O50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5" i="196"/>
  <c r="M145" i="196"/>
  <c r="M147" i="196" s="1" a="1"/>
  <c r="M147" i="196" s="1"/>
  <c r="M149" i="196" s="1"/>
  <c r="V145" i="196"/>
  <c r="V147" i="196" s="1" a="1"/>
  <c r="V147" i="196" s="1"/>
  <c r="V149" i="196" s="1"/>
  <c r="H60" i="192"/>
  <c r="Y145" i="196"/>
  <c r="Y147" i="196" s="1" a="1"/>
  <c r="Y147" i="196" s="1"/>
  <c r="Y149" i="196" s="1"/>
  <c r="O145" i="196"/>
  <c r="O147" i="196" s="1" a="1"/>
  <c r="O147" i="196" s="1"/>
  <c r="O149" i="196" s="1"/>
  <c r="AA145" i="196"/>
  <c r="AA147" i="196" s="1" a="1"/>
  <c r="AA147" i="196" s="1"/>
  <c r="AA149" i="196" s="1"/>
  <c r="AC145" i="196"/>
  <c r="AC147" i="196" s="1" a="1"/>
  <c r="AC147" i="196" s="1"/>
  <c r="AC149" i="196" s="1"/>
  <c r="H55" i="193"/>
  <c r="H56" i="193"/>
  <c r="N145" i="196"/>
  <c r="W129" i="194"/>
  <c r="W133" i="194" s="1"/>
  <c r="X145" i="196"/>
  <c r="X147" i="196" s="1" a="1"/>
  <c r="X147" i="196" s="1"/>
  <c r="X149" i="196" s="1"/>
  <c r="H54" i="193"/>
  <c r="Q129" i="194"/>
  <c r="Q133" i="194" s="1"/>
  <c r="P129" i="194"/>
  <c r="P133" i="194" s="1"/>
  <c r="T145" i="196"/>
  <c r="T147" i="196" s="1" a="1"/>
  <c r="T147" i="196" s="1"/>
  <c r="T149" i="196" s="1"/>
  <c r="P145" i="196"/>
  <c r="P147" i="196" s="1" a="1"/>
  <c r="P147" i="196" s="1"/>
  <c r="P149" i="196" s="1"/>
  <c r="H57" i="193"/>
  <c r="S145" i="196"/>
  <c r="S147" i="196" s="1" a="1"/>
  <c r="S147" i="196" s="1"/>
  <c r="S149" i="196" s="1"/>
  <c r="J145" i="196"/>
  <c r="J147" i="196" s="1" a="1"/>
  <c r="AD145" i="196"/>
  <c r="AD147" i="196" s="1" a="1"/>
  <c r="AD147" i="196" s="1"/>
  <c r="AD149" i="196" s="1"/>
  <c r="AF145" i="196"/>
  <c r="AF147" i="196" s="1" a="1"/>
  <c r="AF147" i="196" s="1"/>
  <c r="AF149" i="196" s="1"/>
  <c r="AG145" i="196"/>
  <c r="U129" i="194"/>
  <c r="U132" i="194" s="1"/>
  <c r="N147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5" i="196"/>
  <c r="AE147" i="196" s="1" a="1"/>
  <c r="AE147" i="196" s="1"/>
  <c r="AE149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5" i="196"/>
  <c r="U147" i="196" s="1" a="1"/>
  <c r="U147" i="196" s="1"/>
  <c r="U149" i="196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W132" i="194" l="1"/>
  <c r="N147" i="196"/>
  <c r="N149" i="196" s="1"/>
  <c r="AG147" i="196" a="1"/>
  <c r="AG147" i="196" s="1"/>
  <c r="AG149" i="196" s="1"/>
  <c r="J147" i="196"/>
  <c r="J149" i="196" s="1"/>
  <c r="Z147" i="196" a="1"/>
  <c r="Z147" i="196" s="1"/>
  <c r="Z149" i="196" s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V132" i="194"/>
  <c r="V133" i="194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4" i="186" s="1"/>
  <c r="M42" i="186"/>
  <c r="M202" i="186" s="1"/>
  <c r="M206" i="186" s="1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S204" i="186"/>
  <c r="S202" i="186"/>
  <c r="B14" i="27"/>
  <c r="B10" i="27"/>
  <c r="B6" i="27"/>
  <c r="B8" i="27"/>
  <c r="X204" i="186" l="1"/>
  <c r="X206" i="186" s="1"/>
  <c r="V204" i="186"/>
  <c r="S206" i="186"/>
  <c r="V206" i="186"/>
  <c r="T204" i="186"/>
  <c r="T206" i="186" s="1"/>
  <c r="W202" i="186"/>
  <c r="W206" i="186" s="1"/>
  <c r="P182" i="196"/>
  <c r="O182" i="196"/>
  <c r="M155" i="196"/>
  <c r="M157" i="196" s="1"/>
  <c r="AC182" i="196"/>
  <c r="AL155" i="196"/>
  <c r="AL157" i="196" s="1"/>
  <c r="AJ182" i="196"/>
  <c r="K182" i="196"/>
  <c r="K155" i="196"/>
  <c r="K157" i="196" s="1"/>
  <c r="AB155" i="196"/>
  <c r="AB157" i="196" s="1"/>
  <c r="AN182" i="196"/>
  <c r="L155" i="196"/>
  <c r="L157" i="196" s="1"/>
  <c r="AO155" i="196"/>
  <c r="AO157" i="196" s="1"/>
  <c r="U155" i="196"/>
  <c r="U157" i="196" s="1"/>
  <c r="S182" i="196"/>
  <c r="N155" i="196"/>
  <c r="N157" i="196" s="1"/>
  <c r="AF182" i="196"/>
  <c r="Y155" i="196"/>
  <c r="Y157" i="196" s="1"/>
  <c r="V155" i="196"/>
  <c r="V157" i="196" s="1"/>
  <c r="Z155" i="196"/>
  <c r="Z157" i="196" s="1"/>
  <c r="Y182" i="196"/>
  <c r="AH182" i="196"/>
  <c r="AK182" i="196"/>
  <c r="AJ155" i="196"/>
  <c r="AJ157" i="196" s="1"/>
  <c r="AM182" i="196"/>
  <c r="L182" i="196"/>
  <c r="J182" i="196"/>
  <c r="AL182" i="196"/>
  <c r="Q182" i="196"/>
  <c r="S155" i="196"/>
  <c r="S157" i="196" s="1"/>
  <c r="AE182" i="196"/>
  <c r="M182" i="196"/>
  <c r="X182" i="196"/>
  <c r="AC155" i="196"/>
  <c r="AC157" i="196" s="1"/>
  <c r="P155" i="196"/>
  <c r="P157" i="196" s="1"/>
  <c r="V182" i="196"/>
  <c r="X155" i="196"/>
  <c r="X157" i="196" s="1"/>
  <c r="AD155" i="196"/>
  <c r="AD157" i="196" s="1"/>
  <c r="AI155" i="196"/>
  <c r="AI157" i="196" s="1"/>
  <c r="R155" i="196"/>
  <c r="R157" i="196" s="1"/>
  <c r="AB182" i="196"/>
  <c r="AO182" i="196"/>
  <c r="W155" i="196"/>
  <c r="W157" i="196" s="1"/>
  <c r="W182" i="196"/>
  <c r="J155" i="196"/>
  <c r="J157" i="196" s="1"/>
  <c r="T155" i="196"/>
  <c r="T157" i="196" s="1"/>
  <c r="AA155" i="196"/>
  <c r="AA157" i="196" s="1"/>
  <c r="AE155" i="196"/>
  <c r="AE157" i="196" s="1"/>
  <c r="O155" i="196"/>
  <c r="O157" i="196" s="1"/>
  <c r="T182" i="196"/>
  <c r="T184" i="196" s="1"/>
  <c r="Z182" i="196"/>
  <c r="AD182" i="196"/>
  <c r="AF155" i="196"/>
  <c r="AF157" i="196" s="1"/>
  <c r="Q155" i="196"/>
  <c r="Q157" i="196" s="1"/>
  <c r="R182" i="196"/>
  <c r="AM155" i="196"/>
  <c r="AM157" i="196" s="1"/>
  <c r="AI182" i="196"/>
  <c r="AH155" i="196"/>
  <c r="AH157" i="196" s="1"/>
  <c r="AK155" i="196"/>
  <c r="AK157" i="196" s="1"/>
  <c r="AK184" i="196" s="1"/>
  <c r="AN155" i="196"/>
  <c r="AN157" i="196" s="1"/>
  <c r="U182" i="196"/>
  <c r="AA182" i="196"/>
  <c r="N182" i="196"/>
  <c r="AG155" i="196"/>
  <c r="AG157" i="196" s="1"/>
  <c r="AG182" i="196"/>
  <c r="U204" i="186"/>
  <c r="U206" i="186" s="1"/>
  <c r="H38" i="187" a="1"/>
  <c r="H38" i="187" s="1"/>
  <c r="J47" i="55" s="1"/>
  <c r="Y204" i="186"/>
  <c r="Y206" i="186" s="1"/>
  <c r="R204" i="186"/>
  <c r="R206" i="186" s="1"/>
  <c r="Q21" i="182"/>
  <c r="Q23" i="182" s="1"/>
  <c r="R20" i="182"/>
  <c r="A2" i="28"/>
  <c r="A2" i="55"/>
  <c r="D14" i="27"/>
  <c r="D10" i="27"/>
  <c r="D8" i="27"/>
  <c r="D6" i="27"/>
  <c r="AF184" i="196" l="1"/>
  <c r="AB184" i="196"/>
  <c r="AH184" i="196"/>
  <c r="U184" i="196"/>
  <c r="AL184" i="196"/>
  <c r="O184" i="196"/>
  <c r="AN184" i="196"/>
  <c r="AI184" i="196"/>
  <c r="J184" i="196"/>
  <c r="AJ184" i="196"/>
  <c r="P184" i="196"/>
  <c r="W184" i="196"/>
  <c r="S184" i="196"/>
  <c r="AD184" i="196"/>
  <c r="K184" i="196"/>
  <c r="Z184" i="196"/>
  <c r="L184" i="196"/>
  <c r="M184" i="196"/>
  <c r="AE184" i="196"/>
  <c r="V184" i="196"/>
  <c r="AA184" i="196"/>
  <c r="Y184" i="196"/>
  <c r="AC184" i="196"/>
  <c r="AG184" i="196"/>
  <c r="X184" i="196"/>
  <c r="Q184" i="196"/>
  <c r="AM184" i="196"/>
  <c r="AO184" i="196"/>
  <c r="R184" i="196"/>
  <c r="N184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186" i="196" l="1"/>
  <c r="AL188" i="196" s="1"/>
  <c r="H214" i="186" a="1"/>
  <c r="H220" i="186" s="1"/>
  <c r="H232" i="186" s="1"/>
  <c r="H183" i="182" a="1"/>
  <c r="H183" i="182" s="1"/>
  <c r="A4" i="182" s="1"/>
  <c r="A1" i="28"/>
  <c r="H217" i="186" l="1"/>
  <c r="H229" i="186" s="1"/>
  <c r="Y242" i="186" s="1"/>
  <c r="H215" i="186"/>
  <c r="H227" i="186" s="1"/>
  <c r="H25" i="192" s="1"/>
  <c r="H219" i="186"/>
  <c r="H231" i="186" s="1"/>
  <c r="T244" i="186" s="1"/>
  <c r="H216" i="186"/>
  <c r="H228" i="186" s="1"/>
  <c r="T241" i="186" s="1"/>
  <c r="AN188" i="196"/>
  <c r="R188" i="196"/>
  <c r="AC188" i="196"/>
  <c r="N188" i="196"/>
  <c r="W188" i="196"/>
  <c r="AK188" i="196"/>
  <c r="AJ188" i="196"/>
  <c r="L188" i="196"/>
  <c r="X188" i="196"/>
  <c r="T188" i="196"/>
  <c r="V188" i="196"/>
  <c r="O188" i="196"/>
  <c r="Z188" i="196"/>
  <c r="AO188" i="196"/>
  <c r="M188" i="196"/>
  <c r="Y188" i="196"/>
  <c r="P188" i="196"/>
  <c r="AB188" i="196"/>
  <c r="S188" i="196"/>
  <c r="AG188" i="196"/>
  <c r="Q188" i="196"/>
  <c r="AF188" i="196"/>
  <c r="AA188" i="196"/>
  <c r="AD188" i="196"/>
  <c r="AE188" i="196"/>
  <c r="AH188" i="196"/>
  <c r="J188" i="196"/>
  <c r="K188" i="196"/>
  <c r="U188" i="196"/>
  <c r="AI188" i="196"/>
  <c r="AM188" i="196"/>
  <c r="H214" i="186"/>
  <c r="H226" i="186" s="1"/>
  <c r="H24" i="192" s="1"/>
  <c r="H222" i="186"/>
  <c r="H218" i="186"/>
  <c r="H230" i="186" s="1"/>
  <c r="R256" i="186" s="1"/>
  <c r="H221" i="186"/>
  <c r="H233" i="186" s="1"/>
  <c r="R246" i="186" s="1"/>
  <c r="J42" i="55"/>
  <c r="R255" i="186"/>
  <c r="H30" i="192"/>
  <c r="V245" i="186"/>
  <c r="K245" i="186"/>
  <c r="S258" i="186"/>
  <c r="T258" i="186"/>
  <c r="P245" i="186"/>
  <c r="V258" i="186"/>
  <c r="N245" i="186"/>
  <c r="M245" i="186"/>
  <c r="R258" i="186"/>
  <c r="U245" i="186"/>
  <c r="X245" i="186"/>
  <c r="W258" i="186"/>
  <c r="R245" i="186"/>
  <c r="U258" i="186"/>
  <c r="Q245" i="186"/>
  <c r="T245" i="186"/>
  <c r="X258" i="186"/>
  <c r="W245" i="186"/>
  <c r="Y245" i="186"/>
  <c r="O245" i="186"/>
  <c r="Y258" i="186"/>
  <c r="S245" i="186"/>
  <c r="J245" i="186"/>
  <c r="L245" i="186"/>
  <c r="N240" i="186" l="1"/>
  <c r="X255" i="186"/>
  <c r="O242" i="186"/>
  <c r="J242" i="186"/>
  <c r="T255" i="186"/>
  <c r="T242" i="186"/>
  <c r="P240" i="186"/>
  <c r="K242" i="186"/>
  <c r="L242" i="186"/>
  <c r="R242" i="186"/>
  <c r="N242" i="186"/>
  <c r="S255" i="186"/>
  <c r="V242" i="186"/>
  <c r="H27" i="192"/>
  <c r="K166" i="192" s="1"/>
  <c r="K226" i="192" s="1"/>
  <c r="Q240" i="186"/>
  <c r="U253" i="186"/>
  <c r="Y257" i="186"/>
  <c r="V244" i="186"/>
  <c r="U257" i="186"/>
  <c r="Y253" i="186"/>
  <c r="M240" i="186"/>
  <c r="S244" i="186"/>
  <c r="H29" i="192"/>
  <c r="O138" i="192" s="1"/>
  <c r="L240" i="186"/>
  <c r="W240" i="186"/>
  <c r="J240" i="186"/>
  <c r="K244" i="186"/>
  <c r="T253" i="186"/>
  <c r="R240" i="186"/>
  <c r="S253" i="186"/>
  <c r="T240" i="186"/>
  <c r="M242" i="186"/>
  <c r="U242" i="186"/>
  <c r="Q242" i="186"/>
  <c r="W242" i="186"/>
  <c r="W255" i="186"/>
  <c r="Y255" i="186"/>
  <c r="X242" i="186"/>
  <c r="S242" i="186"/>
  <c r="U255" i="186"/>
  <c r="P242" i="186"/>
  <c r="V255" i="186"/>
  <c r="R244" i="186"/>
  <c r="Q244" i="186"/>
  <c r="W241" i="186"/>
  <c r="L244" i="186"/>
  <c r="Y244" i="186"/>
  <c r="Y240" i="186"/>
  <c r="W253" i="186"/>
  <c r="X240" i="186"/>
  <c r="X253" i="186"/>
  <c r="O240" i="186"/>
  <c r="U241" i="186"/>
  <c r="S257" i="186"/>
  <c r="N244" i="186"/>
  <c r="V257" i="186"/>
  <c r="P244" i="186"/>
  <c r="M241" i="186"/>
  <c r="M244" i="186"/>
  <c r="W244" i="186"/>
  <c r="R257" i="186"/>
  <c r="X244" i="186"/>
  <c r="U244" i="186"/>
  <c r="K241" i="186"/>
  <c r="H23" i="192"/>
  <c r="J241" i="186"/>
  <c r="T254" i="186"/>
  <c r="O241" i="186"/>
  <c r="Y241" i="186"/>
  <c r="P241" i="186"/>
  <c r="L241" i="186"/>
  <c r="R254" i="186"/>
  <c r="W254" i="186"/>
  <c r="T257" i="186"/>
  <c r="W257" i="186"/>
  <c r="J244" i="186"/>
  <c r="O244" i="186"/>
  <c r="X257" i="186"/>
  <c r="V253" i="186"/>
  <c r="V240" i="186"/>
  <c r="S240" i="186"/>
  <c r="U240" i="186"/>
  <c r="R253" i="186"/>
  <c r="K240" i="186"/>
  <c r="Q241" i="186"/>
  <c r="V241" i="186"/>
  <c r="Y254" i="186"/>
  <c r="X241" i="186"/>
  <c r="V254" i="186"/>
  <c r="N241" i="186"/>
  <c r="H26" i="192"/>
  <c r="Q135" i="192" s="1"/>
  <c r="X254" i="186"/>
  <c r="R241" i="186"/>
  <c r="S254" i="186"/>
  <c r="S241" i="186"/>
  <c r="U254" i="186"/>
  <c r="M239" i="186"/>
  <c r="N239" i="186"/>
  <c r="O239" i="186"/>
  <c r="X252" i="186"/>
  <c r="X239" i="186"/>
  <c r="L239" i="186"/>
  <c r="V252" i="186"/>
  <c r="U252" i="186"/>
  <c r="Q239" i="186"/>
  <c r="U239" i="186"/>
  <c r="T252" i="186"/>
  <c r="S252" i="186"/>
  <c r="V239" i="186"/>
  <c r="J239" i="186"/>
  <c r="Y252" i="186"/>
  <c r="R252" i="186"/>
  <c r="T239" i="186"/>
  <c r="W239" i="186"/>
  <c r="Y239" i="186"/>
  <c r="R239" i="186"/>
  <c r="W252" i="186"/>
  <c r="P239" i="186"/>
  <c r="K239" i="186"/>
  <c r="S239" i="186"/>
  <c r="H28" i="192"/>
  <c r="P137" i="192" s="1"/>
  <c r="J243" i="186"/>
  <c r="N243" i="186"/>
  <c r="J246" i="186"/>
  <c r="H31" i="192"/>
  <c r="K140" i="192" s="1"/>
  <c r="T243" i="186"/>
  <c r="V256" i="186"/>
  <c r="U243" i="186"/>
  <c r="M243" i="186"/>
  <c r="L246" i="186"/>
  <c r="N246" i="186"/>
  <c r="O246" i="186"/>
  <c r="S243" i="186"/>
  <c r="L243" i="186"/>
  <c r="P243" i="186"/>
  <c r="X246" i="186"/>
  <c r="V259" i="186"/>
  <c r="X243" i="186"/>
  <c r="K243" i="186"/>
  <c r="T256" i="186"/>
  <c r="R259" i="186"/>
  <c r="U246" i="186"/>
  <c r="V246" i="186"/>
  <c r="S246" i="186"/>
  <c r="U259" i="186"/>
  <c r="Y246" i="186"/>
  <c r="Y256" i="186"/>
  <c r="U256" i="186"/>
  <c r="Q243" i="186"/>
  <c r="W256" i="186"/>
  <c r="W243" i="186"/>
  <c r="V243" i="186"/>
  <c r="P246" i="186"/>
  <c r="X259" i="186"/>
  <c r="T246" i="186"/>
  <c r="T259" i="186"/>
  <c r="Y259" i="186"/>
  <c r="W246" i="186"/>
  <c r="M246" i="186"/>
  <c r="S259" i="186"/>
  <c r="K246" i="186"/>
  <c r="W259" i="186"/>
  <c r="Q246" i="186"/>
  <c r="R243" i="186"/>
  <c r="Y243" i="186"/>
  <c r="X256" i="186"/>
  <c r="O243" i="186"/>
  <c r="S256" i="186"/>
  <c r="K134" i="192"/>
  <c r="M164" i="192"/>
  <c r="M224" i="192" s="1"/>
  <c r="P134" i="192"/>
  <c r="N134" i="192"/>
  <c r="P164" i="192"/>
  <c r="P224" i="192" s="1"/>
  <c r="N164" i="192"/>
  <c r="N224" i="192" s="1"/>
  <c r="M134" i="192"/>
  <c r="L164" i="192"/>
  <c r="L224" i="192" s="1"/>
  <c r="K164" i="192"/>
  <c r="K224" i="192" s="1"/>
  <c r="Q134" i="192"/>
  <c r="L134" i="192"/>
  <c r="J134" i="192"/>
  <c r="O164" i="192"/>
  <c r="O224" i="192" s="1"/>
  <c r="Q164" i="192"/>
  <c r="Q224" i="192" s="1"/>
  <c r="J164" i="192"/>
  <c r="J224" i="192" s="1"/>
  <c r="O134" i="192"/>
  <c r="L139" i="192"/>
  <c r="N139" i="192"/>
  <c r="L169" i="192"/>
  <c r="L229" i="192" s="1"/>
  <c r="N169" i="192"/>
  <c r="N229" i="192" s="1"/>
  <c r="Q139" i="192"/>
  <c r="K139" i="192"/>
  <c r="J169" i="192"/>
  <c r="J229" i="192" s="1"/>
  <c r="Q169" i="192"/>
  <c r="Q229" i="192" s="1"/>
  <c r="K169" i="192"/>
  <c r="K229" i="192" s="1"/>
  <c r="P169" i="192"/>
  <c r="P229" i="192" s="1"/>
  <c r="J139" i="192"/>
  <c r="P139" i="192"/>
  <c r="M169" i="192"/>
  <c r="M229" i="192" s="1"/>
  <c r="O139" i="192"/>
  <c r="M139" i="192"/>
  <c r="O169" i="192"/>
  <c r="O229" i="192" s="1"/>
  <c r="N136" i="192"/>
  <c r="K69" i="185"/>
  <c r="M69" i="185"/>
  <c r="O69" i="185"/>
  <c r="L69" i="185"/>
  <c r="P69" i="185"/>
  <c r="N69" i="185"/>
  <c r="J69" i="185"/>
  <c r="W164" i="193"/>
  <c r="W165" i="193"/>
  <c r="Y166" i="193"/>
  <c r="X166" i="193"/>
  <c r="X167" i="193"/>
  <c r="X160" i="193"/>
  <c r="X161" i="193"/>
  <c r="R162" i="193"/>
  <c r="U163" i="193"/>
  <c r="W161" i="193"/>
  <c r="S163" i="193"/>
  <c r="R163" i="193"/>
  <c r="R161" i="193"/>
  <c r="Y167" i="193"/>
  <c r="Y160" i="193"/>
  <c r="S162" i="193"/>
  <c r="V163" i="193"/>
  <c r="V166" i="193"/>
  <c r="X162" i="193"/>
  <c r="W162" i="193"/>
  <c r="R167" i="193"/>
  <c r="U167" i="193"/>
  <c r="T162" i="193"/>
  <c r="Y161" i="193"/>
  <c r="V162" i="193"/>
  <c r="U162" i="193"/>
  <c r="R166" i="193"/>
  <c r="W163" i="193"/>
  <c r="S161" i="193"/>
  <c r="V165" i="193"/>
  <c r="R160" i="193"/>
  <c r="X165" i="193"/>
  <c r="W160" i="193"/>
  <c r="R165" i="193"/>
  <c r="S166" i="193"/>
  <c r="T164" i="193"/>
  <c r="Y163" i="193"/>
  <c r="Y164" i="193"/>
  <c r="T161" i="193"/>
  <c r="Y165" i="193"/>
  <c r="S167" i="193"/>
  <c r="S160" i="193"/>
  <c r="T167" i="193"/>
  <c r="U165" i="193"/>
  <c r="T165" i="193"/>
  <c r="T166" i="193"/>
  <c r="U160" i="193"/>
  <c r="V167" i="193"/>
  <c r="U164" i="193"/>
  <c r="V164" i="193"/>
  <c r="V160" i="193"/>
  <c r="X163" i="193"/>
  <c r="S164" i="193"/>
  <c r="U166" i="193"/>
  <c r="R164" i="193"/>
  <c r="S165" i="193"/>
  <c r="V161" i="193"/>
  <c r="W166" i="193"/>
  <c r="T160" i="193"/>
  <c r="T163" i="193"/>
  <c r="X164" i="193"/>
  <c r="W167" i="193"/>
  <c r="U161" i="193"/>
  <c r="Y162" i="193"/>
  <c r="J168" i="192" l="1"/>
  <c r="J228" i="192" s="1"/>
  <c r="L166" i="192"/>
  <c r="L226" i="192" s="1"/>
  <c r="M136" i="192"/>
  <c r="M266" i="192" s="1"/>
  <c r="M29" i="194" s="1"/>
  <c r="K136" i="192"/>
  <c r="K266" i="192" s="1"/>
  <c r="K29" i="194" s="1"/>
  <c r="J136" i="192"/>
  <c r="J196" i="192" s="1"/>
  <c r="L136" i="192"/>
  <c r="L266" i="192" s="1"/>
  <c r="L29" i="194" s="1"/>
  <c r="O136" i="192"/>
  <c r="O266" i="192" s="1"/>
  <c r="O29" i="194" s="1"/>
  <c r="N166" i="192"/>
  <c r="N226" i="192" s="1"/>
  <c r="J166" i="192"/>
  <c r="J226" i="192" s="1"/>
  <c r="M166" i="192"/>
  <c r="M226" i="192" s="1"/>
  <c r="Q136" i="192"/>
  <c r="Q266" i="192" s="1"/>
  <c r="Q29" i="194" s="1"/>
  <c r="P166" i="192"/>
  <c r="P226" i="192" s="1"/>
  <c r="Q166" i="192"/>
  <c r="Q226" i="192" s="1"/>
  <c r="O166" i="192"/>
  <c r="O226" i="192" s="1"/>
  <c r="P136" i="192"/>
  <c r="P196" i="192" s="1"/>
  <c r="K168" i="192"/>
  <c r="K228" i="192" s="1"/>
  <c r="J137" i="192"/>
  <c r="J197" i="192" s="1"/>
  <c r="Q138" i="192"/>
  <c r="Q198" i="192" s="1"/>
  <c r="O168" i="192"/>
  <c r="O228" i="192" s="1"/>
  <c r="N168" i="192"/>
  <c r="N228" i="192" s="1"/>
  <c r="L138" i="192"/>
  <c r="L198" i="192" s="1"/>
  <c r="N138" i="192"/>
  <c r="N268" i="192" s="1"/>
  <c r="N31" i="194" s="1"/>
  <c r="L168" i="192"/>
  <c r="L228" i="192" s="1"/>
  <c r="M168" i="192"/>
  <c r="M228" i="192" s="1"/>
  <c r="K138" i="192"/>
  <c r="K198" i="192" s="1"/>
  <c r="P138" i="192"/>
  <c r="P198" i="192" s="1"/>
  <c r="M138" i="192"/>
  <c r="M268" i="192" s="1"/>
  <c r="M31" i="194" s="1"/>
  <c r="J138" i="192"/>
  <c r="J268" i="192" s="1"/>
  <c r="J31" i="194" s="1"/>
  <c r="P168" i="192"/>
  <c r="P228" i="192" s="1"/>
  <c r="Q168" i="192"/>
  <c r="Q228" i="192" s="1"/>
  <c r="N135" i="192"/>
  <c r="N265" i="192" s="1"/>
  <c r="N28" i="194" s="1"/>
  <c r="K135" i="192"/>
  <c r="K195" i="192" s="1"/>
  <c r="N165" i="192"/>
  <c r="N225" i="192" s="1"/>
  <c r="Q165" i="192"/>
  <c r="Q225" i="192" s="1"/>
  <c r="M165" i="192"/>
  <c r="M225" i="192" s="1"/>
  <c r="O165" i="192"/>
  <c r="O225" i="192" s="1"/>
  <c r="L135" i="192"/>
  <c r="L265" i="192" s="1"/>
  <c r="L28" i="194" s="1"/>
  <c r="P135" i="192"/>
  <c r="P195" i="192" s="1"/>
  <c r="M135" i="192"/>
  <c r="M195" i="192" s="1"/>
  <c r="P165" i="192"/>
  <c r="P225" i="192" s="1"/>
  <c r="O135" i="192"/>
  <c r="O195" i="192" s="1"/>
  <c r="J165" i="192"/>
  <c r="J225" i="192" s="1"/>
  <c r="L165" i="192"/>
  <c r="L225" i="192" s="1"/>
  <c r="K165" i="192"/>
  <c r="K225" i="192" s="1"/>
  <c r="J135" i="192"/>
  <c r="J195" i="192" s="1"/>
  <c r="O140" i="192"/>
  <c r="O270" i="192" s="1"/>
  <c r="O33" i="194" s="1"/>
  <c r="Q167" i="192"/>
  <c r="Q227" i="192" s="1"/>
  <c r="N167" i="192"/>
  <c r="N227" i="192" s="1"/>
  <c r="P167" i="192"/>
  <c r="P227" i="192" s="1"/>
  <c r="K167" i="192"/>
  <c r="K227" i="192" s="1"/>
  <c r="O137" i="192"/>
  <c r="O197" i="192" s="1"/>
  <c r="Q137" i="192"/>
  <c r="Q197" i="192" s="1"/>
  <c r="O167" i="192"/>
  <c r="O227" i="192" s="1"/>
  <c r="K137" i="192"/>
  <c r="K267" i="192" s="1"/>
  <c r="K30" i="194" s="1"/>
  <c r="L137" i="192"/>
  <c r="L267" i="192" s="1"/>
  <c r="L30" i="194" s="1"/>
  <c r="J167" i="192"/>
  <c r="J227" i="192" s="1"/>
  <c r="M167" i="192"/>
  <c r="M227" i="192" s="1"/>
  <c r="L167" i="192"/>
  <c r="L227" i="192" s="1"/>
  <c r="N137" i="192"/>
  <c r="N197" i="192" s="1"/>
  <c r="M137" i="192"/>
  <c r="M267" i="192" s="1"/>
  <c r="M30" i="194" s="1"/>
  <c r="M170" i="192"/>
  <c r="M230" i="192" s="1"/>
  <c r="J140" i="192"/>
  <c r="J200" i="192" s="1"/>
  <c r="Q170" i="192"/>
  <c r="Q230" i="192" s="1"/>
  <c r="J170" i="192"/>
  <c r="J230" i="192" s="1"/>
  <c r="L170" i="192"/>
  <c r="L230" i="192" s="1"/>
  <c r="P140" i="192"/>
  <c r="P200" i="192" s="1"/>
  <c r="M140" i="192"/>
  <c r="M200" i="192" s="1"/>
  <c r="N170" i="192"/>
  <c r="N230" i="192" s="1"/>
  <c r="P170" i="192"/>
  <c r="P230" i="192" s="1"/>
  <c r="K170" i="192"/>
  <c r="K230" i="192" s="1"/>
  <c r="Q140" i="192"/>
  <c r="Q200" i="192" s="1"/>
  <c r="N140" i="192"/>
  <c r="N270" i="192" s="1"/>
  <c r="N33" i="194" s="1"/>
  <c r="L140" i="192"/>
  <c r="L200" i="192" s="1"/>
  <c r="O170" i="192"/>
  <c r="O230" i="192" s="1"/>
  <c r="O264" i="192"/>
  <c r="O27" i="194" s="1"/>
  <c r="O194" i="192"/>
  <c r="K199" i="192"/>
  <c r="K269" i="192"/>
  <c r="K32" i="194" s="1"/>
  <c r="Q196" i="192"/>
  <c r="M269" i="192"/>
  <c r="M32" i="194" s="1"/>
  <c r="M199" i="192"/>
  <c r="M194" i="192"/>
  <c r="M264" i="192"/>
  <c r="M27" i="194" s="1"/>
  <c r="Q199" i="192"/>
  <c r="Q269" i="192"/>
  <c r="Q32" i="194" s="1"/>
  <c r="P199" i="192"/>
  <c r="P269" i="192"/>
  <c r="P32" i="194" s="1"/>
  <c r="J264" i="192"/>
  <c r="J27" i="194" s="1"/>
  <c r="J194" i="192"/>
  <c r="N194" i="192"/>
  <c r="N264" i="192"/>
  <c r="N27" i="194" s="1"/>
  <c r="P267" i="192"/>
  <c r="P30" i="194" s="1"/>
  <c r="P197" i="192"/>
  <c r="J199" i="192"/>
  <c r="J269" i="192"/>
  <c r="J32" i="194" s="1"/>
  <c r="L264" i="192"/>
  <c r="L27" i="194" s="1"/>
  <c r="L194" i="192"/>
  <c r="P194" i="192"/>
  <c r="P264" i="192"/>
  <c r="P27" i="194" s="1"/>
  <c r="O269" i="192"/>
  <c r="O32" i="194" s="1"/>
  <c r="O199" i="192"/>
  <c r="K270" i="192"/>
  <c r="K33" i="194" s="1"/>
  <c r="K200" i="192"/>
  <c r="N199" i="192"/>
  <c r="N269" i="192"/>
  <c r="N32" i="194" s="1"/>
  <c r="Q264" i="192"/>
  <c r="Q27" i="194" s="1"/>
  <c r="Q194" i="192"/>
  <c r="O268" i="192"/>
  <c r="O31" i="194" s="1"/>
  <c r="O198" i="192"/>
  <c r="N266" i="192"/>
  <c r="N29" i="194" s="1"/>
  <c r="N196" i="192"/>
  <c r="L269" i="192"/>
  <c r="L32" i="194" s="1"/>
  <c r="L199" i="192"/>
  <c r="K264" i="192"/>
  <c r="K27" i="194" s="1"/>
  <c r="K194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Q268" i="192" l="1"/>
  <c r="Q31" i="194" s="1"/>
  <c r="M196" i="192"/>
  <c r="P266" i="192"/>
  <c r="P29" i="194" s="1"/>
  <c r="O196" i="192"/>
  <c r="L196" i="192"/>
  <c r="K196" i="192"/>
  <c r="J266" i="192"/>
  <c r="J29" i="194" s="1"/>
  <c r="J267" i="192"/>
  <c r="J30" i="194" s="1"/>
  <c r="M198" i="192"/>
  <c r="N198" i="192"/>
  <c r="N195" i="192"/>
  <c r="K265" i="192"/>
  <c r="K28" i="194" s="1"/>
  <c r="L268" i="192"/>
  <c r="L31" i="194" s="1"/>
  <c r="J198" i="192"/>
  <c r="P268" i="192"/>
  <c r="P31" i="194" s="1"/>
  <c r="O265" i="192"/>
  <c r="O28" i="194" s="1"/>
  <c r="K268" i="192"/>
  <c r="K31" i="194" s="1"/>
  <c r="L195" i="192"/>
  <c r="J265" i="192"/>
  <c r="J28" i="194" s="1"/>
  <c r="P265" i="192"/>
  <c r="P28" i="194" s="1"/>
  <c r="M265" i="192"/>
  <c r="M28" i="194" s="1"/>
  <c r="O200" i="192"/>
  <c r="Q267" i="192"/>
  <c r="Q30" i="194" s="1"/>
  <c r="M197" i="192"/>
  <c r="N200" i="192"/>
  <c r="L270" i="192"/>
  <c r="L33" i="194" s="1"/>
  <c r="K197" i="192"/>
  <c r="P270" i="192"/>
  <c r="P33" i="194" s="1"/>
  <c r="J270" i="192"/>
  <c r="J33" i="194" s="1"/>
  <c r="N267" i="192"/>
  <c r="N30" i="194" s="1"/>
  <c r="L197" i="192"/>
  <c r="O267" i="192"/>
  <c r="O30" i="194" s="1"/>
  <c r="M270" i="192"/>
  <c r="M33" i="194" s="1"/>
  <c r="Q270" i="192"/>
  <c r="Q33" i="194" s="1"/>
  <c r="O260" i="186" l="1"/>
  <c r="P260" i="186"/>
  <c r="N260" i="186"/>
  <c r="J81" i="98" l="1"/>
  <c r="H81" i="180" s="1"/>
  <c r="J80" i="98"/>
  <c r="H80" i="180" s="1"/>
  <c r="J79" i="98"/>
  <c r="H79" i="180" s="1"/>
  <c r="J78" i="98"/>
  <c r="H78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8" i="98"/>
  <c r="H58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45" i="98"/>
  <c r="H45" i="180" s="1"/>
  <c r="J44" i="98"/>
  <c r="H44" i="180" s="1"/>
  <c r="J46" i="98" l="1"/>
  <c r="H46" i="180" s="1"/>
  <c r="J57" i="98"/>
  <c r="H57" i="180" s="1"/>
  <c r="J56" i="98"/>
  <c r="H56" i="180" s="1"/>
  <c r="J43" i="98"/>
  <c r="H43" i="180" s="1"/>
  <c r="H47" i="180" s="1"/>
  <c r="H48" i="180" s="1"/>
  <c r="O47" i="98"/>
  <c r="J50" i="98"/>
  <c r="H50" i="180" s="1"/>
  <c r="J74" i="98"/>
  <c r="H74" i="180" s="1"/>
  <c r="J61" i="98"/>
  <c r="H61" i="180" s="1"/>
  <c r="H72" i="180" s="1"/>
  <c r="O72" i="98"/>
  <c r="J72" i="98" s="1"/>
  <c r="J77" i="98"/>
  <c r="H77" i="180" s="1"/>
  <c r="H82" i="180" s="1"/>
  <c r="O82" i="98"/>
  <c r="J82" i="98" s="1"/>
  <c r="O59" i="98" l="1"/>
  <c r="J59" i="98" s="1"/>
  <c r="H64" i="196"/>
  <c r="H30" i="195"/>
  <c r="O48" i="98"/>
  <c r="J47" i="98"/>
  <c r="H65" i="196"/>
  <c r="H31" i="195"/>
  <c r="H59" i="180"/>
  <c r="H75" i="180" s="1"/>
  <c r="H83" i="180" s="1"/>
  <c r="H90" i="180" s="1"/>
  <c r="H61" i="196" l="1"/>
  <c r="H67" i="196" s="1"/>
  <c r="H83" i="198"/>
  <c r="H126" i="198" s="1"/>
  <c r="J48" i="98"/>
  <c r="O75" i="98"/>
  <c r="J75" i="98" l="1"/>
  <c r="P95" i="98"/>
  <c r="O83" i="98"/>
  <c r="O95" i="98"/>
  <c r="J95" i="98" s="1"/>
  <c r="O90" i="98" l="1"/>
  <c r="J83" i="98"/>
  <c r="O93" i="98"/>
  <c r="J93" i="98" l="1"/>
  <c r="P96" i="98"/>
  <c r="O94" i="98"/>
  <c r="J94" i="98" s="1"/>
  <c r="O96" i="98"/>
  <c r="J96" i="98" s="1"/>
  <c r="J90" i="98"/>
  <c r="O91" i="98"/>
  <c r="J91" i="98" s="1"/>
  <c r="J19" i="97" l="1"/>
  <c r="J24" i="97"/>
  <c r="J44" i="97"/>
  <c r="J46" i="97"/>
  <c r="J41" i="97"/>
  <c r="J39" i="97"/>
  <c r="J20" i="97"/>
  <c r="J23" i="97"/>
  <c r="J25" i="97"/>
  <c r="J26" i="97"/>
  <c r="J22" i="97"/>
  <c r="J21" i="97"/>
  <c r="J43" i="97"/>
  <c r="J45" i="97"/>
  <c r="J19" i="178" l="1" a="1"/>
  <c r="S19" i="178" s="1"/>
  <c r="S63" i="185" s="1"/>
  <c r="S85" i="185" s="1"/>
  <c r="J18" i="178" a="1"/>
  <c r="J105" i="98" l="1"/>
  <c r="H100" i="180" s="1"/>
  <c r="J98" i="188" s="1"/>
  <c r="J112" i="98"/>
  <c r="H107" i="180" s="1"/>
  <c r="H88" i="188" s="1"/>
  <c r="L19" i="178"/>
  <c r="L63" i="185" s="1"/>
  <c r="V19" i="178"/>
  <c r="V63" i="185" s="1"/>
  <c r="V85" i="185" s="1"/>
  <c r="O19" i="178"/>
  <c r="O63" i="185" s="1"/>
  <c r="Q19" i="178"/>
  <c r="Q63" i="185" s="1"/>
  <c r="Q85" i="185" s="1"/>
  <c r="U19" i="178"/>
  <c r="U63" i="185" s="1"/>
  <c r="U85" i="185" s="1"/>
  <c r="K19" i="178"/>
  <c r="K63" i="185" s="1"/>
  <c r="Y19" i="178"/>
  <c r="Y63" i="185" s="1"/>
  <c r="Y85" i="185" s="1"/>
  <c r="J19" i="178"/>
  <c r="J63" i="185" s="1"/>
  <c r="N19" i="178"/>
  <c r="N63" i="185" s="1"/>
  <c r="M19" i="178"/>
  <c r="M63" i="185" s="1"/>
  <c r="T19" i="178"/>
  <c r="T63" i="185" s="1"/>
  <c r="T85" i="185" s="1"/>
  <c r="W19" i="178"/>
  <c r="W63" i="185" s="1"/>
  <c r="W85" i="185" s="1"/>
  <c r="P19" i="178"/>
  <c r="P63" i="185" s="1"/>
  <c r="X19" i="178"/>
  <c r="X63" i="185" s="1"/>
  <c r="X85" i="185" s="1"/>
  <c r="R19" i="178"/>
  <c r="R63" i="185" s="1"/>
  <c r="R85" i="185" s="1"/>
  <c r="J142" i="100"/>
  <c r="M43" i="179" s="1"/>
  <c r="O210" i="100"/>
  <c r="J147" i="100"/>
  <c r="R43" i="179" s="1"/>
  <c r="O203" i="100"/>
  <c r="J154" i="100"/>
  <c r="M44" i="179" s="1"/>
  <c r="H120" i="185" s="1"/>
  <c r="J159" i="100"/>
  <c r="R44" i="179" s="1"/>
  <c r="H160" i="185" s="1"/>
  <c r="J166" i="100"/>
  <c r="M45" i="179" s="1"/>
  <c r="H121" i="185" s="1"/>
  <c r="J171" i="100"/>
  <c r="R45" i="179" s="1"/>
  <c r="H161" i="185" s="1"/>
  <c r="J178" i="100"/>
  <c r="M46" i="179" s="1"/>
  <c r="H122" i="185" s="1"/>
  <c r="J183" i="100"/>
  <c r="R46" i="179" s="1"/>
  <c r="H162" i="185" s="1"/>
  <c r="J143" i="100"/>
  <c r="N43" i="179" s="1"/>
  <c r="O199" i="100"/>
  <c r="O204" i="100"/>
  <c r="J148" i="100"/>
  <c r="S43" i="179" s="1"/>
  <c r="J155" i="100"/>
  <c r="N44" i="179" s="1"/>
  <c r="H128" i="185" s="1"/>
  <c r="J160" i="100"/>
  <c r="S44" i="179" s="1"/>
  <c r="H168" i="185" s="1"/>
  <c r="J167" i="100"/>
  <c r="N45" i="179" s="1"/>
  <c r="H129" i="185" s="1"/>
  <c r="J172" i="100"/>
  <c r="S45" i="179" s="1"/>
  <c r="H169" i="185" s="1"/>
  <c r="J179" i="100"/>
  <c r="N46" i="179" s="1"/>
  <c r="H130" i="185" s="1"/>
  <c r="J184" i="100"/>
  <c r="S46" i="179" s="1"/>
  <c r="H170" i="185" s="1"/>
  <c r="J140" i="100"/>
  <c r="K43" i="179" s="1"/>
  <c r="O196" i="100"/>
  <c r="J144" i="100"/>
  <c r="O43" i="179" s="1"/>
  <c r="O200" i="100"/>
  <c r="J152" i="100"/>
  <c r="K44" i="179" s="1"/>
  <c r="H104" i="185" s="1"/>
  <c r="J156" i="100"/>
  <c r="O44" i="179" s="1"/>
  <c r="H136" i="185" s="1"/>
  <c r="J164" i="100"/>
  <c r="K45" i="179" s="1"/>
  <c r="H105" i="185" s="1"/>
  <c r="J168" i="100"/>
  <c r="O45" i="179" s="1"/>
  <c r="H137" i="185" s="1"/>
  <c r="J176" i="100"/>
  <c r="K46" i="179" s="1"/>
  <c r="H106" i="185" s="1"/>
  <c r="J180" i="100"/>
  <c r="O46" i="179" s="1"/>
  <c r="H138" i="185" s="1"/>
  <c r="J141" i="100"/>
  <c r="L43" i="179" s="1"/>
  <c r="O209" i="100"/>
  <c r="J146" i="100"/>
  <c r="Q43" i="179" s="1"/>
  <c r="O202" i="100"/>
  <c r="J153" i="100"/>
  <c r="L44" i="179" s="1"/>
  <c r="H112" i="185" s="1"/>
  <c r="J158" i="100"/>
  <c r="Q44" i="179" s="1"/>
  <c r="H152" i="185" s="1"/>
  <c r="J165" i="100"/>
  <c r="L45" i="179" s="1"/>
  <c r="H113" i="185" s="1"/>
  <c r="J170" i="100"/>
  <c r="Q45" i="179" s="1"/>
  <c r="H153" i="185" s="1"/>
  <c r="J177" i="100"/>
  <c r="L46" i="179" s="1"/>
  <c r="H114" i="185" s="1"/>
  <c r="J182" i="100"/>
  <c r="Q46" i="179" s="1"/>
  <c r="H154" i="185" s="1"/>
  <c r="N18" i="178"/>
  <c r="P18" i="178"/>
  <c r="R18" i="178"/>
  <c r="R62" i="185" s="1"/>
  <c r="T18" i="178"/>
  <c r="T62" i="185" s="1"/>
  <c r="X18" i="178"/>
  <c r="X62" i="185" s="1"/>
  <c r="K18" i="178"/>
  <c r="M18" i="178"/>
  <c r="W18" i="178"/>
  <c r="W62" i="185" s="1"/>
  <c r="L18" i="178"/>
  <c r="Q18" i="178"/>
  <c r="U18" i="178"/>
  <c r="U62" i="185" s="1"/>
  <c r="O18" i="178"/>
  <c r="J18" i="178"/>
  <c r="V18" i="178"/>
  <c r="V62" i="185" s="1"/>
  <c r="Y18" i="178"/>
  <c r="Y62" i="185" s="1"/>
  <c r="S18" i="178"/>
  <c r="S62" i="185" s="1"/>
  <c r="P209" i="100" l="1"/>
  <c r="J70" i="100"/>
  <c r="S24" i="179" s="1"/>
  <c r="W83" i="185"/>
  <c r="W91" i="185" s="1"/>
  <c r="W267" i="185" s="1"/>
  <c r="W78" i="189" s="1"/>
  <c r="W89" i="185"/>
  <c r="L208" i="185"/>
  <c r="O208" i="185"/>
  <c r="U208" i="185"/>
  <c r="P208" i="185"/>
  <c r="N208" i="185"/>
  <c r="V208" i="185"/>
  <c r="Y208" i="185"/>
  <c r="J208" i="185"/>
  <c r="X208" i="185"/>
  <c r="W208" i="185"/>
  <c r="M208" i="185"/>
  <c r="K208" i="185"/>
  <c r="R208" i="185"/>
  <c r="T208" i="185"/>
  <c r="S208" i="185"/>
  <c r="K183" i="185"/>
  <c r="Y183" i="185"/>
  <c r="N183" i="185"/>
  <c r="T183" i="185"/>
  <c r="J183" i="185"/>
  <c r="L183" i="185"/>
  <c r="S183" i="185"/>
  <c r="M183" i="185"/>
  <c r="U183" i="185"/>
  <c r="R183" i="185"/>
  <c r="P183" i="185"/>
  <c r="O183" i="185"/>
  <c r="W183" i="185"/>
  <c r="X183" i="185"/>
  <c r="V183" i="185"/>
  <c r="H111" i="185"/>
  <c r="L57" i="179"/>
  <c r="Q197" i="185"/>
  <c r="Q177" i="185"/>
  <c r="S199" i="185"/>
  <c r="O199" i="185"/>
  <c r="Y199" i="185"/>
  <c r="X199" i="185"/>
  <c r="W199" i="185"/>
  <c r="M199" i="185"/>
  <c r="P199" i="185"/>
  <c r="U199" i="185"/>
  <c r="J199" i="185"/>
  <c r="T199" i="185"/>
  <c r="H140" i="185"/>
  <c r="Q199" i="185" s="1"/>
  <c r="L199" i="185"/>
  <c r="R199" i="185"/>
  <c r="V199" i="185"/>
  <c r="N199" i="185"/>
  <c r="K199" i="185"/>
  <c r="Q200" i="100"/>
  <c r="H135" i="185"/>
  <c r="O56" i="179"/>
  <c r="Q196" i="100"/>
  <c r="P193" i="185"/>
  <c r="W193" i="185"/>
  <c r="X193" i="185"/>
  <c r="V193" i="185"/>
  <c r="J193" i="185"/>
  <c r="Y193" i="185"/>
  <c r="T193" i="185"/>
  <c r="S193" i="185"/>
  <c r="L193" i="185"/>
  <c r="M193" i="185"/>
  <c r="U193" i="185"/>
  <c r="K193" i="185"/>
  <c r="O193" i="185"/>
  <c r="R193" i="185"/>
  <c r="N193" i="185"/>
  <c r="S56" i="179"/>
  <c r="H167" i="185"/>
  <c r="Q199" i="100"/>
  <c r="N56" i="179"/>
  <c r="H127" i="185"/>
  <c r="H131" i="185" s="1"/>
  <c r="Q193" i="185" s="1"/>
  <c r="Q187" i="185"/>
  <c r="P188" i="185"/>
  <c r="O188" i="185"/>
  <c r="K188" i="185"/>
  <c r="R188" i="185"/>
  <c r="V188" i="185"/>
  <c r="S188" i="185"/>
  <c r="L188" i="185"/>
  <c r="X188" i="185"/>
  <c r="T188" i="185"/>
  <c r="W188" i="185"/>
  <c r="Y188" i="185"/>
  <c r="N188" i="185"/>
  <c r="M188" i="185"/>
  <c r="U188" i="185"/>
  <c r="J188" i="185"/>
  <c r="Q203" i="100"/>
  <c r="S210" i="100"/>
  <c r="J69" i="100"/>
  <c r="R24" i="179" s="1"/>
  <c r="J65" i="100"/>
  <c r="N24" i="179" s="1"/>
  <c r="Y89" i="185"/>
  <c r="Y83" i="185"/>
  <c r="Y91" i="185" s="1"/>
  <c r="Y267" i="185" s="1"/>
  <c r="Y78" i="189" s="1"/>
  <c r="U89" i="185"/>
  <c r="U83" i="185"/>
  <c r="U91" i="185" s="1"/>
  <c r="U267" i="185" s="1"/>
  <c r="U78" i="189" s="1"/>
  <c r="M61" i="186"/>
  <c r="M200" i="186" s="1"/>
  <c r="M20" i="194" s="1"/>
  <c r="M62" i="185"/>
  <c r="R83" i="185"/>
  <c r="R91" i="185" s="1"/>
  <c r="R267" i="185" s="1"/>
  <c r="R78" i="189" s="1"/>
  <c r="R89" i="185"/>
  <c r="S202" i="100"/>
  <c r="R209" i="100"/>
  <c r="Q209" i="100"/>
  <c r="P200" i="100"/>
  <c r="S196" i="100"/>
  <c r="Q217" i="185"/>
  <c r="H171" i="185"/>
  <c r="Q218" i="185" s="1"/>
  <c r="Q192" i="185"/>
  <c r="T218" i="185"/>
  <c r="K218" i="185"/>
  <c r="Y218" i="185"/>
  <c r="X218" i="185"/>
  <c r="J218" i="185"/>
  <c r="N218" i="185"/>
  <c r="U218" i="185"/>
  <c r="L218" i="185"/>
  <c r="S218" i="185"/>
  <c r="V218" i="185"/>
  <c r="O218" i="185"/>
  <c r="W218" i="185"/>
  <c r="M218" i="185"/>
  <c r="P218" i="185"/>
  <c r="R218" i="185"/>
  <c r="P204" i="100"/>
  <c r="R199" i="100"/>
  <c r="P199" i="100"/>
  <c r="Q212" i="185"/>
  <c r="P189" i="185"/>
  <c r="U189" i="185"/>
  <c r="K189" i="185"/>
  <c r="H124" i="185"/>
  <c r="Q189" i="185" s="1"/>
  <c r="L189" i="185"/>
  <c r="J189" i="185"/>
  <c r="M189" i="185"/>
  <c r="N189" i="185"/>
  <c r="V189" i="185"/>
  <c r="T189" i="185"/>
  <c r="Y189" i="185"/>
  <c r="R189" i="185"/>
  <c r="O189" i="185"/>
  <c r="X189" i="185"/>
  <c r="S189" i="185"/>
  <c r="W189" i="185"/>
  <c r="R203" i="100"/>
  <c r="S203" i="100"/>
  <c r="R210" i="100"/>
  <c r="H119" i="185"/>
  <c r="M57" i="179"/>
  <c r="J66" i="100"/>
  <c r="O24" i="179" s="1"/>
  <c r="S83" i="185"/>
  <c r="S91" i="185" s="1"/>
  <c r="S267" i="185" s="1"/>
  <c r="S78" i="189" s="1"/>
  <c r="S89" i="185"/>
  <c r="O62" i="185"/>
  <c r="O61" i="186"/>
  <c r="O200" i="186" s="1"/>
  <c r="T83" i="185"/>
  <c r="T91" i="185" s="1"/>
  <c r="T267" i="185" s="1"/>
  <c r="T78" i="189" s="1"/>
  <c r="T89" i="185"/>
  <c r="J68" i="100"/>
  <c r="Q24" i="179" s="1"/>
  <c r="J64" i="100"/>
  <c r="M24" i="179" s="1"/>
  <c r="V89" i="185"/>
  <c r="V83" i="185"/>
  <c r="V91" i="185" s="1"/>
  <c r="V267" i="185" s="1"/>
  <c r="V78" i="189" s="1"/>
  <c r="Q62" i="185"/>
  <c r="Q61" i="186"/>
  <c r="Q200" i="186" s="1"/>
  <c r="K61" i="186"/>
  <c r="K200" i="186" s="1"/>
  <c r="K20" i="194" s="1"/>
  <c r="K62" i="185"/>
  <c r="P62" i="185"/>
  <c r="P61" i="186"/>
  <c r="P200" i="186" s="1"/>
  <c r="Q207" i="185"/>
  <c r="Q182" i="185"/>
  <c r="R202" i="100"/>
  <c r="H151" i="185"/>
  <c r="Q56" i="179"/>
  <c r="S209" i="100"/>
  <c r="V179" i="185"/>
  <c r="J179" i="185"/>
  <c r="P179" i="185"/>
  <c r="T179" i="185"/>
  <c r="M179" i="185"/>
  <c r="K179" i="185"/>
  <c r="W179" i="185"/>
  <c r="X179" i="185"/>
  <c r="U179" i="185"/>
  <c r="H108" i="185"/>
  <c r="Q179" i="185" s="1"/>
  <c r="N179" i="185"/>
  <c r="O179" i="185"/>
  <c r="L179" i="185"/>
  <c r="Y179" i="185"/>
  <c r="S179" i="185"/>
  <c r="R179" i="185"/>
  <c r="S198" i="185"/>
  <c r="T198" i="185"/>
  <c r="M198" i="185"/>
  <c r="Y198" i="185"/>
  <c r="K198" i="185"/>
  <c r="X198" i="185"/>
  <c r="N198" i="185"/>
  <c r="P198" i="185"/>
  <c r="R198" i="185"/>
  <c r="W198" i="185"/>
  <c r="V198" i="185"/>
  <c r="U198" i="185"/>
  <c r="L198" i="185"/>
  <c r="O198" i="185"/>
  <c r="J198" i="185"/>
  <c r="R200" i="100"/>
  <c r="P196" i="100"/>
  <c r="K56" i="179"/>
  <c r="H103" i="185"/>
  <c r="L219" i="185"/>
  <c r="J219" i="185"/>
  <c r="X219" i="185"/>
  <c r="N219" i="185"/>
  <c r="Y219" i="185"/>
  <c r="V219" i="185"/>
  <c r="O219" i="185"/>
  <c r="W219" i="185"/>
  <c r="R219" i="185"/>
  <c r="T219" i="185"/>
  <c r="H172" i="185"/>
  <c r="Q219" i="185" s="1"/>
  <c r="S219" i="185"/>
  <c r="U219" i="185"/>
  <c r="M219" i="185"/>
  <c r="K219" i="185"/>
  <c r="P219" i="185"/>
  <c r="J194" i="185"/>
  <c r="X194" i="185"/>
  <c r="K194" i="185"/>
  <c r="W194" i="185"/>
  <c r="N194" i="185"/>
  <c r="M194" i="185"/>
  <c r="Y194" i="185"/>
  <c r="U194" i="185"/>
  <c r="H132" i="185"/>
  <c r="Q194" i="185" s="1"/>
  <c r="L194" i="185"/>
  <c r="S194" i="185"/>
  <c r="P194" i="185"/>
  <c r="T194" i="185"/>
  <c r="O194" i="185"/>
  <c r="V194" i="185"/>
  <c r="R194" i="185"/>
  <c r="Q204" i="100"/>
  <c r="R204" i="100"/>
  <c r="P203" i="100"/>
  <c r="J62" i="100"/>
  <c r="J67" i="100"/>
  <c r="P24" i="179" s="1"/>
  <c r="J63" i="100"/>
  <c r="L24" i="179" s="1"/>
  <c r="J61" i="186"/>
  <c r="J62" i="185"/>
  <c r="L62" i="185"/>
  <c r="L61" i="186"/>
  <c r="L200" i="186" s="1"/>
  <c r="X83" i="185"/>
  <c r="X91" i="185" s="1"/>
  <c r="X267" i="185" s="1"/>
  <c r="X78" i="189" s="1"/>
  <c r="X89" i="185"/>
  <c r="N62" i="185"/>
  <c r="N61" i="186"/>
  <c r="N200" i="186" s="1"/>
  <c r="Y209" i="185"/>
  <c r="X209" i="185"/>
  <c r="J209" i="185"/>
  <c r="U209" i="185"/>
  <c r="V209" i="185"/>
  <c r="O209" i="185"/>
  <c r="P209" i="185"/>
  <c r="N209" i="185"/>
  <c r="S209" i="185"/>
  <c r="T209" i="185"/>
  <c r="R209" i="185"/>
  <c r="K209" i="185"/>
  <c r="M209" i="185"/>
  <c r="H156" i="185"/>
  <c r="Q209" i="185" s="1"/>
  <c r="L209" i="185"/>
  <c r="W209" i="185"/>
  <c r="S184" i="185"/>
  <c r="T184" i="185"/>
  <c r="K184" i="185"/>
  <c r="H116" i="185"/>
  <c r="Q184" i="185" s="1"/>
  <c r="J184" i="185"/>
  <c r="P184" i="185"/>
  <c r="V184" i="185"/>
  <c r="O184" i="185"/>
  <c r="U184" i="185"/>
  <c r="W184" i="185"/>
  <c r="M184" i="185"/>
  <c r="Y184" i="185"/>
  <c r="R184" i="185"/>
  <c r="L184" i="185"/>
  <c r="N184" i="185"/>
  <c r="X184" i="185"/>
  <c r="P202" i="100"/>
  <c r="Q202" i="100"/>
  <c r="V178" i="185"/>
  <c r="T178" i="185"/>
  <c r="J178" i="185"/>
  <c r="P178" i="185"/>
  <c r="L178" i="185"/>
  <c r="N178" i="185"/>
  <c r="M178" i="185"/>
  <c r="W178" i="185"/>
  <c r="O178" i="185"/>
  <c r="S178" i="185"/>
  <c r="X178" i="185"/>
  <c r="U178" i="185"/>
  <c r="K178" i="185"/>
  <c r="Y178" i="185"/>
  <c r="R178" i="185"/>
  <c r="S200" i="100"/>
  <c r="R196" i="100"/>
  <c r="S204" i="100"/>
  <c r="S199" i="100"/>
  <c r="V214" i="185"/>
  <c r="M214" i="185"/>
  <c r="U214" i="185"/>
  <c r="J214" i="185"/>
  <c r="Y214" i="185"/>
  <c r="K214" i="185"/>
  <c r="X214" i="185"/>
  <c r="R214" i="185"/>
  <c r="O214" i="185"/>
  <c r="S214" i="185"/>
  <c r="N214" i="185"/>
  <c r="H164" i="185"/>
  <c r="Q214" i="185" s="1"/>
  <c r="T214" i="185"/>
  <c r="P214" i="185"/>
  <c r="L214" i="185"/>
  <c r="W214" i="185"/>
  <c r="W213" i="185"/>
  <c r="P213" i="185"/>
  <c r="K213" i="185"/>
  <c r="R213" i="185"/>
  <c r="O213" i="185"/>
  <c r="S213" i="185"/>
  <c r="V213" i="185"/>
  <c r="Y213" i="185"/>
  <c r="U213" i="185"/>
  <c r="L213" i="185"/>
  <c r="M213" i="185"/>
  <c r="J213" i="185"/>
  <c r="X213" i="185"/>
  <c r="N213" i="185"/>
  <c r="T213" i="185"/>
  <c r="H159" i="185"/>
  <c r="R56" i="179"/>
  <c r="Q210" i="100"/>
  <c r="P210" i="100"/>
  <c r="H202" i="100" l="1"/>
  <c r="H209" i="100"/>
  <c r="H199" i="100"/>
  <c r="H204" i="100"/>
  <c r="H200" i="100"/>
  <c r="N204" i="186"/>
  <c r="N20" i="194"/>
  <c r="L258" i="186"/>
  <c r="L259" i="186"/>
  <c r="L257" i="186"/>
  <c r="L254" i="186"/>
  <c r="L204" i="186"/>
  <c r="L206" i="186" s="1"/>
  <c r="L20" i="194"/>
  <c r="L255" i="186"/>
  <c r="L256" i="186"/>
  <c r="L252" i="186"/>
  <c r="L253" i="186"/>
  <c r="P177" i="185"/>
  <c r="J177" i="185"/>
  <c r="T177" i="185"/>
  <c r="O177" i="185"/>
  <c r="L177" i="185"/>
  <c r="Y177" i="185"/>
  <c r="M177" i="185"/>
  <c r="S177" i="185"/>
  <c r="V177" i="185"/>
  <c r="N177" i="185"/>
  <c r="K177" i="185"/>
  <c r="X177" i="185"/>
  <c r="R177" i="185"/>
  <c r="U177" i="185"/>
  <c r="W177" i="185"/>
  <c r="H203" i="100"/>
  <c r="R131" i="189"/>
  <c r="R129" i="189"/>
  <c r="R124" i="189"/>
  <c r="R130" i="189"/>
  <c r="R132" i="189"/>
  <c r="R127" i="189"/>
  <c r="R125" i="189"/>
  <c r="R128" i="189"/>
  <c r="R123" i="189"/>
  <c r="R126" i="189"/>
  <c r="H57" i="179"/>
  <c r="N71" i="185"/>
  <c r="N89" i="185"/>
  <c r="H56" i="179"/>
  <c r="W207" i="185"/>
  <c r="X207" i="185"/>
  <c r="K207" i="185"/>
  <c r="S207" i="185"/>
  <c r="M207" i="185"/>
  <c r="L207" i="185"/>
  <c r="R207" i="185"/>
  <c r="J207" i="185"/>
  <c r="V207" i="185"/>
  <c r="U207" i="185"/>
  <c r="N207" i="185"/>
  <c r="P207" i="185"/>
  <c r="O207" i="185"/>
  <c r="T207" i="185"/>
  <c r="Y207" i="185"/>
  <c r="H155" i="185"/>
  <c r="Q208" i="185" s="1"/>
  <c r="K71" i="185"/>
  <c r="K73" i="185" s="1"/>
  <c r="K89" i="185"/>
  <c r="S187" i="185"/>
  <c r="P187" i="185"/>
  <c r="N187" i="185"/>
  <c r="T187" i="185"/>
  <c r="O187" i="185"/>
  <c r="M187" i="185"/>
  <c r="V187" i="185"/>
  <c r="R187" i="185"/>
  <c r="L187" i="185"/>
  <c r="W187" i="185"/>
  <c r="K187" i="185"/>
  <c r="X187" i="185"/>
  <c r="U187" i="185"/>
  <c r="J187" i="185"/>
  <c r="Y187" i="185"/>
  <c r="M71" i="185"/>
  <c r="M73" i="185" s="1"/>
  <c r="M89" i="185"/>
  <c r="W182" i="185"/>
  <c r="U182" i="185"/>
  <c r="O182" i="185"/>
  <c r="P182" i="185"/>
  <c r="Y182" i="185"/>
  <c r="K182" i="185"/>
  <c r="M182" i="185"/>
  <c r="V182" i="185"/>
  <c r="T182" i="185"/>
  <c r="N182" i="185"/>
  <c r="J182" i="185"/>
  <c r="X182" i="185"/>
  <c r="S182" i="185"/>
  <c r="R182" i="185"/>
  <c r="L182" i="185"/>
  <c r="J71" i="185"/>
  <c r="J89" i="185"/>
  <c r="H196" i="100"/>
  <c r="K77" i="194"/>
  <c r="K72" i="194"/>
  <c r="K73" i="194"/>
  <c r="K78" i="194"/>
  <c r="K76" i="194"/>
  <c r="K74" i="194"/>
  <c r="K75" i="194"/>
  <c r="T132" i="189"/>
  <c r="T131" i="189"/>
  <c r="T127" i="189"/>
  <c r="T124" i="189"/>
  <c r="T123" i="189"/>
  <c r="T126" i="189"/>
  <c r="T129" i="189"/>
  <c r="T125" i="189"/>
  <c r="T128" i="189"/>
  <c r="T130" i="189"/>
  <c r="S127" i="189"/>
  <c r="S132" i="189"/>
  <c r="S125" i="189"/>
  <c r="S124" i="189"/>
  <c r="S129" i="189"/>
  <c r="S128" i="189"/>
  <c r="S131" i="189"/>
  <c r="S130" i="189"/>
  <c r="S123" i="189"/>
  <c r="S126" i="189"/>
  <c r="H210" i="100"/>
  <c r="M77" i="194"/>
  <c r="M75" i="194"/>
  <c r="M78" i="194"/>
  <c r="M72" i="194"/>
  <c r="M76" i="194"/>
  <c r="M73" i="194"/>
  <c r="M74" i="194"/>
  <c r="H123" i="185"/>
  <c r="Q188" i="185" s="1"/>
  <c r="N197" i="185"/>
  <c r="K197" i="185"/>
  <c r="X197" i="185"/>
  <c r="U197" i="185"/>
  <c r="T197" i="185"/>
  <c r="P197" i="185"/>
  <c r="J197" i="185"/>
  <c r="Y197" i="185"/>
  <c r="V197" i="185"/>
  <c r="W197" i="185"/>
  <c r="R197" i="185"/>
  <c r="M197" i="185"/>
  <c r="S197" i="185"/>
  <c r="L197" i="185"/>
  <c r="O197" i="185"/>
  <c r="H139" i="185"/>
  <c r="Q198" i="185" s="1"/>
  <c r="W123" i="189"/>
  <c r="W130" i="189"/>
  <c r="W131" i="189"/>
  <c r="W132" i="189"/>
  <c r="W128" i="189"/>
  <c r="W127" i="189"/>
  <c r="W129" i="189"/>
  <c r="W125" i="189"/>
  <c r="W124" i="189"/>
  <c r="W126" i="189"/>
  <c r="H190" i="100" a="1"/>
  <c r="H190" i="100" s="1"/>
  <c r="H218" i="100" s="1"/>
  <c r="K24" i="179"/>
  <c r="P89" i="185"/>
  <c r="P71" i="185"/>
  <c r="Q89" i="185"/>
  <c r="Q83" i="185"/>
  <c r="Q91" i="185" s="1"/>
  <c r="Q267" i="185" s="1"/>
  <c r="Q78" i="189" s="1"/>
  <c r="O89" i="185"/>
  <c r="O71" i="185"/>
  <c r="W192" i="185"/>
  <c r="M192" i="185"/>
  <c r="N192" i="185"/>
  <c r="T192" i="185"/>
  <c r="J192" i="185"/>
  <c r="R192" i="185"/>
  <c r="P192" i="185"/>
  <c r="S192" i="185"/>
  <c r="X192" i="185"/>
  <c r="Y192" i="185"/>
  <c r="O192" i="185"/>
  <c r="L192" i="185"/>
  <c r="V192" i="185"/>
  <c r="K192" i="185"/>
  <c r="U192" i="185"/>
  <c r="H107" i="185"/>
  <c r="Q178" i="185" s="1"/>
  <c r="J212" i="185"/>
  <c r="L212" i="185"/>
  <c r="P212" i="185"/>
  <c r="O212" i="185"/>
  <c r="R212" i="185"/>
  <c r="K212" i="185"/>
  <c r="M212" i="185"/>
  <c r="W212" i="185"/>
  <c r="X212" i="185"/>
  <c r="Y212" i="185"/>
  <c r="T212" i="185"/>
  <c r="U212" i="185"/>
  <c r="N212" i="185"/>
  <c r="S212" i="185"/>
  <c r="V212" i="185"/>
  <c r="L71" i="185"/>
  <c r="L89" i="185"/>
  <c r="V124" i="189"/>
  <c r="V131" i="189"/>
  <c r="V126" i="189"/>
  <c r="V128" i="189"/>
  <c r="V132" i="189"/>
  <c r="V123" i="189"/>
  <c r="V130" i="189"/>
  <c r="V129" i="189"/>
  <c r="V127" i="189"/>
  <c r="V125" i="189"/>
  <c r="H163" i="185"/>
  <c r="Q213" i="185" s="1"/>
  <c r="Y129" i="189"/>
  <c r="Y132" i="189"/>
  <c r="Y131" i="189"/>
  <c r="Y127" i="189"/>
  <c r="Y123" i="189"/>
  <c r="Y125" i="189"/>
  <c r="Y124" i="189"/>
  <c r="Y130" i="189"/>
  <c r="Y126" i="189"/>
  <c r="Y128" i="189"/>
  <c r="X128" i="189"/>
  <c r="X124" i="189"/>
  <c r="X126" i="189"/>
  <c r="X131" i="189"/>
  <c r="X132" i="189"/>
  <c r="X130" i="189"/>
  <c r="X129" i="189"/>
  <c r="X125" i="189"/>
  <c r="X127" i="189"/>
  <c r="X123" i="189"/>
  <c r="J200" i="186"/>
  <c r="H115" i="185"/>
  <c r="Q183" i="185" s="1"/>
  <c r="P204" i="186"/>
  <c r="P206" i="186" s="1"/>
  <c r="P20" i="194"/>
  <c r="Q20" i="194"/>
  <c r="Q255" i="186"/>
  <c r="Q256" i="186"/>
  <c r="Q204" i="186"/>
  <c r="Q206" i="186" s="1"/>
  <c r="Q259" i="186"/>
  <c r="Q254" i="186"/>
  <c r="Q257" i="186"/>
  <c r="Q253" i="186"/>
  <c r="Q258" i="186"/>
  <c r="Q252" i="186"/>
  <c r="O20" i="194"/>
  <c r="O204" i="186"/>
  <c r="O206" i="186" s="1"/>
  <c r="U129" i="189"/>
  <c r="U127" i="189"/>
  <c r="U124" i="189"/>
  <c r="U126" i="189"/>
  <c r="U131" i="189"/>
  <c r="U132" i="189"/>
  <c r="U130" i="189"/>
  <c r="U125" i="189"/>
  <c r="U128" i="189"/>
  <c r="U123" i="189"/>
  <c r="U217" i="185"/>
  <c r="P217" i="185"/>
  <c r="T217" i="185"/>
  <c r="Y217" i="185"/>
  <c r="W217" i="185"/>
  <c r="O217" i="185"/>
  <c r="X217" i="185"/>
  <c r="K217" i="185"/>
  <c r="J217" i="185"/>
  <c r="S217" i="185"/>
  <c r="V217" i="185"/>
  <c r="N217" i="185"/>
  <c r="R217" i="185"/>
  <c r="L217" i="185"/>
  <c r="M217" i="185"/>
  <c r="J25" i="98"/>
  <c r="H25" i="180" s="1"/>
  <c r="J26" i="98"/>
  <c r="H26" i="180" s="1"/>
  <c r="J20" i="98"/>
  <c r="H20" i="180" s="1"/>
  <c r="Q25" i="185" s="1"/>
  <c r="Q225" i="185" s="1"/>
  <c r="Q245" i="185" s="1"/>
  <c r="J21" i="98"/>
  <c r="H21" i="180" s="1"/>
  <c r="Q26" i="185" s="1"/>
  <c r="Q226" i="185" s="1"/>
  <c r="Q256" i="185" s="1"/>
  <c r="J111" i="98" l="1"/>
  <c r="H106" i="180" s="1"/>
  <c r="H87" i="188" s="1"/>
  <c r="J110" i="98"/>
  <c r="H105" i="180" s="1"/>
  <c r="H86" i="188" s="1"/>
  <c r="H90" i="188" s="1"/>
  <c r="H122" i="188" s="1"/>
  <c r="H20" i="190" s="1"/>
  <c r="Q241" i="185"/>
  <c r="Q248" i="185"/>
  <c r="J35" i="55"/>
  <c r="A4" i="100"/>
  <c r="N73" i="185"/>
  <c r="N79" i="185" s="1"/>
  <c r="N85" i="185" s="1"/>
  <c r="N77" i="185"/>
  <c r="N83" i="185" s="1"/>
  <c r="N72" i="194"/>
  <c r="N78" i="194"/>
  <c r="N76" i="194"/>
  <c r="N73" i="194"/>
  <c r="N74" i="194"/>
  <c r="N75" i="194"/>
  <c r="N77" i="194"/>
  <c r="L73" i="185"/>
  <c r="M77" i="185"/>
  <c r="M83" i="185" s="1"/>
  <c r="L77" i="185"/>
  <c r="L83" i="185" s="1"/>
  <c r="H50" i="179" a="1"/>
  <c r="H50" i="179" s="1"/>
  <c r="H59" i="179" s="1"/>
  <c r="A4" i="179" s="1"/>
  <c r="H22" i="193" a="1"/>
  <c r="Q78" i="194"/>
  <c r="Q73" i="194"/>
  <c r="Q75" i="194"/>
  <c r="Q72" i="194"/>
  <c r="Q76" i="194"/>
  <c r="Q77" i="194"/>
  <c r="Q74" i="194"/>
  <c r="J258" i="186"/>
  <c r="J204" i="186"/>
  <c r="J206" i="186" s="1"/>
  <c r="J254" i="186"/>
  <c r="J253" i="186"/>
  <c r="J20" i="194"/>
  <c r="J257" i="186"/>
  <c r="J252" i="186"/>
  <c r="J259" i="186"/>
  <c r="J255" i="186"/>
  <c r="J256" i="186"/>
  <c r="Q255" i="185"/>
  <c r="O77" i="185"/>
  <c r="O83" i="185" s="1"/>
  <c r="O73" i="185"/>
  <c r="O79" i="185" s="1"/>
  <c r="O85" i="185" s="1"/>
  <c r="P73" i="185"/>
  <c r="P79" i="185" s="1"/>
  <c r="P85" i="185" s="1"/>
  <c r="P77" i="185"/>
  <c r="P83" i="185" s="1"/>
  <c r="J24" i="98"/>
  <c r="H24" i="180" s="1"/>
  <c r="O122" i="98"/>
  <c r="H122" i="98" s="1"/>
  <c r="O76" i="194"/>
  <c r="O75" i="194"/>
  <c r="O72" i="194"/>
  <c r="O73" i="194"/>
  <c r="O78" i="194"/>
  <c r="O74" i="194"/>
  <c r="O77" i="194"/>
  <c r="P75" i="194"/>
  <c r="P76" i="194"/>
  <c r="P73" i="194"/>
  <c r="P77" i="194"/>
  <c r="P74" i="194"/>
  <c r="P78" i="194"/>
  <c r="P72" i="194"/>
  <c r="Q254" i="185"/>
  <c r="Q247" i="185"/>
  <c r="Q258" i="185"/>
  <c r="P25" i="185"/>
  <c r="P225" i="185" s="1"/>
  <c r="T25" i="185"/>
  <c r="T225" i="185" s="1"/>
  <c r="W25" i="185"/>
  <c r="W225" i="185" s="1"/>
  <c r="V25" i="185"/>
  <c r="V225" i="185" s="1"/>
  <c r="Y25" i="185"/>
  <c r="Y225" i="185" s="1"/>
  <c r="R25" i="185"/>
  <c r="R225" i="185" s="1"/>
  <c r="N25" i="185"/>
  <c r="N225" i="185" s="1"/>
  <c r="M25" i="185"/>
  <c r="M225" i="185" s="1"/>
  <c r="O25" i="185"/>
  <c r="O225" i="185" s="1"/>
  <c r="U25" i="185"/>
  <c r="U225" i="185" s="1"/>
  <c r="X25" i="185"/>
  <c r="X225" i="185" s="1"/>
  <c r="J25" i="185"/>
  <c r="J225" i="185" s="1"/>
  <c r="L25" i="185"/>
  <c r="L225" i="185" s="1"/>
  <c r="S25" i="185"/>
  <c r="S225" i="185" s="1"/>
  <c r="K25" i="185"/>
  <c r="K225" i="185" s="1"/>
  <c r="Q259" i="185"/>
  <c r="O121" i="98"/>
  <c r="H121" i="98" s="1"/>
  <c r="J19" i="98"/>
  <c r="T26" i="185"/>
  <c r="T226" i="185" s="1"/>
  <c r="N26" i="185"/>
  <c r="N226" i="185" s="1"/>
  <c r="X26" i="185"/>
  <c r="X226" i="185" s="1"/>
  <c r="M26" i="185"/>
  <c r="M226" i="185" s="1"/>
  <c r="K26" i="185"/>
  <c r="K226" i="185" s="1"/>
  <c r="J26" i="185"/>
  <c r="J226" i="185" s="1"/>
  <c r="V26" i="185"/>
  <c r="V226" i="185" s="1"/>
  <c r="O26" i="185"/>
  <c r="O226" i="185" s="1"/>
  <c r="Y26" i="185"/>
  <c r="Y226" i="185" s="1"/>
  <c r="U26" i="185"/>
  <c r="U226" i="185" s="1"/>
  <c r="R26" i="185"/>
  <c r="R226" i="185" s="1"/>
  <c r="L26" i="185"/>
  <c r="L226" i="185" s="1"/>
  <c r="P26" i="185"/>
  <c r="P226" i="185" s="1"/>
  <c r="S26" i="185"/>
  <c r="S226" i="185" s="1"/>
  <c r="W26" i="185"/>
  <c r="W226" i="185" s="1"/>
  <c r="Q253" i="185"/>
  <c r="Q251" i="185"/>
  <c r="Q240" i="185"/>
  <c r="Q126" i="189"/>
  <c r="Q126" i="193" s="1"/>
  <c r="Q132" i="189"/>
  <c r="Q132" i="193" s="1"/>
  <c r="Q127" i="189"/>
  <c r="Q127" i="193" s="1"/>
  <c r="Q129" i="189"/>
  <c r="Q129" i="193" s="1"/>
  <c r="Q130" i="189"/>
  <c r="Q130" i="193" s="1"/>
  <c r="Q124" i="189"/>
  <c r="Q123" i="189"/>
  <c r="Q128" i="189"/>
  <c r="Q128" i="193" s="1"/>
  <c r="Q125" i="189"/>
  <c r="Q125" i="193" s="1"/>
  <c r="Q131" i="189"/>
  <c r="Q131" i="193" s="1"/>
  <c r="Q244" i="185"/>
  <c r="Q242" i="185"/>
  <c r="U106" i="194"/>
  <c r="U138" i="194" s="1"/>
  <c r="K77" i="185"/>
  <c r="K83" i="185" s="1"/>
  <c r="J77" i="185"/>
  <c r="J83" i="185" s="1"/>
  <c r="J73" i="185"/>
  <c r="Q257" i="185"/>
  <c r="Q246" i="185"/>
  <c r="L75" i="194"/>
  <c r="L73" i="194"/>
  <c r="L76" i="194"/>
  <c r="L74" i="194"/>
  <c r="L78" i="194"/>
  <c r="L77" i="194"/>
  <c r="L72" i="194"/>
  <c r="Q252" i="185"/>
  <c r="Q243" i="185"/>
  <c r="V102" i="194" l="1"/>
  <c r="V134" i="194" s="1"/>
  <c r="O91" i="185"/>
  <c r="O267" i="185" s="1"/>
  <c r="O78" i="189" s="1"/>
  <c r="V108" i="194"/>
  <c r="V140" i="194" s="1"/>
  <c r="O108" i="194"/>
  <c r="O140" i="194" s="1"/>
  <c r="U108" i="194"/>
  <c r="U140" i="194" s="1"/>
  <c r="N108" i="194"/>
  <c r="N140" i="194" s="1"/>
  <c r="K102" i="194"/>
  <c r="K134" i="194" s="1"/>
  <c r="Q104" i="194"/>
  <c r="Q136" i="194" s="1"/>
  <c r="V105" i="194"/>
  <c r="V137" i="194" s="1"/>
  <c r="R104" i="194"/>
  <c r="R136" i="194" s="1"/>
  <c r="K108" i="194"/>
  <c r="K140" i="194" s="1"/>
  <c r="W108" i="194"/>
  <c r="W140" i="194" s="1"/>
  <c r="O107" i="194"/>
  <c r="O139" i="194" s="1"/>
  <c r="M107" i="194"/>
  <c r="M139" i="194" s="1"/>
  <c r="X108" i="194"/>
  <c r="X140" i="194" s="1"/>
  <c r="T104" i="194"/>
  <c r="T136" i="194" s="1"/>
  <c r="X103" i="194"/>
  <c r="X135" i="194" s="1"/>
  <c r="R107" i="194"/>
  <c r="R139" i="194" s="1"/>
  <c r="T106" i="194"/>
  <c r="T138" i="194" s="1"/>
  <c r="S106" i="194"/>
  <c r="S138" i="194" s="1"/>
  <c r="P106" i="194"/>
  <c r="P138" i="194" s="1"/>
  <c r="R102" i="194"/>
  <c r="R134" i="194" s="1"/>
  <c r="K104" i="194"/>
  <c r="K136" i="194" s="1"/>
  <c r="W105" i="194"/>
  <c r="W137" i="194" s="1"/>
  <c r="R103" i="194"/>
  <c r="R135" i="194" s="1"/>
  <c r="P105" i="194"/>
  <c r="P137" i="194" s="1"/>
  <c r="X107" i="194"/>
  <c r="X139" i="194" s="1"/>
  <c r="R106" i="194"/>
  <c r="R138" i="194" s="1"/>
  <c r="M106" i="194"/>
  <c r="M138" i="194" s="1"/>
  <c r="Y108" i="194"/>
  <c r="Y140" i="194" s="1"/>
  <c r="V106" i="194"/>
  <c r="V138" i="194" s="1"/>
  <c r="W104" i="194"/>
  <c r="W136" i="194" s="1"/>
  <c r="Q102" i="194"/>
  <c r="Q134" i="194" s="1"/>
  <c r="M105" i="194"/>
  <c r="M137" i="194" s="1"/>
  <c r="K106" i="194"/>
  <c r="K138" i="194" s="1"/>
  <c r="N103" i="194"/>
  <c r="N135" i="194" s="1"/>
  <c r="V103" i="194"/>
  <c r="V135" i="194" s="1"/>
  <c r="N105" i="194"/>
  <c r="N137" i="194" s="1"/>
  <c r="P256" i="185"/>
  <c r="P255" i="185"/>
  <c r="P258" i="185"/>
  <c r="P259" i="185"/>
  <c r="P251" i="185"/>
  <c r="P257" i="185"/>
  <c r="P253" i="185"/>
  <c r="P254" i="185"/>
  <c r="P252" i="185"/>
  <c r="U245" i="185"/>
  <c r="U244" i="185"/>
  <c r="U240" i="185"/>
  <c r="U241" i="185"/>
  <c r="U242" i="185"/>
  <c r="U248" i="185"/>
  <c r="U246" i="185"/>
  <c r="U243" i="185"/>
  <c r="U247" i="185"/>
  <c r="Y107" i="194"/>
  <c r="Y139" i="194" s="1"/>
  <c r="N107" i="194"/>
  <c r="N139" i="194" s="1"/>
  <c r="Q107" i="194"/>
  <c r="Q139" i="194" s="1"/>
  <c r="N106" i="194"/>
  <c r="N138" i="194" s="1"/>
  <c r="O106" i="194"/>
  <c r="O138" i="194" s="1"/>
  <c r="W106" i="194"/>
  <c r="W138" i="194" s="1"/>
  <c r="L256" i="185"/>
  <c r="L258" i="185"/>
  <c r="L252" i="185"/>
  <c r="L259" i="185"/>
  <c r="L253" i="185"/>
  <c r="L255" i="185"/>
  <c r="L257" i="185"/>
  <c r="L254" i="185"/>
  <c r="L251" i="185"/>
  <c r="O256" i="185"/>
  <c r="O259" i="185"/>
  <c r="O251" i="185"/>
  <c r="O255" i="185"/>
  <c r="O253" i="185"/>
  <c r="O252" i="185"/>
  <c r="O258" i="185"/>
  <c r="O257" i="185"/>
  <c r="O254" i="185"/>
  <c r="M256" i="185"/>
  <c r="M254" i="185"/>
  <c r="M252" i="185"/>
  <c r="M257" i="185"/>
  <c r="M258" i="185"/>
  <c r="M251" i="185"/>
  <c r="M259" i="185"/>
  <c r="M253" i="185"/>
  <c r="M255" i="185"/>
  <c r="H19" i="180"/>
  <c r="H118" i="98" a="1"/>
  <c r="H118" i="98" s="1"/>
  <c r="H124" i="98" s="1"/>
  <c r="T108" i="194"/>
  <c r="T140" i="194" s="1"/>
  <c r="R108" i="194"/>
  <c r="R140" i="194" s="1"/>
  <c r="Q108" i="194"/>
  <c r="Q140" i="194" s="1"/>
  <c r="L245" i="185"/>
  <c r="L248" i="185"/>
  <c r="L246" i="185"/>
  <c r="L242" i="185"/>
  <c r="L240" i="185"/>
  <c r="L244" i="185"/>
  <c r="L243" i="185"/>
  <c r="L247" i="185"/>
  <c r="L241" i="185"/>
  <c r="O245" i="185"/>
  <c r="O243" i="185"/>
  <c r="O246" i="185"/>
  <c r="O247" i="185"/>
  <c r="O242" i="185"/>
  <c r="O241" i="185"/>
  <c r="O244" i="185"/>
  <c r="O240" i="185"/>
  <c r="O248" i="185"/>
  <c r="Y245" i="185"/>
  <c r="Y241" i="185"/>
  <c r="Y248" i="185"/>
  <c r="Y247" i="185"/>
  <c r="Y240" i="185"/>
  <c r="Y242" i="185"/>
  <c r="Y244" i="185"/>
  <c r="Y243" i="185"/>
  <c r="Y246" i="185"/>
  <c r="P245" i="185"/>
  <c r="P240" i="185"/>
  <c r="P241" i="185"/>
  <c r="P248" i="185"/>
  <c r="P242" i="185"/>
  <c r="P244" i="185"/>
  <c r="P243" i="185"/>
  <c r="P246" i="185"/>
  <c r="P247" i="185"/>
  <c r="Y102" i="194"/>
  <c r="Y134" i="194" s="1"/>
  <c r="P102" i="194"/>
  <c r="P134" i="194" s="1"/>
  <c r="N102" i="194"/>
  <c r="N134" i="194" s="1"/>
  <c r="P104" i="194"/>
  <c r="P136" i="194" s="1"/>
  <c r="M104" i="194"/>
  <c r="M136" i="194" s="1"/>
  <c r="N104" i="194"/>
  <c r="N136" i="194" s="1"/>
  <c r="Y104" i="194"/>
  <c r="Y136" i="194" s="1"/>
  <c r="P91" i="185"/>
  <c r="P267" i="185" s="1"/>
  <c r="P78" i="189" s="1"/>
  <c r="H27" i="193"/>
  <c r="H26" i="193"/>
  <c r="Q198" i="193" s="1"/>
  <c r="Q228" i="193" s="1"/>
  <c r="H23" i="193"/>
  <c r="H22" i="193"/>
  <c r="H30" i="193"/>
  <c r="H25" i="193"/>
  <c r="H24" i="193"/>
  <c r="H28" i="193"/>
  <c r="H29" i="193"/>
  <c r="M79" i="185"/>
  <c r="M85" i="185" s="1"/>
  <c r="M91" i="185" s="1"/>
  <c r="M267" i="185" s="1"/>
  <c r="M78" i="189" s="1"/>
  <c r="L79" i="185"/>
  <c r="L85" i="185" s="1"/>
  <c r="L91" i="185" s="1"/>
  <c r="L267" i="185" s="1"/>
  <c r="L78" i="189" s="1"/>
  <c r="N91" i="185"/>
  <c r="N267" i="185" s="1"/>
  <c r="N78" i="189" s="1"/>
  <c r="W103" i="194"/>
  <c r="W135" i="194" s="1"/>
  <c r="P103" i="194"/>
  <c r="P135" i="194" s="1"/>
  <c r="M103" i="194"/>
  <c r="M135" i="194" s="1"/>
  <c r="S105" i="194"/>
  <c r="S137" i="194" s="1"/>
  <c r="U105" i="194"/>
  <c r="U137" i="194" s="1"/>
  <c r="Y105" i="194"/>
  <c r="Y137" i="194" s="1"/>
  <c r="X105" i="194"/>
  <c r="X137" i="194" s="1"/>
  <c r="K256" i="185"/>
  <c r="K255" i="185"/>
  <c r="K252" i="185"/>
  <c r="K254" i="185"/>
  <c r="K258" i="185"/>
  <c r="K251" i="185"/>
  <c r="K253" i="185"/>
  <c r="K257" i="185"/>
  <c r="K259" i="185"/>
  <c r="R245" i="185"/>
  <c r="R247" i="185"/>
  <c r="R240" i="185"/>
  <c r="R244" i="185"/>
  <c r="R248" i="185"/>
  <c r="R243" i="185"/>
  <c r="R241" i="185"/>
  <c r="R242" i="185"/>
  <c r="R246" i="185"/>
  <c r="O126" i="189"/>
  <c r="O126" i="193" s="1"/>
  <c r="O196" i="193" s="1"/>
  <c r="O226" i="193" s="1"/>
  <c r="O124" i="189"/>
  <c r="O127" i="189"/>
  <c r="O127" i="193" s="1"/>
  <c r="O130" i="189"/>
  <c r="O130" i="193" s="1"/>
  <c r="O200" i="193" s="1"/>
  <c r="O230" i="193" s="1"/>
  <c r="O132" i="189"/>
  <c r="O132" i="193" s="1"/>
  <c r="O131" i="189"/>
  <c r="O131" i="193" s="1"/>
  <c r="O128" i="189"/>
  <c r="O128" i="193" s="1"/>
  <c r="O123" i="189"/>
  <c r="O129" i="189"/>
  <c r="O129" i="193" s="1"/>
  <c r="O125" i="189"/>
  <c r="O125" i="193" s="1"/>
  <c r="O195" i="193" s="1"/>
  <c r="O225" i="193" s="1"/>
  <c r="T107" i="194"/>
  <c r="T139" i="194" s="1"/>
  <c r="K107" i="194"/>
  <c r="K139" i="194" s="1"/>
  <c r="M245" i="185"/>
  <c r="M248" i="185"/>
  <c r="M244" i="185"/>
  <c r="M247" i="185"/>
  <c r="M246" i="185"/>
  <c r="M242" i="185"/>
  <c r="M240" i="185"/>
  <c r="M243" i="185"/>
  <c r="M241" i="185"/>
  <c r="S102" i="194"/>
  <c r="S134" i="194" s="1"/>
  <c r="O102" i="194"/>
  <c r="O134" i="194" s="1"/>
  <c r="X104" i="194"/>
  <c r="X136" i="194" s="1"/>
  <c r="S104" i="194"/>
  <c r="S136" i="194" s="1"/>
  <c r="S103" i="194"/>
  <c r="S135" i="194" s="1"/>
  <c r="O103" i="194"/>
  <c r="O135" i="194" s="1"/>
  <c r="K103" i="194"/>
  <c r="K135" i="194" s="1"/>
  <c r="U103" i="194"/>
  <c r="U135" i="194" s="1"/>
  <c r="Q105" i="194"/>
  <c r="Q137" i="194" s="1"/>
  <c r="O105" i="194"/>
  <c r="O137" i="194" s="1"/>
  <c r="T105" i="194"/>
  <c r="T137" i="194" s="1"/>
  <c r="Y256" i="185"/>
  <c r="Y258" i="185"/>
  <c r="Y254" i="185"/>
  <c r="Y255" i="185"/>
  <c r="Y253" i="185"/>
  <c r="Y259" i="185"/>
  <c r="Y257" i="185"/>
  <c r="Y252" i="185"/>
  <c r="Y251" i="185"/>
  <c r="T256" i="185"/>
  <c r="T254" i="185"/>
  <c r="T253" i="185"/>
  <c r="T258" i="185"/>
  <c r="T257" i="185"/>
  <c r="T255" i="185"/>
  <c r="T251" i="185"/>
  <c r="T252" i="185"/>
  <c r="T259" i="185"/>
  <c r="S245" i="185"/>
  <c r="S246" i="185"/>
  <c r="S243" i="185"/>
  <c r="S240" i="185"/>
  <c r="S241" i="185"/>
  <c r="S242" i="185"/>
  <c r="S247" i="185"/>
  <c r="S248" i="185"/>
  <c r="S244" i="185"/>
  <c r="T245" i="185"/>
  <c r="T247" i="185"/>
  <c r="T243" i="185"/>
  <c r="T248" i="185"/>
  <c r="T242" i="185"/>
  <c r="T246" i="185"/>
  <c r="T244" i="185"/>
  <c r="T241" i="185"/>
  <c r="T240" i="185"/>
  <c r="H115" i="180"/>
  <c r="R24" i="185"/>
  <c r="Y24" i="185"/>
  <c r="S24" i="185"/>
  <c r="X24" i="185"/>
  <c r="M24" i="185"/>
  <c r="P24" i="185"/>
  <c r="U24" i="185"/>
  <c r="O24" i="185"/>
  <c r="L24" i="185"/>
  <c r="N24" i="185"/>
  <c r="T24" i="185"/>
  <c r="V24" i="185"/>
  <c r="J24" i="185"/>
  <c r="W24" i="185"/>
  <c r="K24" i="185"/>
  <c r="J78" i="194"/>
  <c r="J75" i="194"/>
  <c r="J77" i="194"/>
  <c r="J73" i="194"/>
  <c r="J76" i="194"/>
  <c r="J72" i="194"/>
  <c r="J74" i="194"/>
  <c r="P107" i="194"/>
  <c r="P139" i="194" s="1"/>
  <c r="W107" i="194"/>
  <c r="W139" i="194" s="1"/>
  <c r="W256" i="185"/>
  <c r="W259" i="185"/>
  <c r="W251" i="185"/>
  <c r="W255" i="185"/>
  <c r="W257" i="185"/>
  <c r="W258" i="185"/>
  <c r="W252" i="185"/>
  <c r="W254" i="185"/>
  <c r="W253" i="185"/>
  <c r="R256" i="185"/>
  <c r="R257" i="185"/>
  <c r="R254" i="185"/>
  <c r="R252" i="185"/>
  <c r="R251" i="185"/>
  <c r="R259" i="185"/>
  <c r="R255" i="185"/>
  <c r="R258" i="185"/>
  <c r="R253" i="185"/>
  <c r="V256" i="185"/>
  <c r="V258" i="185"/>
  <c r="V254" i="185"/>
  <c r="V259" i="185"/>
  <c r="V255" i="185"/>
  <c r="V253" i="185"/>
  <c r="V257" i="185"/>
  <c r="V252" i="185"/>
  <c r="V251" i="185"/>
  <c r="X256" i="185"/>
  <c r="X257" i="185"/>
  <c r="X255" i="185"/>
  <c r="X253" i="185"/>
  <c r="X252" i="185"/>
  <c r="X254" i="185"/>
  <c r="X259" i="185"/>
  <c r="X251" i="185"/>
  <c r="X258" i="185"/>
  <c r="J245" i="185"/>
  <c r="J248" i="185"/>
  <c r="J243" i="185"/>
  <c r="J244" i="185"/>
  <c r="J241" i="185"/>
  <c r="J242" i="185"/>
  <c r="J247" i="185"/>
  <c r="J246" i="185"/>
  <c r="J240" i="185"/>
  <c r="V245" i="185"/>
  <c r="V240" i="185"/>
  <c r="V244" i="185"/>
  <c r="V242" i="185"/>
  <c r="V248" i="185"/>
  <c r="V241" i="185"/>
  <c r="V243" i="185"/>
  <c r="V246" i="185"/>
  <c r="V247" i="185"/>
  <c r="U102" i="194"/>
  <c r="U134" i="194" s="1"/>
  <c r="W102" i="194"/>
  <c r="W134" i="194" s="1"/>
  <c r="U104" i="194"/>
  <c r="U136" i="194" s="1"/>
  <c r="V107" i="194"/>
  <c r="V139" i="194" s="1"/>
  <c r="K79" i="185"/>
  <c r="K85" i="185" s="1"/>
  <c r="K91" i="185" s="1"/>
  <c r="K267" i="185" s="1"/>
  <c r="K78" i="189" s="1"/>
  <c r="J79" i="185"/>
  <c r="J85" i="185" s="1"/>
  <c r="J91" i="185" s="1"/>
  <c r="J267" i="185" s="1"/>
  <c r="J78" i="189" s="1"/>
  <c r="S107" i="194"/>
  <c r="S139" i="194" s="1"/>
  <c r="U107" i="194"/>
  <c r="U139" i="194" s="1"/>
  <c r="Y106" i="194"/>
  <c r="Y138" i="194" s="1"/>
  <c r="X106" i="194"/>
  <c r="X138" i="194" s="1"/>
  <c r="Q106" i="194"/>
  <c r="Q138" i="194" s="1"/>
  <c r="Q196" i="193"/>
  <c r="Q226" i="193" s="1"/>
  <c r="S256" i="185"/>
  <c r="S253" i="185"/>
  <c r="S259" i="185"/>
  <c r="S254" i="185"/>
  <c r="S258" i="185"/>
  <c r="S257" i="185"/>
  <c r="S255" i="185"/>
  <c r="S251" i="185"/>
  <c r="S252" i="185"/>
  <c r="U256" i="185"/>
  <c r="U257" i="185"/>
  <c r="U251" i="185"/>
  <c r="U259" i="185"/>
  <c r="U258" i="185"/>
  <c r="U254" i="185"/>
  <c r="U252" i="185"/>
  <c r="U255" i="185"/>
  <c r="U253" i="185"/>
  <c r="J256" i="185"/>
  <c r="J251" i="185"/>
  <c r="J254" i="185"/>
  <c r="J255" i="185"/>
  <c r="J259" i="185"/>
  <c r="J253" i="185"/>
  <c r="J258" i="185"/>
  <c r="J257" i="185"/>
  <c r="J252" i="185"/>
  <c r="N256" i="185"/>
  <c r="N259" i="185"/>
  <c r="N257" i="185"/>
  <c r="N253" i="185"/>
  <c r="N252" i="185"/>
  <c r="N258" i="185"/>
  <c r="N254" i="185"/>
  <c r="N255" i="185"/>
  <c r="N251" i="185"/>
  <c r="P108" i="194"/>
  <c r="P140" i="194" s="1"/>
  <c r="M108" i="194"/>
  <c r="M140" i="194" s="1"/>
  <c r="S108" i="194"/>
  <c r="S140" i="194" s="1"/>
  <c r="K245" i="185"/>
  <c r="K243" i="185"/>
  <c r="K240" i="185"/>
  <c r="K244" i="185"/>
  <c r="K242" i="185"/>
  <c r="K246" i="185"/>
  <c r="K248" i="185"/>
  <c r="K247" i="185"/>
  <c r="K241" i="185"/>
  <c r="X245" i="185"/>
  <c r="X244" i="185"/>
  <c r="X247" i="185"/>
  <c r="X246" i="185"/>
  <c r="X240" i="185"/>
  <c r="X241" i="185"/>
  <c r="X243" i="185"/>
  <c r="X248" i="185"/>
  <c r="X242" i="185"/>
  <c r="N245" i="185"/>
  <c r="N247" i="185"/>
  <c r="N242" i="185"/>
  <c r="N248" i="185"/>
  <c r="N244" i="185"/>
  <c r="N240" i="185"/>
  <c r="N241" i="185"/>
  <c r="N246" i="185"/>
  <c r="N243" i="185"/>
  <c r="W245" i="185"/>
  <c r="W247" i="185"/>
  <c r="W244" i="185"/>
  <c r="W243" i="185"/>
  <c r="W241" i="185"/>
  <c r="W246" i="185"/>
  <c r="W248" i="185"/>
  <c r="W242" i="185"/>
  <c r="W240" i="185"/>
  <c r="T102" i="194"/>
  <c r="T134" i="194" s="1"/>
  <c r="X102" i="194"/>
  <c r="X134" i="194" s="1"/>
  <c r="M102" i="194"/>
  <c r="M134" i="194" s="1"/>
  <c r="V104" i="194"/>
  <c r="V136" i="194" s="1"/>
  <c r="O104" i="194"/>
  <c r="O136" i="194" s="1"/>
  <c r="T103" i="194"/>
  <c r="T135" i="194" s="1"/>
  <c r="Q103" i="194"/>
  <c r="Q135" i="194" s="1"/>
  <c r="Y103" i="194"/>
  <c r="Y135" i="194" s="1"/>
  <c r="R105" i="194"/>
  <c r="R137" i="194" s="1"/>
  <c r="K105" i="194"/>
  <c r="K137" i="194" s="1"/>
  <c r="O198" i="193" l="1"/>
  <c r="O228" i="193" s="1"/>
  <c r="O197" i="193"/>
  <c r="O227" i="193" s="1"/>
  <c r="J127" i="189"/>
  <c r="J127" i="193" s="1"/>
  <c r="J197" i="193" s="1"/>
  <c r="J227" i="193" s="1"/>
  <c r="J123" i="189"/>
  <c r="J124" i="189"/>
  <c r="J125" i="189"/>
  <c r="J125" i="193" s="1"/>
  <c r="J195" i="193" s="1"/>
  <c r="J225" i="193" s="1"/>
  <c r="J129" i="189"/>
  <c r="J129" i="193" s="1"/>
  <c r="J199" i="193" s="1"/>
  <c r="J229" i="193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8" i="189"/>
  <c r="J128" i="193" s="1"/>
  <c r="J198" i="193" s="1"/>
  <c r="J228" i="193" s="1"/>
  <c r="J130" i="189"/>
  <c r="J130" i="193" s="1"/>
  <c r="J200" i="193" s="1"/>
  <c r="J230" i="193" s="1"/>
  <c r="J103" i="194"/>
  <c r="J135" i="194" s="1"/>
  <c r="L103" i="194"/>
  <c r="L135" i="194" s="1"/>
  <c r="K224" i="185"/>
  <c r="K54" i="185"/>
  <c r="K93" i="185" s="1"/>
  <c r="K301" i="185" s="1"/>
  <c r="T54" i="185"/>
  <c r="T93" i="185" s="1"/>
  <c r="T296" i="185" s="1"/>
  <c r="T224" i="185"/>
  <c r="U54" i="185"/>
  <c r="U93" i="185" s="1"/>
  <c r="U299" i="185" s="1"/>
  <c r="U224" i="185"/>
  <c r="S224" i="185"/>
  <c r="S54" i="185"/>
  <c r="S93" i="185" s="1"/>
  <c r="S290" i="185" s="1"/>
  <c r="Q201" i="193"/>
  <c r="Q231" i="193" s="1"/>
  <c r="V201" i="193"/>
  <c r="V231" i="193" s="1"/>
  <c r="X201" i="193"/>
  <c r="X231" i="193" s="1"/>
  <c r="S201" i="193"/>
  <c r="S231" i="193" s="1"/>
  <c r="Y201" i="193"/>
  <c r="Y231" i="193" s="1"/>
  <c r="U201" i="193"/>
  <c r="U231" i="193" s="1"/>
  <c r="R201" i="193"/>
  <c r="R231" i="193" s="1"/>
  <c r="T201" i="193"/>
  <c r="T231" i="193" s="1"/>
  <c r="W201" i="193"/>
  <c r="W231" i="193" s="1"/>
  <c r="Q202" i="193"/>
  <c r="Q232" i="193" s="1"/>
  <c r="R202" i="193"/>
  <c r="R232" i="193" s="1"/>
  <c r="S202" i="193"/>
  <c r="S232" i="193" s="1"/>
  <c r="U202" i="193"/>
  <c r="U232" i="193" s="1"/>
  <c r="T202" i="193"/>
  <c r="T232" i="193" s="1"/>
  <c r="V202" i="193"/>
  <c r="V232" i="193" s="1"/>
  <c r="X202" i="193"/>
  <c r="X232" i="193" s="1"/>
  <c r="Y202" i="193"/>
  <c r="Y232" i="193" s="1"/>
  <c r="W202" i="193"/>
  <c r="W232" i="193" s="1"/>
  <c r="Q199" i="193"/>
  <c r="Q229" i="193" s="1"/>
  <c r="U199" i="193"/>
  <c r="U229" i="193" s="1"/>
  <c r="T199" i="193"/>
  <c r="T229" i="193" s="1"/>
  <c r="R199" i="193"/>
  <c r="R229" i="193" s="1"/>
  <c r="S199" i="193"/>
  <c r="S229" i="193" s="1"/>
  <c r="V199" i="193"/>
  <c r="V229" i="193" s="1"/>
  <c r="W199" i="193"/>
  <c r="W229" i="193" s="1"/>
  <c r="X199" i="193"/>
  <c r="X229" i="193" s="1"/>
  <c r="Y199" i="193"/>
  <c r="Y229" i="193" s="1"/>
  <c r="U287" i="185"/>
  <c r="K123" i="189"/>
  <c r="K130" i="189"/>
  <c r="K130" i="193" s="1"/>
  <c r="K200" i="193" s="1"/>
  <c r="K230" i="193" s="1"/>
  <c r="K126" i="189"/>
  <c r="K126" i="193" s="1"/>
  <c r="K196" i="193" s="1"/>
  <c r="K226" i="193" s="1"/>
  <c r="K127" i="189"/>
  <c r="K127" i="193" s="1"/>
  <c r="K197" i="193" s="1"/>
  <c r="K227" i="193" s="1"/>
  <c r="K131" i="189"/>
  <c r="K131" i="193" s="1"/>
  <c r="K201" i="193" s="1"/>
  <c r="K231" i="193" s="1"/>
  <c r="K129" i="189"/>
  <c r="K129" i="193" s="1"/>
  <c r="K199" i="193" s="1"/>
  <c r="K229" i="193" s="1"/>
  <c r="K125" i="189"/>
  <c r="K125" i="193" s="1"/>
  <c r="K195" i="193" s="1"/>
  <c r="K225" i="193" s="1"/>
  <c r="K128" i="189"/>
  <c r="K128" i="193" s="1"/>
  <c r="K198" i="193" s="1"/>
  <c r="K228" i="193" s="1"/>
  <c r="K124" i="189"/>
  <c r="K132" i="189"/>
  <c r="K132" i="193" s="1"/>
  <c r="K202" i="193" s="1"/>
  <c r="K232" i="193" s="1"/>
  <c r="L104" i="194"/>
  <c r="L136" i="194" s="1"/>
  <c r="J104" i="194"/>
  <c r="J136" i="194" s="1"/>
  <c r="J107" i="194"/>
  <c r="J139" i="194" s="1"/>
  <c r="L107" i="194"/>
  <c r="L139" i="194" s="1"/>
  <c r="W54" i="185"/>
  <c r="W93" i="185" s="1"/>
  <c r="W299" i="185" s="1"/>
  <c r="W224" i="185"/>
  <c r="N224" i="185"/>
  <c r="N54" i="185"/>
  <c r="N93" i="185" s="1"/>
  <c r="N284" i="185" s="1"/>
  <c r="P224" i="185"/>
  <c r="P54" i="185"/>
  <c r="P93" i="185" s="1"/>
  <c r="P291" i="185" s="1"/>
  <c r="Y224" i="185"/>
  <c r="Y54" i="185"/>
  <c r="Y93" i="185" s="1"/>
  <c r="Y299" i="185" s="1"/>
  <c r="T289" i="185"/>
  <c r="T290" i="185"/>
  <c r="T295" i="185"/>
  <c r="T301" i="185"/>
  <c r="N123" i="189"/>
  <c r="N126" i="189"/>
  <c r="N126" i="193" s="1"/>
  <c r="N196" i="193" s="1"/>
  <c r="N226" i="193" s="1"/>
  <c r="N124" i="189"/>
  <c r="N131" i="189"/>
  <c r="N131" i="193" s="1"/>
  <c r="N201" i="193" s="1"/>
  <c r="N231" i="193" s="1"/>
  <c r="N125" i="189"/>
  <c r="N125" i="193" s="1"/>
  <c r="N195" i="193" s="1"/>
  <c r="N225" i="193" s="1"/>
  <c r="N128" i="189"/>
  <c r="N128" i="193" s="1"/>
  <c r="N198" i="193" s="1"/>
  <c r="N228" i="193" s="1"/>
  <c r="N127" i="189"/>
  <c r="N127" i="193" s="1"/>
  <c r="N197" i="193" s="1"/>
  <c r="N227" i="193" s="1"/>
  <c r="N130" i="189"/>
  <c r="N130" i="193" s="1"/>
  <c r="N200" i="193" s="1"/>
  <c r="N230" i="193" s="1"/>
  <c r="N129" i="189"/>
  <c r="N129" i="193" s="1"/>
  <c r="N199" i="193" s="1"/>
  <c r="N229" i="193" s="1"/>
  <c r="N132" i="189"/>
  <c r="N132" i="193" s="1"/>
  <c r="N202" i="193" s="1"/>
  <c r="N232" i="193" s="1"/>
  <c r="X200" i="193"/>
  <c r="X230" i="193" s="1"/>
  <c r="Y200" i="193"/>
  <c r="Y230" i="193" s="1"/>
  <c r="T200" i="193"/>
  <c r="T230" i="193" s="1"/>
  <c r="U200" i="193"/>
  <c r="U230" i="193" s="1"/>
  <c r="S200" i="193"/>
  <c r="S230" i="193" s="1"/>
  <c r="V200" i="193"/>
  <c r="V230" i="193" s="1"/>
  <c r="R200" i="193"/>
  <c r="R230" i="193" s="1"/>
  <c r="W200" i="193"/>
  <c r="W230" i="193" s="1"/>
  <c r="J36" i="55"/>
  <c r="A4" i="98"/>
  <c r="U288" i="185"/>
  <c r="P300" i="185"/>
  <c r="P298" i="185"/>
  <c r="L102" i="194"/>
  <c r="L134" i="194" s="1"/>
  <c r="J102" i="194"/>
  <c r="J134" i="194" s="1"/>
  <c r="L105" i="194"/>
  <c r="L137" i="194" s="1"/>
  <c r="J105" i="194"/>
  <c r="J137" i="194" s="1"/>
  <c r="J224" i="185"/>
  <c r="J54" i="185"/>
  <c r="J93" i="185" s="1"/>
  <c r="J287" i="185" s="1"/>
  <c r="L54" i="185"/>
  <c r="L93" i="185" s="1"/>
  <c r="L284" i="185" s="1"/>
  <c r="L224" i="185"/>
  <c r="M224" i="185"/>
  <c r="M54" i="185"/>
  <c r="M93" i="185" s="1"/>
  <c r="M283" i="185" s="1"/>
  <c r="R54" i="185"/>
  <c r="R93" i="185" s="1"/>
  <c r="R299" i="185" s="1"/>
  <c r="R224" i="185"/>
  <c r="T283" i="185"/>
  <c r="T285" i="185"/>
  <c r="T288" i="185"/>
  <c r="T294" i="185"/>
  <c r="O201" i="193"/>
  <c r="O231" i="193" s="1"/>
  <c r="L128" i="189"/>
  <c r="L128" i="193" s="1"/>
  <c r="L198" i="193" s="1"/>
  <c r="L228" i="193" s="1"/>
  <c r="L126" i="189"/>
  <c r="L126" i="193" s="1"/>
  <c r="L196" i="193" s="1"/>
  <c r="L226" i="193" s="1"/>
  <c r="L123" i="189"/>
  <c r="L127" i="189"/>
  <c r="L127" i="193" s="1"/>
  <c r="L197" i="193" s="1"/>
  <c r="L227" i="193" s="1"/>
  <c r="L130" i="189"/>
  <c r="L130" i="193" s="1"/>
  <c r="L200" i="193" s="1"/>
  <c r="L230" i="193" s="1"/>
  <c r="L132" i="189"/>
  <c r="L132" i="193" s="1"/>
  <c r="L202" i="193" s="1"/>
  <c r="L232" i="193" s="1"/>
  <c r="L131" i="189"/>
  <c r="L131" i="193" s="1"/>
  <c r="L201" i="193" s="1"/>
  <c r="L231" i="193" s="1"/>
  <c r="L125" i="189"/>
  <c r="L125" i="193" s="1"/>
  <c r="L195" i="193" s="1"/>
  <c r="L225" i="193" s="1"/>
  <c r="L129" i="189"/>
  <c r="L129" i="193" s="1"/>
  <c r="L199" i="193" s="1"/>
  <c r="L229" i="193" s="1"/>
  <c r="L124" i="189"/>
  <c r="U196" i="193"/>
  <c r="U226" i="193" s="1"/>
  <c r="S196" i="193"/>
  <c r="S226" i="193" s="1"/>
  <c r="Y196" i="193"/>
  <c r="Y226" i="193" s="1"/>
  <c r="T196" i="193"/>
  <c r="T226" i="193" s="1"/>
  <c r="W196" i="193"/>
  <c r="W226" i="193" s="1"/>
  <c r="R196" i="193"/>
  <c r="R226" i="193" s="1"/>
  <c r="X196" i="193"/>
  <c r="X226" i="193" s="1"/>
  <c r="V196" i="193"/>
  <c r="V226" i="193" s="1"/>
  <c r="Q195" i="193"/>
  <c r="Q225" i="193" s="1"/>
  <c r="V195" i="193"/>
  <c r="V225" i="193" s="1"/>
  <c r="S195" i="193"/>
  <c r="S225" i="193" s="1"/>
  <c r="T195" i="193"/>
  <c r="T225" i="193" s="1"/>
  <c r="Y195" i="193"/>
  <c r="Y225" i="193" s="1"/>
  <c r="X195" i="193"/>
  <c r="X225" i="193" s="1"/>
  <c r="R195" i="193"/>
  <c r="R225" i="193" s="1"/>
  <c r="W195" i="193"/>
  <c r="W225" i="193" s="1"/>
  <c r="U195" i="193"/>
  <c r="U225" i="193" s="1"/>
  <c r="P131" i="189"/>
  <c r="P131" i="193" s="1"/>
  <c r="P201" i="193" s="1"/>
  <c r="P231" i="193" s="1"/>
  <c r="P128" i="189"/>
  <c r="P128" i="193" s="1"/>
  <c r="P198" i="193" s="1"/>
  <c r="P228" i="193" s="1"/>
  <c r="P129" i="189"/>
  <c r="P129" i="193" s="1"/>
  <c r="P199" i="193" s="1"/>
  <c r="P229" i="193" s="1"/>
  <c r="P130" i="189"/>
  <c r="P130" i="193" s="1"/>
  <c r="P200" i="193" s="1"/>
  <c r="P230" i="193" s="1"/>
  <c r="P125" i="189"/>
  <c r="P125" i="193" s="1"/>
  <c r="P195" i="193" s="1"/>
  <c r="P225" i="193" s="1"/>
  <c r="P127" i="189"/>
  <c r="P127" i="193" s="1"/>
  <c r="P197" i="193" s="1"/>
  <c r="P227" i="193" s="1"/>
  <c r="P126" i="189"/>
  <c r="P126" i="193" s="1"/>
  <c r="P196" i="193" s="1"/>
  <c r="P226" i="193" s="1"/>
  <c r="P132" i="189"/>
  <c r="P132" i="193" s="1"/>
  <c r="P202" i="193" s="1"/>
  <c r="P232" i="193" s="1"/>
  <c r="P124" i="189"/>
  <c r="P123" i="189"/>
  <c r="P290" i="185"/>
  <c r="P285" i="185"/>
  <c r="P288" i="185"/>
  <c r="Y285" i="185"/>
  <c r="L290" i="185"/>
  <c r="L285" i="185"/>
  <c r="H111" i="180" a="1"/>
  <c r="H111" i="180" s="1"/>
  <c r="Q24" i="185"/>
  <c r="H114" i="180"/>
  <c r="L297" i="185"/>
  <c r="L302" i="185"/>
  <c r="P295" i="185"/>
  <c r="P294" i="185"/>
  <c r="P299" i="185"/>
  <c r="P287" i="185"/>
  <c r="P283" i="185"/>
  <c r="L283" i="185"/>
  <c r="L288" i="185"/>
  <c r="N283" i="185"/>
  <c r="J295" i="185"/>
  <c r="J302" i="185"/>
  <c r="J299" i="185"/>
  <c r="Q200" i="193"/>
  <c r="Q230" i="193" s="1"/>
  <c r="J283" i="185"/>
  <c r="J284" i="185"/>
  <c r="J288" i="185"/>
  <c r="R301" i="185"/>
  <c r="R295" i="185"/>
  <c r="W286" i="185"/>
  <c r="K283" i="185"/>
  <c r="J300" i="185"/>
  <c r="J298" i="185"/>
  <c r="U296" i="185"/>
  <c r="J289" i="185"/>
  <c r="R298" i="185"/>
  <c r="R297" i="185"/>
  <c r="W298" i="185"/>
  <c r="L106" i="194"/>
  <c r="L138" i="194" s="1"/>
  <c r="J106" i="194"/>
  <c r="J138" i="194" s="1"/>
  <c r="J108" i="194"/>
  <c r="J140" i="194" s="1"/>
  <c r="L108" i="194"/>
  <c r="L140" i="194" s="1"/>
  <c r="V54" i="185"/>
  <c r="V93" i="185" s="1"/>
  <c r="V283" i="185" s="1"/>
  <c r="V224" i="185"/>
  <c r="O54" i="185"/>
  <c r="O93" i="185" s="1"/>
  <c r="O294" i="185" s="1"/>
  <c r="O224" i="185"/>
  <c r="X224" i="185"/>
  <c r="X54" i="185"/>
  <c r="X93" i="185" s="1"/>
  <c r="X299" i="185" s="1"/>
  <c r="T284" i="185"/>
  <c r="T291" i="185"/>
  <c r="T298" i="185"/>
  <c r="T297" i="185"/>
  <c r="O199" i="193"/>
  <c r="O229" i="193" s="1"/>
  <c r="O202" i="193"/>
  <c r="O232" i="193" s="1"/>
  <c r="R284" i="185"/>
  <c r="R283" i="185"/>
  <c r="K302" i="185"/>
  <c r="M128" i="189"/>
  <c r="M128" i="193" s="1"/>
  <c r="M198" i="193" s="1"/>
  <c r="M228" i="193" s="1"/>
  <c r="M130" i="189"/>
  <c r="M130" i="193" s="1"/>
  <c r="M200" i="193" s="1"/>
  <c r="M230" i="193" s="1"/>
  <c r="M123" i="189"/>
  <c r="M127" i="189"/>
  <c r="M127" i="193" s="1"/>
  <c r="M197" i="193" s="1"/>
  <c r="M227" i="193" s="1"/>
  <c r="M126" i="189"/>
  <c r="M126" i="193" s="1"/>
  <c r="M196" i="193" s="1"/>
  <c r="M226" i="193" s="1"/>
  <c r="M131" i="189"/>
  <c r="M131" i="193" s="1"/>
  <c r="M201" i="193" s="1"/>
  <c r="M231" i="193" s="1"/>
  <c r="M125" i="189"/>
  <c r="M125" i="193" s="1"/>
  <c r="M195" i="193" s="1"/>
  <c r="M225" i="193" s="1"/>
  <c r="M129" i="189"/>
  <c r="M129" i="193" s="1"/>
  <c r="M199" i="193" s="1"/>
  <c r="M229" i="193" s="1"/>
  <c r="M132" i="189"/>
  <c r="M132" i="193" s="1"/>
  <c r="M202" i="193" s="1"/>
  <c r="M232" i="193" s="1"/>
  <c r="M124" i="189"/>
  <c r="Q197" i="193"/>
  <c r="Q227" i="193" s="1"/>
  <c r="S197" i="193"/>
  <c r="S227" i="193" s="1"/>
  <c r="X197" i="193"/>
  <c r="X227" i="193" s="1"/>
  <c r="R197" i="193"/>
  <c r="R227" i="193" s="1"/>
  <c r="V197" i="193"/>
  <c r="V227" i="193" s="1"/>
  <c r="W197" i="193"/>
  <c r="W227" i="193" s="1"/>
  <c r="Y197" i="193"/>
  <c r="Y227" i="193" s="1"/>
  <c r="U197" i="193"/>
  <c r="U227" i="193" s="1"/>
  <c r="T197" i="193"/>
  <c r="T227" i="193" s="1"/>
  <c r="U198" i="193"/>
  <c r="U228" i="193" s="1"/>
  <c r="S198" i="193"/>
  <c r="S228" i="193" s="1"/>
  <c r="W198" i="193"/>
  <c r="W228" i="193" s="1"/>
  <c r="Y198" i="193"/>
  <c r="Y228" i="193" s="1"/>
  <c r="R198" i="193"/>
  <c r="R228" i="193" s="1"/>
  <c r="V198" i="193"/>
  <c r="V228" i="193" s="1"/>
  <c r="T198" i="193"/>
  <c r="T228" i="193" s="1"/>
  <c r="X198" i="193"/>
  <c r="X228" i="193" s="1"/>
  <c r="P289" i="185"/>
  <c r="O284" i="185"/>
  <c r="L286" i="185"/>
  <c r="L289" i="185"/>
  <c r="M299" i="185"/>
  <c r="L300" i="185"/>
  <c r="L295" i="185"/>
  <c r="P297" i="185"/>
  <c r="P302" i="185"/>
  <c r="K284" i="185" l="1"/>
  <c r="N286" i="185"/>
  <c r="U297" i="185"/>
  <c r="K287" i="185"/>
  <c r="K294" i="185"/>
  <c r="K106" i="189" s="1"/>
  <c r="K211" i="189" s="1"/>
  <c r="K83" i="191" s="1"/>
  <c r="K188" i="191" s="1"/>
  <c r="K289" i="185"/>
  <c r="K295" i="185"/>
  <c r="K288" i="185"/>
  <c r="K99" i="189" s="1"/>
  <c r="K187" i="189" s="1"/>
  <c r="K58" i="191" s="1"/>
  <c r="K163" i="191" s="1"/>
  <c r="Y300" i="185"/>
  <c r="Y122" i="186" s="1"/>
  <c r="Y134" i="186" s="1"/>
  <c r="K291" i="185"/>
  <c r="K298" i="185"/>
  <c r="K286" i="185"/>
  <c r="K297" i="185"/>
  <c r="K119" i="186" s="1"/>
  <c r="K131" i="186" s="1"/>
  <c r="U283" i="185"/>
  <c r="Y283" i="185"/>
  <c r="U289" i="185"/>
  <c r="K299" i="185"/>
  <c r="K121" i="186" s="1"/>
  <c r="K133" i="186" s="1"/>
  <c r="N300" i="185"/>
  <c r="K290" i="185"/>
  <c r="Y291" i="185"/>
  <c r="R285" i="185"/>
  <c r="R96" i="189" s="1"/>
  <c r="R184" i="189" s="1"/>
  <c r="R55" i="191" s="1"/>
  <c r="R160" i="191" s="1"/>
  <c r="K296" i="185"/>
  <c r="K285" i="185"/>
  <c r="M289" i="185"/>
  <c r="K300" i="185"/>
  <c r="K122" i="186" s="1"/>
  <c r="K134" i="186" s="1"/>
  <c r="O295" i="185"/>
  <c r="O286" i="185"/>
  <c r="O97" i="189" s="1"/>
  <c r="O185" i="189" s="1"/>
  <c r="O56" i="191" s="1"/>
  <c r="O161" i="191" s="1"/>
  <c r="O302" i="185"/>
  <c r="O114" i="189" s="1"/>
  <c r="O219" i="189" s="1"/>
  <c r="O91" i="191" s="1"/>
  <c r="O196" i="191" s="1"/>
  <c r="J296" i="185"/>
  <c r="J118" i="186" s="1"/>
  <c r="J130" i="186" s="1"/>
  <c r="T299" i="185"/>
  <c r="W297" i="185"/>
  <c r="W119" i="186" s="1"/>
  <c r="W131" i="186" s="1"/>
  <c r="W285" i="185"/>
  <c r="W96" i="189" s="1"/>
  <c r="W184" i="189" s="1"/>
  <c r="W55" i="191" s="1"/>
  <c r="W160" i="191" s="1"/>
  <c r="W288" i="185"/>
  <c r="W99" i="189" s="1"/>
  <c r="W187" i="189" s="1"/>
  <c r="W58" i="191" s="1"/>
  <c r="W163" i="191" s="1"/>
  <c r="O291" i="185"/>
  <c r="O102" i="189" s="1"/>
  <c r="O190" i="189" s="1"/>
  <c r="O61" i="191" s="1"/>
  <c r="O166" i="191" s="1"/>
  <c r="W300" i="185"/>
  <c r="W112" i="189" s="1"/>
  <c r="W217" i="189" s="1"/>
  <c r="W89" i="191" s="1"/>
  <c r="W194" i="191" s="1"/>
  <c r="W284" i="185"/>
  <c r="W95" i="189" s="1"/>
  <c r="W183" i="189" s="1"/>
  <c r="W54" i="191" s="1"/>
  <c r="W159" i="191" s="1"/>
  <c r="S284" i="185"/>
  <c r="S94" i="186" s="1"/>
  <c r="S106" i="186" s="1"/>
  <c r="W296" i="185"/>
  <c r="W108" i="189" s="1"/>
  <c r="W213" i="189" s="1"/>
  <c r="W85" i="191" s="1"/>
  <c r="W190" i="191" s="1"/>
  <c r="W283" i="185"/>
  <c r="W93" i="189" s="1"/>
  <c r="W181" i="189" s="1"/>
  <c r="W52" i="191" s="1"/>
  <c r="W157" i="191" s="1"/>
  <c r="W291" i="185"/>
  <c r="W101" i="186" s="1"/>
  <c r="W113" i="186" s="1"/>
  <c r="S294" i="185"/>
  <c r="S116" i="186" s="1"/>
  <c r="S128" i="186" s="1"/>
  <c r="V297" i="185"/>
  <c r="V109" i="189" s="1"/>
  <c r="V214" i="189" s="1"/>
  <c r="V86" i="191" s="1"/>
  <c r="V191" i="191" s="1"/>
  <c r="V302" i="185"/>
  <c r="V124" i="186" s="1"/>
  <c r="V136" i="186" s="1"/>
  <c r="V286" i="185"/>
  <c r="V97" i="189" s="1"/>
  <c r="V185" i="189" s="1"/>
  <c r="V56" i="191" s="1"/>
  <c r="V161" i="191" s="1"/>
  <c r="U284" i="185"/>
  <c r="U94" i="186" s="1"/>
  <c r="U106" i="186" s="1"/>
  <c r="R287" i="185"/>
  <c r="R98" i="189" s="1"/>
  <c r="R186" i="189" s="1"/>
  <c r="R57" i="191" s="1"/>
  <c r="R162" i="191" s="1"/>
  <c r="J286" i="185"/>
  <c r="J97" i="189" s="1"/>
  <c r="J185" i="189" s="1"/>
  <c r="J56" i="191" s="1"/>
  <c r="J161" i="191" s="1"/>
  <c r="U285" i="185"/>
  <c r="U96" i="189" s="1"/>
  <c r="U184" i="189" s="1"/>
  <c r="U55" i="191" s="1"/>
  <c r="U160" i="191" s="1"/>
  <c r="J291" i="185"/>
  <c r="J101" i="186" s="1"/>
  <c r="J113" i="186" s="1"/>
  <c r="U291" i="185"/>
  <c r="U101" i="186" s="1"/>
  <c r="U113" i="186" s="1"/>
  <c r="P286" i="185"/>
  <c r="P96" i="186" s="1"/>
  <c r="P108" i="186" s="1"/>
  <c r="V289" i="185"/>
  <c r="V99" i="186" s="1"/>
  <c r="V111" i="186" s="1"/>
  <c r="U301" i="185"/>
  <c r="U123" i="186" s="1"/>
  <c r="U135" i="186" s="1"/>
  <c r="U300" i="185"/>
  <c r="U122" i="186" s="1"/>
  <c r="U134" i="186" s="1"/>
  <c r="U286" i="185"/>
  <c r="U97" i="189" s="1"/>
  <c r="U185" i="189" s="1"/>
  <c r="U56" i="191" s="1"/>
  <c r="U161" i="191" s="1"/>
  <c r="U298" i="185"/>
  <c r="U120" i="186" s="1"/>
  <c r="U132" i="186" s="1"/>
  <c r="U290" i="185"/>
  <c r="U100" i="186" s="1"/>
  <c r="U112" i="186" s="1"/>
  <c r="R291" i="185"/>
  <c r="R102" i="189" s="1"/>
  <c r="R190" i="189" s="1"/>
  <c r="R61" i="191" s="1"/>
  <c r="R166" i="191" s="1"/>
  <c r="V290" i="185"/>
  <c r="V101" i="189" s="1"/>
  <c r="V189" i="189" s="1"/>
  <c r="V60" i="191" s="1"/>
  <c r="V165" i="191" s="1"/>
  <c r="U294" i="185"/>
  <c r="U106" i="189" s="1"/>
  <c r="U211" i="189" s="1"/>
  <c r="U83" i="191" s="1"/>
  <c r="U188" i="191" s="1"/>
  <c r="O296" i="185"/>
  <c r="O108" i="189" s="1"/>
  <c r="O213" i="189" s="1"/>
  <c r="O85" i="191" s="1"/>
  <c r="O190" i="191" s="1"/>
  <c r="J297" i="185"/>
  <c r="J109" i="189" s="1"/>
  <c r="J214" i="189" s="1"/>
  <c r="J86" i="191" s="1"/>
  <c r="J191" i="191" s="1"/>
  <c r="L294" i="185"/>
  <c r="L105" i="189" s="1"/>
  <c r="L210" i="189" s="1"/>
  <c r="L82" i="191" s="1"/>
  <c r="L187" i="191" s="1"/>
  <c r="W302" i="185"/>
  <c r="W124" i="186" s="1"/>
  <c r="W136" i="186" s="1"/>
  <c r="U295" i="185"/>
  <c r="U107" i="189" s="1"/>
  <c r="U212" i="189" s="1"/>
  <c r="U84" i="191" s="1"/>
  <c r="U189" i="191" s="1"/>
  <c r="L291" i="185"/>
  <c r="L101" i="186" s="1"/>
  <c r="L113" i="186" s="1"/>
  <c r="R286" i="185"/>
  <c r="R96" i="186" s="1"/>
  <c r="R108" i="186" s="1"/>
  <c r="R300" i="185"/>
  <c r="R112" i="189" s="1"/>
  <c r="R217" i="189" s="1"/>
  <c r="R89" i="191" s="1"/>
  <c r="R194" i="191" s="1"/>
  <c r="W287" i="185"/>
  <c r="W97" i="186" s="1"/>
  <c r="W109" i="186" s="1"/>
  <c r="O301" i="185"/>
  <c r="Q54" i="185"/>
  <c r="Q224" i="185"/>
  <c r="O289" i="185"/>
  <c r="P98" i="186"/>
  <c r="P110" i="186" s="1"/>
  <c r="P99" i="189"/>
  <c r="P187" i="189" s="1"/>
  <c r="P58" i="191" s="1"/>
  <c r="P163" i="191" s="1"/>
  <c r="K110" i="189"/>
  <c r="K215" i="189" s="1"/>
  <c r="K87" i="191" s="1"/>
  <c r="K192" i="191" s="1"/>
  <c r="K120" i="186"/>
  <c r="K132" i="186" s="1"/>
  <c r="M284" i="185"/>
  <c r="S289" i="185"/>
  <c r="T93" i="186"/>
  <c r="T105" i="186" s="1"/>
  <c r="T93" i="189"/>
  <c r="T181" i="189" s="1"/>
  <c r="T52" i="191" s="1"/>
  <c r="T157" i="191" s="1"/>
  <c r="T94" i="189"/>
  <c r="T182" i="189" s="1"/>
  <c r="T53" i="191" s="1"/>
  <c r="T158" i="191" s="1"/>
  <c r="M234" i="185"/>
  <c r="M277" i="185" s="1"/>
  <c r="M230" i="185"/>
  <c r="M273" i="185" s="1"/>
  <c r="M231" i="185"/>
  <c r="M274" i="185" s="1"/>
  <c r="M229" i="185"/>
  <c r="M272" i="185" s="1"/>
  <c r="M237" i="185"/>
  <c r="M280" i="185" s="1"/>
  <c r="M232" i="185"/>
  <c r="M275" i="185" s="1"/>
  <c r="M236" i="185"/>
  <c r="M279" i="185" s="1"/>
  <c r="M235" i="185"/>
  <c r="M278" i="185" s="1"/>
  <c r="M233" i="185"/>
  <c r="M276" i="185" s="1"/>
  <c r="J98" i="189"/>
  <c r="J186" i="189" s="1"/>
  <c r="J57" i="191" s="1"/>
  <c r="J162" i="191" s="1"/>
  <c r="J97" i="186"/>
  <c r="J109" i="186" s="1"/>
  <c r="J301" i="185"/>
  <c r="X288" i="185"/>
  <c r="P110" i="189"/>
  <c r="P215" i="189" s="1"/>
  <c r="P87" i="191" s="1"/>
  <c r="P192" i="191" s="1"/>
  <c r="P120" i="186"/>
  <c r="P132" i="186" s="1"/>
  <c r="O298" i="185"/>
  <c r="K117" i="186"/>
  <c r="K129" i="186" s="1"/>
  <c r="K107" i="189"/>
  <c r="K212" i="189" s="1"/>
  <c r="K84" i="191" s="1"/>
  <c r="K189" i="191" s="1"/>
  <c r="R289" i="185"/>
  <c r="Y296" i="185"/>
  <c r="S286" i="185"/>
  <c r="Y234" i="185"/>
  <c r="Y277" i="185" s="1"/>
  <c r="Y230" i="185"/>
  <c r="Y273" i="185" s="1"/>
  <c r="Y236" i="185"/>
  <c r="Y279" i="185" s="1"/>
  <c r="Y233" i="185"/>
  <c r="Y276" i="185" s="1"/>
  <c r="Y231" i="185"/>
  <c r="Y274" i="185" s="1"/>
  <c r="Y229" i="185"/>
  <c r="Y272" i="185" s="1"/>
  <c r="Y235" i="185"/>
  <c r="Y278" i="185" s="1"/>
  <c r="Y237" i="185"/>
  <c r="Y280" i="185" s="1"/>
  <c r="Y232" i="185"/>
  <c r="Y275" i="185" s="1"/>
  <c r="N234" i="185"/>
  <c r="N277" i="185" s="1"/>
  <c r="N229" i="185"/>
  <c r="N272" i="185" s="1"/>
  <c r="N231" i="185"/>
  <c r="N274" i="185" s="1"/>
  <c r="N237" i="185"/>
  <c r="N280" i="185" s="1"/>
  <c r="N235" i="185"/>
  <c r="N278" i="185" s="1"/>
  <c r="N233" i="185"/>
  <c r="N276" i="185" s="1"/>
  <c r="N230" i="185"/>
  <c r="N273" i="185" s="1"/>
  <c r="N232" i="185"/>
  <c r="N275" i="185" s="1"/>
  <c r="N236" i="185"/>
  <c r="N279" i="185" s="1"/>
  <c r="W301" i="185"/>
  <c r="V295" i="185"/>
  <c r="J285" i="185"/>
  <c r="N299" i="185"/>
  <c r="K96" i="189"/>
  <c r="K184" i="189" s="1"/>
  <c r="K55" i="191" s="1"/>
  <c r="K160" i="191" s="1"/>
  <c r="K95" i="186"/>
  <c r="K107" i="186" s="1"/>
  <c r="N285" i="185"/>
  <c r="P301" i="185"/>
  <c r="L301" i="185"/>
  <c r="O297" i="185"/>
  <c r="L287" i="185"/>
  <c r="Y290" i="185"/>
  <c r="K109" i="189"/>
  <c r="K214" i="189" s="1"/>
  <c r="K86" i="191" s="1"/>
  <c r="K191" i="191" s="1"/>
  <c r="M287" i="185"/>
  <c r="T121" i="186"/>
  <c r="T133" i="186" s="1"/>
  <c r="T111" i="189"/>
  <c r="T216" i="189" s="1"/>
  <c r="T88" i="191" s="1"/>
  <c r="T193" i="191" s="1"/>
  <c r="S291" i="185"/>
  <c r="S234" i="185"/>
  <c r="S277" i="185" s="1"/>
  <c r="S235" i="185"/>
  <c r="S278" i="185" s="1"/>
  <c r="S236" i="185"/>
  <c r="S279" i="185" s="1"/>
  <c r="S237" i="185"/>
  <c r="S280" i="185" s="1"/>
  <c r="S229" i="185"/>
  <c r="S272" i="185" s="1"/>
  <c r="S230" i="185"/>
  <c r="S273" i="185" s="1"/>
  <c r="S231" i="185"/>
  <c r="S274" i="185" s="1"/>
  <c r="S233" i="185"/>
  <c r="S276" i="185" s="1"/>
  <c r="S232" i="185"/>
  <c r="S275" i="185" s="1"/>
  <c r="T108" i="189"/>
  <c r="T213" i="189" s="1"/>
  <c r="T85" i="191" s="1"/>
  <c r="T190" i="191" s="1"/>
  <c r="T118" i="186"/>
  <c r="T130" i="186" s="1"/>
  <c r="R302" i="185"/>
  <c r="X294" i="185"/>
  <c r="N302" i="185"/>
  <c r="P114" i="189"/>
  <c r="P219" i="189" s="1"/>
  <c r="P91" i="191" s="1"/>
  <c r="P196" i="191" s="1"/>
  <c r="P124" i="186"/>
  <c r="P136" i="186" s="1"/>
  <c r="L107" i="189"/>
  <c r="L212" i="189" s="1"/>
  <c r="L84" i="191" s="1"/>
  <c r="L189" i="191" s="1"/>
  <c r="L117" i="186"/>
  <c r="L129" i="186" s="1"/>
  <c r="M121" i="186"/>
  <c r="M133" i="186" s="1"/>
  <c r="M111" i="189"/>
  <c r="M216" i="189" s="1"/>
  <c r="M88" i="191" s="1"/>
  <c r="M193" i="191" s="1"/>
  <c r="L96" i="186"/>
  <c r="L108" i="186" s="1"/>
  <c r="L97" i="189"/>
  <c r="L185" i="189" s="1"/>
  <c r="L56" i="191" s="1"/>
  <c r="L161" i="191" s="1"/>
  <c r="Y94" i="189"/>
  <c r="Y182" i="189" s="1"/>
  <c r="Y53" i="191" s="1"/>
  <c r="Y158" i="191" s="1"/>
  <c r="Y93" i="186"/>
  <c r="Y105" i="186" s="1"/>
  <c r="Y93" i="189"/>
  <c r="Y181" i="189" s="1"/>
  <c r="Y52" i="191" s="1"/>
  <c r="Y157" i="191" s="1"/>
  <c r="K124" i="186"/>
  <c r="K136" i="186" s="1"/>
  <c r="K114" i="189"/>
  <c r="K219" i="189" s="1"/>
  <c r="K91" i="191" s="1"/>
  <c r="K196" i="191" s="1"/>
  <c r="Y112" i="189"/>
  <c r="Y217" i="189" s="1"/>
  <c r="Y89" i="191" s="1"/>
  <c r="Y194" i="191" s="1"/>
  <c r="X111" i="189"/>
  <c r="X216" i="189" s="1"/>
  <c r="X88" i="191" s="1"/>
  <c r="X193" i="191" s="1"/>
  <c r="X121" i="186"/>
  <c r="X133" i="186" s="1"/>
  <c r="V234" i="185"/>
  <c r="V277" i="185" s="1"/>
  <c r="V236" i="185"/>
  <c r="V279" i="185" s="1"/>
  <c r="V232" i="185"/>
  <c r="V275" i="185" s="1"/>
  <c r="V230" i="185"/>
  <c r="V273" i="185" s="1"/>
  <c r="V231" i="185"/>
  <c r="V274" i="185" s="1"/>
  <c r="V237" i="185"/>
  <c r="V280" i="185" s="1"/>
  <c r="V235" i="185"/>
  <c r="V278" i="185" s="1"/>
  <c r="V229" i="185"/>
  <c r="V272" i="185" s="1"/>
  <c r="V233" i="185"/>
  <c r="V276" i="185" s="1"/>
  <c r="R109" i="189"/>
  <c r="R214" i="189" s="1"/>
  <c r="R86" i="191" s="1"/>
  <c r="R191" i="191" s="1"/>
  <c r="R119" i="186"/>
  <c r="R131" i="186" s="1"/>
  <c r="X295" i="185"/>
  <c r="N112" i="189"/>
  <c r="N217" i="189" s="1"/>
  <c r="N89" i="191" s="1"/>
  <c r="N194" i="191" s="1"/>
  <c r="N122" i="186"/>
  <c r="N134" i="186" s="1"/>
  <c r="X287" i="185"/>
  <c r="N97" i="189"/>
  <c r="N185" i="189" s="1"/>
  <c r="N56" i="191" s="1"/>
  <c r="N161" i="191" s="1"/>
  <c r="N96" i="186"/>
  <c r="N108" i="186" s="1"/>
  <c r="V119" i="186"/>
  <c r="V131" i="186" s="1"/>
  <c r="J99" i="189"/>
  <c r="J187" i="189" s="1"/>
  <c r="J58" i="191" s="1"/>
  <c r="J163" i="191" s="1"/>
  <c r="J98" i="186"/>
  <c r="J110" i="186" s="1"/>
  <c r="J107" i="189"/>
  <c r="J212" i="189" s="1"/>
  <c r="J84" i="191" s="1"/>
  <c r="J189" i="191" s="1"/>
  <c r="J117" i="186"/>
  <c r="J129" i="186" s="1"/>
  <c r="K100" i="186"/>
  <c r="K112" i="186" s="1"/>
  <c r="K101" i="189"/>
  <c r="K189" i="189" s="1"/>
  <c r="K60" i="191" s="1"/>
  <c r="K165" i="191" s="1"/>
  <c r="N94" i="189"/>
  <c r="N182" i="189" s="1"/>
  <c r="N53" i="191" s="1"/>
  <c r="N158" i="191" s="1"/>
  <c r="N93" i="186"/>
  <c r="N105" i="186" s="1"/>
  <c r="N93" i="189"/>
  <c r="N181" i="189" s="1"/>
  <c r="N52" i="191" s="1"/>
  <c r="N157" i="191" s="1"/>
  <c r="L99" i="189"/>
  <c r="L187" i="189" s="1"/>
  <c r="L58" i="191" s="1"/>
  <c r="L163" i="191" s="1"/>
  <c r="L98" i="186"/>
  <c r="L110" i="186" s="1"/>
  <c r="Y102" i="189"/>
  <c r="Y190" i="189" s="1"/>
  <c r="Y61" i="191" s="1"/>
  <c r="Y166" i="191" s="1"/>
  <c r="Y101" i="186"/>
  <c r="Y113" i="186" s="1"/>
  <c r="P117" i="186"/>
  <c r="P129" i="186" s="1"/>
  <c r="P107" i="189"/>
  <c r="P212" i="189" s="1"/>
  <c r="P84" i="191" s="1"/>
  <c r="P189" i="191" s="1"/>
  <c r="L119" i="186"/>
  <c r="L131" i="186" s="1"/>
  <c r="L109" i="189"/>
  <c r="L214" i="189" s="1"/>
  <c r="L86" i="191" s="1"/>
  <c r="L191" i="191" s="1"/>
  <c r="L101" i="189"/>
  <c r="L189" i="189" s="1"/>
  <c r="L60" i="191" s="1"/>
  <c r="L165" i="191" s="1"/>
  <c r="L100" i="186"/>
  <c r="L112" i="186" s="1"/>
  <c r="Y95" i="186"/>
  <c r="Y107" i="186" s="1"/>
  <c r="Y96" i="189"/>
  <c r="Y184" i="189" s="1"/>
  <c r="Y55" i="191" s="1"/>
  <c r="Y160" i="191" s="1"/>
  <c r="M100" i="189"/>
  <c r="M188" i="189" s="1"/>
  <c r="M59" i="191" s="1"/>
  <c r="M164" i="191" s="1"/>
  <c r="M99" i="186"/>
  <c r="M111" i="186" s="1"/>
  <c r="T105" i="189"/>
  <c r="T210" i="189" s="1"/>
  <c r="T82" i="191" s="1"/>
  <c r="T187" i="191" s="1"/>
  <c r="T116" i="186"/>
  <c r="T128" i="186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M93" i="189"/>
  <c r="M181" i="189" s="1"/>
  <c r="M52" i="191" s="1"/>
  <c r="M157" i="191" s="1"/>
  <c r="M94" i="189"/>
  <c r="M182" i="189" s="1"/>
  <c r="M53" i="191" s="1"/>
  <c r="M158" i="191" s="1"/>
  <c r="M93" i="186"/>
  <c r="M105" i="186" s="1"/>
  <c r="K100" i="189"/>
  <c r="K188" i="189" s="1"/>
  <c r="K59" i="191" s="1"/>
  <c r="K164" i="191" s="1"/>
  <c r="K99" i="186"/>
  <c r="K111" i="186" s="1"/>
  <c r="U95" i="186"/>
  <c r="U107" i="186" s="1"/>
  <c r="L116" i="186"/>
  <c r="L128" i="186" s="1"/>
  <c r="M302" i="185"/>
  <c r="Y111" i="189"/>
  <c r="Y216" i="189" s="1"/>
  <c r="Y88" i="191" s="1"/>
  <c r="Y193" i="191" s="1"/>
  <c r="Y121" i="186"/>
  <c r="Y133" i="186" s="1"/>
  <c r="N95" i="189"/>
  <c r="N183" i="189" s="1"/>
  <c r="N54" i="191" s="1"/>
  <c r="N159" i="191" s="1"/>
  <c r="N94" i="186"/>
  <c r="N106" i="186" s="1"/>
  <c r="S106" i="189"/>
  <c r="S211" i="189" s="1"/>
  <c r="S83" i="191" s="1"/>
  <c r="S188" i="191" s="1"/>
  <c r="X291" i="185"/>
  <c r="O101" i="186"/>
  <c r="O113" i="186" s="1"/>
  <c r="P97" i="189"/>
  <c r="P185" i="189" s="1"/>
  <c r="P56" i="191" s="1"/>
  <c r="P161" i="191" s="1"/>
  <c r="Y302" i="185"/>
  <c r="S283" i="185"/>
  <c r="X296" i="185"/>
  <c r="P119" i="186"/>
  <c r="P131" i="186" s="1"/>
  <c r="P109" i="189"/>
  <c r="P214" i="189" s="1"/>
  <c r="P86" i="191" s="1"/>
  <c r="P191" i="191" s="1"/>
  <c r="M301" i="185"/>
  <c r="R93" i="186"/>
  <c r="R105" i="186" s="1"/>
  <c r="R94" i="189"/>
  <c r="R182" i="189" s="1"/>
  <c r="R53" i="191" s="1"/>
  <c r="R158" i="191" s="1"/>
  <c r="R93" i="189"/>
  <c r="R181" i="189" s="1"/>
  <c r="R52" i="191" s="1"/>
  <c r="R157" i="191" s="1"/>
  <c r="M290" i="185"/>
  <c r="T109" i="189"/>
  <c r="T214" i="189" s="1"/>
  <c r="T86" i="191" s="1"/>
  <c r="T191" i="191" s="1"/>
  <c r="T119" i="186"/>
  <c r="T131" i="186" s="1"/>
  <c r="S287" i="185"/>
  <c r="X234" i="185"/>
  <c r="X277" i="185" s="1"/>
  <c r="X235" i="185"/>
  <c r="X278" i="185" s="1"/>
  <c r="X233" i="185"/>
  <c r="X276" i="185" s="1"/>
  <c r="X232" i="185"/>
  <c r="X275" i="185" s="1"/>
  <c r="X231" i="185"/>
  <c r="X274" i="185" s="1"/>
  <c r="X230" i="185"/>
  <c r="X273" i="185" s="1"/>
  <c r="X229" i="185"/>
  <c r="X272" i="185" s="1"/>
  <c r="X237" i="185"/>
  <c r="X280" i="185" s="1"/>
  <c r="X236" i="185"/>
  <c r="X279" i="185" s="1"/>
  <c r="V93" i="186"/>
  <c r="V105" i="186" s="1"/>
  <c r="V93" i="189"/>
  <c r="V181" i="189" s="1"/>
  <c r="V52" i="191" s="1"/>
  <c r="V157" i="191" s="1"/>
  <c r="V94" i="189"/>
  <c r="V182" i="189" s="1"/>
  <c r="V53" i="191" s="1"/>
  <c r="V158" i="191" s="1"/>
  <c r="R110" i="189"/>
  <c r="R215" i="189" s="1"/>
  <c r="R87" i="191" s="1"/>
  <c r="R192" i="191" s="1"/>
  <c r="R120" i="186"/>
  <c r="R132" i="186" s="1"/>
  <c r="X301" i="185"/>
  <c r="U108" i="189"/>
  <c r="U213" i="189" s="1"/>
  <c r="U85" i="191" s="1"/>
  <c r="U190" i="191" s="1"/>
  <c r="U118" i="186"/>
  <c r="U130" i="186" s="1"/>
  <c r="N297" i="185"/>
  <c r="X284" i="185"/>
  <c r="W96" i="186"/>
  <c r="W108" i="186" s="1"/>
  <c r="W97" i="189"/>
  <c r="W185" i="189" s="1"/>
  <c r="W56" i="191" s="1"/>
  <c r="W161" i="191" s="1"/>
  <c r="V300" i="185"/>
  <c r="J94" i="186"/>
  <c r="J106" i="186" s="1"/>
  <c r="J95" i="189"/>
  <c r="J183" i="189" s="1"/>
  <c r="J54" i="191" s="1"/>
  <c r="J159" i="191" s="1"/>
  <c r="U119" i="186"/>
  <c r="U131" i="186" s="1"/>
  <c r="U109" i="189"/>
  <c r="U214" i="189" s="1"/>
  <c r="U86" i="191" s="1"/>
  <c r="U191" i="191" s="1"/>
  <c r="N296" i="185"/>
  <c r="X290" i="185"/>
  <c r="W98" i="186"/>
  <c r="W110" i="186" s="1"/>
  <c r="L93" i="186"/>
  <c r="L105" i="186" s="1"/>
  <c r="L93" i="189"/>
  <c r="L181" i="189" s="1"/>
  <c r="L52" i="191" s="1"/>
  <c r="L157" i="191" s="1"/>
  <c r="L94" i="189"/>
  <c r="L182" i="189" s="1"/>
  <c r="L53" i="191" s="1"/>
  <c r="L158" i="191" s="1"/>
  <c r="Y287" i="185"/>
  <c r="U94" i="189"/>
  <c r="U182" i="189" s="1"/>
  <c r="U53" i="191" s="1"/>
  <c r="U158" i="191" s="1"/>
  <c r="U93" i="189"/>
  <c r="U181" i="189" s="1"/>
  <c r="U52" i="191" s="1"/>
  <c r="U157" i="191" s="1"/>
  <c r="U93" i="186"/>
  <c r="U105" i="186" s="1"/>
  <c r="O124" i="186"/>
  <c r="O136" i="186" s="1"/>
  <c r="M298" i="185"/>
  <c r="O95" i="189"/>
  <c r="O183" i="189" s="1"/>
  <c r="O54" i="191" s="1"/>
  <c r="O159" i="191" s="1"/>
  <c r="O94" i="186"/>
  <c r="O106" i="186" s="1"/>
  <c r="P99" i="186"/>
  <c r="P111" i="186" s="1"/>
  <c r="P100" i="189"/>
  <c r="P188" i="189" s="1"/>
  <c r="P59" i="191" s="1"/>
  <c r="P164" i="191" s="1"/>
  <c r="R95" i="189"/>
  <c r="R183" i="189" s="1"/>
  <c r="R54" i="191" s="1"/>
  <c r="R159" i="191" s="1"/>
  <c r="R94" i="186"/>
  <c r="R106" i="186" s="1"/>
  <c r="M286" i="185"/>
  <c r="T110" i="189"/>
  <c r="T215" i="189" s="1"/>
  <c r="T87" i="191" s="1"/>
  <c r="T192" i="191" s="1"/>
  <c r="T120" i="186"/>
  <c r="T132" i="186" s="1"/>
  <c r="T101" i="186"/>
  <c r="T113" i="186" s="1"/>
  <c r="T102" i="189"/>
  <c r="T190" i="189" s="1"/>
  <c r="T61" i="191" s="1"/>
  <c r="T166" i="191" s="1"/>
  <c r="O234" i="185"/>
  <c r="O277" i="185" s="1"/>
  <c r="O232" i="185"/>
  <c r="O275" i="185" s="1"/>
  <c r="O231" i="185"/>
  <c r="O274" i="185" s="1"/>
  <c r="O237" i="185"/>
  <c r="O280" i="185" s="1"/>
  <c r="O229" i="185"/>
  <c r="O272" i="185" s="1"/>
  <c r="O235" i="185"/>
  <c r="O278" i="185" s="1"/>
  <c r="O230" i="185"/>
  <c r="O273" i="185" s="1"/>
  <c r="O233" i="185"/>
  <c r="O276" i="185" s="1"/>
  <c r="O236" i="185"/>
  <c r="O279" i="185" s="1"/>
  <c r="W120" i="186"/>
  <c r="W132" i="186" s="1"/>
  <c r="W110" i="189"/>
  <c r="W215" i="189" s="1"/>
  <c r="W87" i="191" s="1"/>
  <c r="W192" i="191" s="1"/>
  <c r="V301" i="185"/>
  <c r="J100" i="189"/>
  <c r="J188" i="189" s="1"/>
  <c r="J59" i="191" s="1"/>
  <c r="J164" i="191" s="1"/>
  <c r="J99" i="186"/>
  <c r="J111" i="186" s="1"/>
  <c r="S296" i="185"/>
  <c r="J120" i="186"/>
  <c r="J132" i="186" s="1"/>
  <c r="J110" i="189"/>
  <c r="J215" i="189" s="1"/>
  <c r="J87" i="191" s="1"/>
  <c r="J192" i="191" s="1"/>
  <c r="K93" i="189"/>
  <c r="K181" i="189" s="1"/>
  <c r="K52" i="191" s="1"/>
  <c r="K157" i="191" s="1"/>
  <c r="K94" i="189"/>
  <c r="K182" i="189" s="1"/>
  <c r="K53" i="191" s="1"/>
  <c r="K158" i="191" s="1"/>
  <c r="K93" i="186"/>
  <c r="K105" i="186" s="1"/>
  <c r="N288" i="185"/>
  <c r="W95" i="186"/>
  <c r="W107" i="186" s="1"/>
  <c r="R107" i="189"/>
  <c r="R212" i="189" s="1"/>
  <c r="R84" i="191" s="1"/>
  <c r="R189" i="191" s="1"/>
  <c r="R117" i="186"/>
  <c r="R129" i="186" s="1"/>
  <c r="X300" i="185"/>
  <c r="J93" i="186"/>
  <c r="J105" i="186" s="1"/>
  <c r="J93" i="189"/>
  <c r="J181" i="189" s="1"/>
  <c r="J52" i="191" s="1"/>
  <c r="J157" i="191" s="1"/>
  <c r="J94" i="189"/>
  <c r="J182" i="189" s="1"/>
  <c r="J53" i="191" s="1"/>
  <c r="J158" i="191" s="1"/>
  <c r="S302" i="185"/>
  <c r="J111" i="189"/>
  <c r="J216" i="189" s="1"/>
  <c r="J88" i="191" s="1"/>
  <c r="J193" i="191" s="1"/>
  <c r="J121" i="186"/>
  <c r="J133" i="186" s="1"/>
  <c r="N298" i="185"/>
  <c r="X286" i="185"/>
  <c r="O290" i="185"/>
  <c r="P94" i="189"/>
  <c r="P182" i="189" s="1"/>
  <c r="P53" i="191" s="1"/>
  <c r="P158" i="191" s="1"/>
  <c r="P93" i="186"/>
  <c r="P105" i="186" s="1"/>
  <c r="P93" i="189"/>
  <c r="P181" i="189" s="1"/>
  <c r="P52" i="191" s="1"/>
  <c r="P157" i="191" s="1"/>
  <c r="P121" i="186"/>
  <c r="P133" i="186" s="1"/>
  <c r="P111" i="189"/>
  <c r="P216" i="189" s="1"/>
  <c r="P88" i="191" s="1"/>
  <c r="P193" i="191" s="1"/>
  <c r="M297" i="185"/>
  <c r="H117" i="180"/>
  <c r="O287" i="185"/>
  <c r="P95" i="186"/>
  <c r="P107" i="186" s="1"/>
  <c r="P96" i="189"/>
  <c r="P184" i="189" s="1"/>
  <c r="P55" i="191" s="1"/>
  <c r="P160" i="191" s="1"/>
  <c r="K105" i="189"/>
  <c r="K210" i="189" s="1"/>
  <c r="K82" i="191" s="1"/>
  <c r="K187" i="191" s="1"/>
  <c r="Y298" i="185"/>
  <c r="S285" i="185"/>
  <c r="R234" i="185"/>
  <c r="R277" i="185" s="1"/>
  <c r="R233" i="185"/>
  <c r="R276" i="185" s="1"/>
  <c r="R235" i="185"/>
  <c r="R278" i="185" s="1"/>
  <c r="R236" i="185"/>
  <c r="R279" i="185" s="1"/>
  <c r="R232" i="185"/>
  <c r="R275" i="185" s="1"/>
  <c r="R229" i="185"/>
  <c r="R272" i="185" s="1"/>
  <c r="R237" i="185"/>
  <c r="R280" i="185" s="1"/>
  <c r="R230" i="185"/>
  <c r="R273" i="185" s="1"/>
  <c r="R231" i="185"/>
  <c r="R274" i="185" s="1"/>
  <c r="L234" i="185"/>
  <c r="L277" i="185" s="1"/>
  <c r="L231" i="185"/>
  <c r="L274" i="185" s="1"/>
  <c r="L232" i="185"/>
  <c r="L275" i="185" s="1"/>
  <c r="L229" i="185"/>
  <c r="L272" i="185" s="1"/>
  <c r="L233" i="185"/>
  <c r="L276" i="185" s="1"/>
  <c r="L236" i="185"/>
  <c r="L279" i="185" s="1"/>
  <c r="L237" i="185"/>
  <c r="L280" i="185" s="1"/>
  <c r="L230" i="185"/>
  <c r="L273" i="185" s="1"/>
  <c r="L235" i="185"/>
  <c r="L278" i="185" s="1"/>
  <c r="J234" i="185"/>
  <c r="J277" i="185" s="1"/>
  <c r="J235" i="185"/>
  <c r="J278" i="185" s="1"/>
  <c r="J233" i="185"/>
  <c r="J276" i="185" s="1"/>
  <c r="J236" i="185"/>
  <c r="J279" i="185" s="1"/>
  <c r="J230" i="185"/>
  <c r="J273" i="185" s="1"/>
  <c r="J229" i="185"/>
  <c r="J272" i="185" s="1"/>
  <c r="J237" i="185"/>
  <c r="J280" i="185" s="1"/>
  <c r="J232" i="185"/>
  <c r="J275" i="185" s="1"/>
  <c r="J231" i="185"/>
  <c r="J274" i="185" s="1"/>
  <c r="S299" i="185"/>
  <c r="N301" i="185"/>
  <c r="X285" i="185"/>
  <c r="P112" i="189"/>
  <c r="P217" i="189" s="1"/>
  <c r="P89" i="191" s="1"/>
  <c r="P194" i="191" s="1"/>
  <c r="P122" i="186"/>
  <c r="P134" i="186" s="1"/>
  <c r="L299" i="185"/>
  <c r="O300" i="185"/>
  <c r="K108" i="189"/>
  <c r="K213" i="189" s="1"/>
  <c r="K85" i="191" s="1"/>
  <c r="K190" i="191" s="1"/>
  <c r="K118" i="186"/>
  <c r="K130" i="186" s="1"/>
  <c r="M291" i="185"/>
  <c r="Y294" i="185"/>
  <c r="T100" i="186"/>
  <c r="T112" i="186" s="1"/>
  <c r="T101" i="189"/>
  <c r="T189" i="189" s="1"/>
  <c r="T60" i="191" s="1"/>
  <c r="T165" i="191" s="1"/>
  <c r="P102" i="189"/>
  <c r="P190" i="189" s="1"/>
  <c r="P61" i="191" s="1"/>
  <c r="P166" i="191" s="1"/>
  <c r="P101" i="186"/>
  <c r="P113" i="186" s="1"/>
  <c r="W234" i="185"/>
  <c r="W277" i="185" s="1"/>
  <c r="W235" i="185"/>
  <c r="W278" i="185" s="1"/>
  <c r="W230" i="185"/>
  <c r="W273" i="185" s="1"/>
  <c r="W236" i="185"/>
  <c r="W279" i="185" s="1"/>
  <c r="W237" i="185"/>
  <c r="W280" i="185" s="1"/>
  <c r="W231" i="185"/>
  <c r="W274" i="185" s="1"/>
  <c r="W229" i="185"/>
  <c r="W272" i="185" s="1"/>
  <c r="W233" i="185"/>
  <c r="W276" i="185" s="1"/>
  <c r="W232" i="185"/>
  <c r="W275" i="185" s="1"/>
  <c r="R294" i="185"/>
  <c r="X298" i="185"/>
  <c r="V288" i="185"/>
  <c r="N295" i="185"/>
  <c r="K94" i="186"/>
  <c r="K106" i="186" s="1"/>
  <c r="K95" i="189"/>
  <c r="K183" i="189" s="1"/>
  <c r="K54" i="191" s="1"/>
  <c r="K159" i="191" s="1"/>
  <c r="W290" i="185"/>
  <c r="P296" i="185"/>
  <c r="L298" i="185"/>
  <c r="M300" i="185"/>
  <c r="O288" i="185"/>
  <c r="Y286" i="185"/>
  <c r="T300" i="185"/>
  <c r="T286" i="185"/>
  <c r="U234" i="185"/>
  <c r="U277" i="185" s="1"/>
  <c r="U231" i="185"/>
  <c r="U274" i="185" s="1"/>
  <c r="U237" i="185"/>
  <c r="U280" i="185" s="1"/>
  <c r="U236" i="185"/>
  <c r="U279" i="185" s="1"/>
  <c r="U230" i="185"/>
  <c r="U273" i="185" s="1"/>
  <c r="U233" i="185"/>
  <c r="U276" i="185" s="1"/>
  <c r="U232" i="185"/>
  <c r="U275" i="185" s="1"/>
  <c r="U235" i="185"/>
  <c r="U278" i="185" s="1"/>
  <c r="U229" i="185"/>
  <c r="U272" i="185" s="1"/>
  <c r="K113" i="189"/>
  <c r="K218" i="189" s="1"/>
  <c r="K90" i="191" s="1"/>
  <c r="K195" i="191" s="1"/>
  <c r="K123" i="186"/>
  <c r="K135" i="186" s="1"/>
  <c r="W294" i="185"/>
  <c r="V299" i="185"/>
  <c r="J290" i="185"/>
  <c r="S301" i="185"/>
  <c r="X283" i="185"/>
  <c r="T117" i="186"/>
  <c r="T129" i="186" s="1"/>
  <c r="T107" i="189"/>
  <c r="T212" i="189" s="1"/>
  <c r="T84" i="191" s="1"/>
  <c r="T189" i="191" s="1"/>
  <c r="J102" i="189"/>
  <c r="J190" i="189" s="1"/>
  <c r="J61" i="191" s="1"/>
  <c r="J166" i="191" s="1"/>
  <c r="V100" i="186"/>
  <c r="V112" i="186" s="1"/>
  <c r="S101" i="189"/>
  <c r="S189" i="189" s="1"/>
  <c r="S60" i="191" s="1"/>
  <c r="S165" i="191" s="1"/>
  <c r="S100" i="186"/>
  <c r="S112" i="186" s="1"/>
  <c r="T234" i="185"/>
  <c r="T277" i="185" s="1"/>
  <c r="T231" i="185"/>
  <c r="T274" i="185" s="1"/>
  <c r="T232" i="185"/>
  <c r="T275" i="185" s="1"/>
  <c r="T237" i="185"/>
  <c r="T280" i="185" s="1"/>
  <c r="T233" i="185"/>
  <c r="T276" i="185" s="1"/>
  <c r="T229" i="185"/>
  <c r="T272" i="185" s="1"/>
  <c r="T235" i="185"/>
  <c r="T278" i="185" s="1"/>
  <c r="T236" i="185"/>
  <c r="T279" i="185" s="1"/>
  <c r="T230" i="185"/>
  <c r="T273" i="185" s="1"/>
  <c r="L112" i="189"/>
  <c r="L217" i="189" s="1"/>
  <c r="L89" i="191" s="1"/>
  <c r="L194" i="191" s="1"/>
  <c r="L122" i="186"/>
  <c r="L134" i="186" s="1"/>
  <c r="Y289" i="185"/>
  <c r="U99" i="186"/>
  <c r="U111" i="186" s="1"/>
  <c r="U100" i="189"/>
  <c r="U188" i="189" s="1"/>
  <c r="U59" i="191" s="1"/>
  <c r="U164" i="191" s="1"/>
  <c r="O107" i="189"/>
  <c r="O212" i="189" s="1"/>
  <c r="O84" i="191" s="1"/>
  <c r="O189" i="191" s="1"/>
  <c r="O117" i="186"/>
  <c r="O129" i="186" s="1"/>
  <c r="L99" i="186"/>
  <c r="L111" i="186" s="1"/>
  <c r="L100" i="189"/>
  <c r="L188" i="189" s="1"/>
  <c r="L59" i="191" s="1"/>
  <c r="L164" i="191" s="1"/>
  <c r="Y288" i="185"/>
  <c r="Y297" i="185"/>
  <c r="S288" i="185"/>
  <c r="T95" i="189"/>
  <c r="T183" i="189" s="1"/>
  <c r="T54" i="191" s="1"/>
  <c r="T159" i="191" s="1"/>
  <c r="T94" i="186"/>
  <c r="T106" i="186" s="1"/>
  <c r="O105" i="189"/>
  <c r="O210" i="189" s="1"/>
  <c r="O82" i="191" s="1"/>
  <c r="O187" i="191" s="1"/>
  <c r="O116" i="186"/>
  <c r="O128" i="186" s="1"/>
  <c r="O106" i="189"/>
  <c r="O211" i="189" s="1"/>
  <c r="O83" i="191" s="1"/>
  <c r="O188" i="191" s="1"/>
  <c r="V296" i="185"/>
  <c r="V287" i="185"/>
  <c r="S300" i="185"/>
  <c r="J112" i="189"/>
  <c r="J217" i="189" s="1"/>
  <c r="J89" i="191" s="1"/>
  <c r="J194" i="191" s="1"/>
  <c r="J122" i="186"/>
  <c r="J134" i="186" s="1"/>
  <c r="K102" i="189"/>
  <c r="K190" i="189" s="1"/>
  <c r="K61" i="191" s="1"/>
  <c r="K166" i="191" s="1"/>
  <c r="K101" i="186"/>
  <c r="K113" i="186" s="1"/>
  <c r="N287" i="185"/>
  <c r="R113" i="189"/>
  <c r="R218" i="189" s="1"/>
  <c r="R90" i="191" s="1"/>
  <c r="R195" i="191" s="1"/>
  <c r="R123" i="186"/>
  <c r="R135" i="186" s="1"/>
  <c r="X297" i="185"/>
  <c r="V285" i="185"/>
  <c r="S298" i="185"/>
  <c r="J114" i="189"/>
  <c r="J219" i="189" s="1"/>
  <c r="J91" i="191" s="1"/>
  <c r="J196" i="191" s="1"/>
  <c r="J124" i="186"/>
  <c r="J136" i="186" s="1"/>
  <c r="K98" i="189"/>
  <c r="K186" i="189" s="1"/>
  <c r="K57" i="191" s="1"/>
  <c r="K162" i="191" s="1"/>
  <c r="K97" i="186"/>
  <c r="K109" i="186" s="1"/>
  <c r="N290" i="185"/>
  <c r="O283" i="185"/>
  <c r="P98" i="189"/>
  <c r="P186" i="189" s="1"/>
  <c r="P57" i="191" s="1"/>
  <c r="P162" i="191" s="1"/>
  <c r="P97" i="186"/>
  <c r="P109" i="186" s="1"/>
  <c r="P106" i="189"/>
  <c r="P211" i="189" s="1"/>
  <c r="P83" i="191" s="1"/>
  <c r="P188" i="191" s="1"/>
  <c r="P116" i="186"/>
  <c r="P128" i="186" s="1"/>
  <c r="P105" i="189"/>
  <c r="P210" i="189" s="1"/>
  <c r="P82" i="191" s="1"/>
  <c r="P187" i="191" s="1"/>
  <c r="L114" i="189"/>
  <c r="L219" i="189" s="1"/>
  <c r="L91" i="191" s="1"/>
  <c r="L196" i="191" s="1"/>
  <c r="L124" i="186"/>
  <c r="L136" i="186" s="1"/>
  <c r="M294" i="185"/>
  <c r="L95" i="186"/>
  <c r="L107" i="186" s="1"/>
  <c r="L96" i="189"/>
  <c r="L184" i="189" s="1"/>
  <c r="L55" i="191" s="1"/>
  <c r="L160" i="191" s="1"/>
  <c r="Y284" i="185"/>
  <c r="P100" i="186"/>
  <c r="P112" i="186" s="1"/>
  <c r="P101" i="189"/>
  <c r="P189" i="189" s="1"/>
  <c r="P60" i="191" s="1"/>
  <c r="P165" i="191" s="1"/>
  <c r="R97" i="186"/>
  <c r="R109" i="186" s="1"/>
  <c r="M288" i="185"/>
  <c r="Y295" i="185"/>
  <c r="T99" i="189"/>
  <c r="T187" i="189" s="1"/>
  <c r="T58" i="191" s="1"/>
  <c r="T163" i="191" s="1"/>
  <c r="T98" i="186"/>
  <c r="T110" i="186" s="1"/>
  <c r="R111" i="189"/>
  <c r="R216" i="189" s="1"/>
  <c r="R88" i="191" s="1"/>
  <c r="R193" i="191" s="1"/>
  <c r="R121" i="186"/>
  <c r="R133" i="186" s="1"/>
  <c r="L94" i="186"/>
  <c r="L106" i="186" s="1"/>
  <c r="L95" i="189"/>
  <c r="L183" i="189" s="1"/>
  <c r="L54" i="191" s="1"/>
  <c r="L159" i="191" s="1"/>
  <c r="V298" i="185"/>
  <c r="S295" i="185"/>
  <c r="K97" i="189"/>
  <c r="K185" i="189" s="1"/>
  <c r="K56" i="191" s="1"/>
  <c r="K161" i="191" s="1"/>
  <c r="K96" i="186"/>
  <c r="K108" i="186" s="1"/>
  <c r="N289" i="185"/>
  <c r="U99" i="189"/>
  <c r="U187" i="189" s="1"/>
  <c r="U58" i="191" s="1"/>
  <c r="U163" i="191" s="1"/>
  <c r="U98" i="186"/>
  <c r="U110" i="186" s="1"/>
  <c r="L296" i="185"/>
  <c r="M295" i="185"/>
  <c r="R288" i="185"/>
  <c r="M285" i="185"/>
  <c r="T123" i="186"/>
  <c r="T135" i="186" s="1"/>
  <c r="T113" i="189"/>
  <c r="T218" i="189" s="1"/>
  <c r="T90" i="191" s="1"/>
  <c r="T195" i="191" s="1"/>
  <c r="T99" i="186"/>
  <c r="T111" i="186" s="1"/>
  <c r="T100" i="189"/>
  <c r="T188" i="189" s="1"/>
  <c r="T59" i="191" s="1"/>
  <c r="T164" i="191" s="1"/>
  <c r="P234" i="185"/>
  <c r="P277" i="185" s="1"/>
  <c r="P233" i="185"/>
  <c r="P276" i="185" s="1"/>
  <c r="P230" i="185"/>
  <c r="P273" i="185" s="1"/>
  <c r="P229" i="185"/>
  <c r="P272" i="185" s="1"/>
  <c r="P237" i="185"/>
  <c r="P280" i="185" s="1"/>
  <c r="P232" i="185"/>
  <c r="P275" i="185" s="1"/>
  <c r="P236" i="185"/>
  <c r="P279" i="185" s="1"/>
  <c r="P231" i="185"/>
  <c r="P274" i="185" s="1"/>
  <c r="P235" i="185"/>
  <c r="P278" i="185" s="1"/>
  <c r="W111" i="189"/>
  <c r="W216" i="189" s="1"/>
  <c r="W88" i="191" s="1"/>
  <c r="W193" i="191" s="1"/>
  <c r="W121" i="186"/>
  <c r="W133" i="186" s="1"/>
  <c r="R296" i="185"/>
  <c r="X302" i="185"/>
  <c r="V291" i="185"/>
  <c r="S297" i="185"/>
  <c r="J294" i="185"/>
  <c r="N294" i="185"/>
  <c r="X289" i="185"/>
  <c r="W289" i="185"/>
  <c r="U98" i="189"/>
  <c r="U186" i="189" s="1"/>
  <c r="U57" i="191" s="1"/>
  <c r="U162" i="191" s="1"/>
  <c r="U97" i="186"/>
  <c r="U109" i="186" s="1"/>
  <c r="O299" i="185"/>
  <c r="M296" i="185"/>
  <c r="O285" i="185"/>
  <c r="P284" i="185"/>
  <c r="R290" i="185"/>
  <c r="Y301" i="185"/>
  <c r="T302" i="185"/>
  <c r="T287" i="185"/>
  <c r="U111" i="189"/>
  <c r="U216" i="189" s="1"/>
  <c r="U88" i="191" s="1"/>
  <c r="U193" i="191" s="1"/>
  <c r="U121" i="186"/>
  <c r="U133" i="186" s="1"/>
  <c r="K234" i="185"/>
  <c r="K277" i="185" s="1"/>
  <c r="K235" i="185"/>
  <c r="K278" i="185" s="1"/>
  <c r="K236" i="185"/>
  <c r="K279" i="185" s="1"/>
  <c r="K233" i="185"/>
  <c r="K276" i="185" s="1"/>
  <c r="K237" i="185"/>
  <c r="K280" i="185" s="1"/>
  <c r="K232" i="185"/>
  <c r="K275" i="185" s="1"/>
  <c r="K231" i="185"/>
  <c r="K274" i="185" s="1"/>
  <c r="K229" i="185"/>
  <c r="K272" i="185" s="1"/>
  <c r="K230" i="185"/>
  <c r="K273" i="185" s="1"/>
  <c r="W295" i="185"/>
  <c r="V294" i="185"/>
  <c r="V284" i="185"/>
  <c r="U302" i="185"/>
  <c r="N291" i="185"/>
  <c r="K111" i="189" l="1"/>
  <c r="K216" i="189" s="1"/>
  <c r="K88" i="191" s="1"/>
  <c r="K193" i="191" s="1"/>
  <c r="K112" i="189"/>
  <c r="K217" i="189" s="1"/>
  <c r="K89" i="191" s="1"/>
  <c r="K194" i="191" s="1"/>
  <c r="W98" i="189"/>
  <c r="W186" i="189" s="1"/>
  <c r="W57" i="191" s="1"/>
  <c r="W162" i="191" s="1"/>
  <c r="S105" i="189"/>
  <c r="S210" i="189" s="1"/>
  <c r="S82" i="191" s="1"/>
  <c r="S187" i="191" s="1"/>
  <c r="J108" i="189"/>
  <c r="J213" i="189" s="1"/>
  <c r="J85" i="191" s="1"/>
  <c r="J190" i="191" s="1"/>
  <c r="K116" i="186"/>
  <c r="K128" i="186" s="1"/>
  <c r="K98" i="186"/>
  <c r="K110" i="186" s="1"/>
  <c r="R95" i="186"/>
  <c r="R107" i="186" s="1"/>
  <c r="S95" i="189"/>
  <c r="S183" i="189" s="1"/>
  <c r="S54" i="191" s="1"/>
  <c r="S159" i="191" s="1"/>
  <c r="U105" i="189"/>
  <c r="U210" i="189" s="1"/>
  <c r="U82" i="191" s="1"/>
  <c r="U187" i="191" s="1"/>
  <c r="U101" i="189"/>
  <c r="U189" i="189" s="1"/>
  <c r="U60" i="191" s="1"/>
  <c r="U165" i="191" s="1"/>
  <c r="U96" i="186"/>
  <c r="U108" i="186" s="1"/>
  <c r="O96" i="186"/>
  <c r="O108" i="186" s="1"/>
  <c r="W94" i="189"/>
  <c r="W182" i="189" s="1"/>
  <c r="W53" i="191" s="1"/>
  <c r="W158" i="191" s="1"/>
  <c r="W109" i="189"/>
  <c r="W214" i="189" s="1"/>
  <c r="W86" i="191" s="1"/>
  <c r="W191" i="191" s="1"/>
  <c r="V114" i="189"/>
  <c r="V219" i="189" s="1"/>
  <c r="V91" i="191" s="1"/>
  <c r="V196" i="191" s="1"/>
  <c r="J96" i="186"/>
  <c r="J108" i="186" s="1"/>
  <c r="R97" i="189"/>
  <c r="R185" i="189" s="1"/>
  <c r="R56" i="191" s="1"/>
  <c r="R161" i="191" s="1"/>
  <c r="L106" i="189"/>
  <c r="L211" i="189" s="1"/>
  <c r="L83" i="191" s="1"/>
  <c r="L188" i="191" s="1"/>
  <c r="W122" i="186"/>
  <c r="W134" i="186" s="1"/>
  <c r="W93" i="186"/>
  <c r="W105" i="186" s="1"/>
  <c r="W118" i="186"/>
  <c r="W130" i="186" s="1"/>
  <c r="U102" i="189"/>
  <c r="U190" i="189" s="1"/>
  <c r="U61" i="191" s="1"/>
  <c r="U166" i="191" s="1"/>
  <c r="R122" i="186"/>
  <c r="R134" i="186" s="1"/>
  <c r="W114" i="189"/>
  <c r="W219" i="189" s="1"/>
  <c r="W91" i="191" s="1"/>
  <c r="W196" i="191" s="1"/>
  <c r="W102" i="189"/>
  <c r="W190" i="189" s="1"/>
  <c r="W61" i="191" s="1"/>
  <c r="W166" i="191" s="1"/>
  <c r="U110" i="189"/>
  <c r="U215" i="189" s="1"/>
  <c r="U87" i="191" s="1"/>
  <c r="U192" i="191" s="1"/>
  <c r="U116" i="186"/>
  <c r="U128" i="186" s="1"/>
  <c r="W94" i="186"/>
  <c r="W106" i="186" s="1"/>
  <c r="V100" i="189"/>
  <c r="V188" i="189" s="1"/>
  <c r="V59" i="191" s="1"/>
  <c r="V164" i="191" s="1"/>
  <c r="V96" i="186"/>
  <c r="V108" i="186" s="1"/>
  <c r="R101" i="186"/>
  <c r="R113" i="186" s="1"/>
  <c r="J119" i="186"/>
  <c r="J131" i="186" s="1"/>
  <c r="U112" i="189"/>
  <c r="U217" i="189" s="1"/>
  <c r="U89" i="191" s="1"/>
  <c r="U194" i="191" s="1"/>
  <c r="L102" i="189"/>
  <c r="L190" i="189" s="1"/>
  <c r="L61" i="191" s="1"/>
  <c r="L166" i="191" s="1"/>
  <c r="O118" i="186"/>
  <c r="O130" i="186" s="1"/>
  <c r="U117" i="186"/>
  <c r="U129" i="186" s="1"/>
  <c r="U113" i="189"/>
  <c r="U218" i="189" s="1"/>
  <c r="U90" i="191" s="1"/>
  <c r="U195" i="191" s="1"/>
  <c r="U95" i="189"/>
  <c r="U183" i="189" s="1"/>
  <c r="U54" i="191" s="1"/>
  <c r="U159" i="191" s="1"/>
  <c r="K83" i="189"/>
  <c r="K154" i="189" s="1"/>
  <c r="K24" i="191" s="1"/>
  <c r="K129" i="191" s="1"/>
  <c r="K71" i="186"/>
  <c r="K83" i="186" s="1"/>
  <c r="K143" i="186" s="1"/>
  <c r="K169" i="186" s="1"/>
  <c r="K270" i="186" s="1"/>
  <c r="K75" i="186"/>
  <c r="K87" i="186" s="1"/>
  <c r="K147" i="186" s="1"/>
  <c r="K173" i="186" s="1"/>
  <c r="K274" i="186" s="1"/>
  <c r="K87" i="189"/>
  <c r="K158" i="189" s="1"/>
  <c r="K28" i="191" s="1"/>
  <c r="K133" i="191" s="1"/>
  <c r="M96" i="189"/>
  <c r="M184" i="189" s="1"/>
  <c r="M55" i="191" s="1"/>
  <c r="M160" i="191" s="1"/>
  <c r="M95" i="186"/>
  <c r="M107" i="186" s="1"/>
  <c r="N101" i="189"/>
  <c r="N189" i="189" s="1"/>
  <c r="N60" i="191" s="1"/>
  <c r="N165" i="191" s="1"/>
  <c r="N100" i="186"/>
  <c r="N112" i="186" s="1"/>
  <c r="V98" i="189"/>
  <c r="V186" i="189" s="1"/>
  <c r="V57" i="191" s="1"/>
  <c r="V162" i="191" s="1"/>
  <c r="V97" i="186"/>
  <c r="V109" i="186" s="1"/>
  <c r="S113" i="189"/>
  <c r="S218" i="189" s="1"/>
  <c r="S90" i="191" s="1"/>
  <c r="S195" i="191" s="1"/>
  <c r="S123" i="186"/>
  <c r="S135" i="186" s="1"/>
  <c r="U77" i="186"/>
  <c r="U89" i="186" s="1"/>
  <c r="U149" i="186" s="1"/>
  <c r="U175" i="186" s="1"/>
  <c r="U276" i="186" s="1"/>
  <c r="U89" i="189"/>
  <c r="U160" i="189" s="1"/>
  <c r="U30" i="191" s="1"/>
  <c r="U135" i="191" s="1"/>
  <c r="Y97" i="189"/>
  <c r="Y185" i="189" s="1"/>
  <c r="Y56" i="191" s="1"/>
  <c r="Y161" i="191" s="1"/>
  <c r="Y96" i="186"/>
  <c r="Y108" i="186" s="1"/>
  <c r="P118" i="186"/>
  <c r="P130" i="186" s="1"/>
  <c r="P108" i="189"/>
  <c r="P213" i="189" s="1"/>
  <c r="P85" i="191" s="1"/>
  <c r="P190" i="191" s="1"/>
  <c r="X120" i="186"/>
  <c r="X132" i="186" s="1"/>
  <c r="X110" i="189"/>
  <c r="X215" i="189" s="1"/>
  <c r="X87" i="191" s="1"/>
  <c r="X192" i="191" s="1"/>
  <c r="W70" i="186"/>
  <c r="W82" i="186" s="1"/>
  <c r="W82" i="189"/>
  <c r="W153" i="189" s="1"/>
  <c r="W23" i="191" s="1"/>
  <c r="W128" i="191" s="1"/>
  <c r="W81" i="189"/>
  <c r="W152" i="189" s="1"/>
  <c r="M102" i="189"/>
  <c r="M190" i="189" s="1"/>
  <c r="M61" i="191" s="1"/>
  <c r="M166" i="191" s="1"/>
  <c r="M101" i="186"/>
  <c r="M113" i="186" s="1"/>
  <c r="O112" i="189"/>
  <c r="O217" i="189" s="1"/>
  <c r="O89" i="191" s="1"/>
  <c r="O194" i="191" s="1"/>
  <c r="O122" i="186"/>
  <c r="O134" i="186" s="1"/>
  <c r="J77" i="186"/>
  <c r="J89" i="186" s="1"/>
  <c r="J89" i="189"/>
  <c r="J160" i="189" s="1"/>
  <c r="J30" i="191" s="1"/>
  <c r="J135" i="191" s="1"/>
  <c r="L86" i="189"/>
  <c r="L157" i="189" s="1"/>
  <c r="L27" i="191" s="1"/>
  <c r="L132" i="191" s="1"/>
  <c r="L74" i="186"/>
  <c r="L86" i="186" s="1"/>
  <c r="R82" i="189"/>
  <c r="R153" i="189" s="1"/>
  <c r="R23" i="191" s="1"/>
  <c r="R128" i="191" s="1"/>
  <c r="R81" i="189"/>
  <c r="R152" i="189" s="1"/>
  <c r="R70" i="186"/>
  <c r="R82" i="186" s="1"/>
  <c r="O83" i="189"/>
  <c r="O154" i="189" s="1"/>
  <c r="O24" i="191" s="1"/>
  <c r="O129" i="191" s="1"/>
  <c r="O71" i="186"/>
  <c r="O83" i="186" s="1"/>
  <c r="O143" i="186" s="1"/>
  <c r="O169" i="186" s="1"/>
  <c r="O270" i="186" s="1"/>
  <c r="V122" i="186"/>
  <c r="V134" i="186" s="1"/>
  <c r="V112" i="189"/>
  <c r="V217" i="189" s="1"/>
  <c r="V89" i="191" s="1"/>
  <c r="V194" i="191" s="1"/>
  <c r="X118" i="186"/>
  <c r="X130" i="186" s="1"/>
  <c r="X108" i="189"/>
  <c r="X213" i="189" s="1"/>
  <c r="X85" i="191" s="1"/>
  <c r="X190" i="191" s="1"/>
  <c r="J96" i="189"/>
  <c r="J184" i="189" s="1"/>
  <c r="J55" i="191" s="1"/>
  <c r="J160" i="191" s="1"/>
  <c r="J95" i="186"/>
  <c r="J107" i="186" s="1"/>
  <c r="N85" i="189"/>
  <c r="N156" i="189" s="1"/>
  <c r="N26" i="191" s="1"/>
  <c r="N131" i="191" s="1"/>
  <c r="N73" i="186"/>
  <c r="N85" i="186" s="1"/>
  <c r="Y85" i="189"/>
  <c r="Y156" i="189" s="1"/>
  <c r="Y26" i="191" s="1"/>
  <c r="Y131" i="191" s="1"/>
  <c r="Y73" i="186"/>
  <c r="Y85" i="186" s="1"/>
  <c r="Y84" i="189"/>
  <c r="Y155" i="189" s="1"/>
  <c r="Y25" i="191" s="1"/>
  <c r="Y130" i="191" s="1"/>
  <c r="Y72" i="186"/>
  <c r="Y84" i="186" s="1"/>
  <c r="Y75" i="186"/>
  <c r="Y87" i="186" s="1"/>
  <c r="Y87" i="189"/>
  <c r="Y158" i="189" s="1"/>
  <c r="Y28" i="191" s="1"/>
  <c r="Y133" i="191" s="1"/>
  <c r="J113" i="189"/>
  <c r="J218" i="189" s="1"/>
  <c r="J90" i="191" s="1"/>
  <c r="J195" i="191" s="1"/>
  <c r="J123" i="186"/>
  <c r="J135" i="186" s="1"/>
  <c r="M76" i="186"/>
  <c r="M88" i="186" s="1"/>
  <c r="M88" i="189"/>
  <c r="M159" i="189" s="1"/>
  <c r="M29" i="191" s="1"/>
  <c r="M134" i="191" s="1"/>
  <c r="M70" i="186"/>
  <c r="M82" i="186" s="1"/>
  <c r="M82" i="189"/>
  <c r="M153" i="189" s="1"/>
  <c r="M23" i="191" s="1"/>
  <c r="M128" i="191" s="1"/>
  <c r="M81" i="189"/>
  <c r="M152" i="189" s="1"/>
  <c r="M94" i="186"/>
  <c r="M106" i="186" s="1"/>
  <c r="M95" i="189"/>
  <c r="M183" i="189" s="1"/>
  <c r="M54" i="191" s="1"/>
  <c r="M159" i="191" s="1"/>
  <c r="O113" i="189"/>
  <c r="O218" i="189" s="1"/>
  <c r="O90" i="191" s="1"/>
  <c r="O195" i="191" s="1"/>
  <c r="O123" i="186"/>
  <c r="O135" i="186" s="1"/>
  <c r="V94" i="186"/>
  <c r="V106" i="186" s="1"/>
  <c r="V95" i="189"/>
  <c r="V183" i="189" s="1"/>
  <c r="V54" i="191" s="1"/>
  <c r="V159" i="191" s="1"/>
  <c r="K82" i="189"/>
  <c r="K153" i="189" s="1"/>
  <c r="K23" i="191" s="1"/>
  <c r="K128" i="191" s="1"/>
  <c r="K81" i="189"/>
  <c r="K152" i="189" s="1"/>
  <c r="K70" i="186"/>
  <c r="K82" i="186" s="1"/>
  <c r="K142" i="186" s="1"/>
  <c r="K168" i="186" s="1"/>
  <c r="K74" i="186"/>
  <c r="K86" i="186" s="1"/>
  <c r="K146" i="186" s="1"/>
  <c r="K172" i="186" s="1"/>
  <c r="K273" i="186" s="1"/>
  <c r="K86" i="189"/>
  <c r="K157" i="189" s="1"/>
  <c r="K27" i="191" s="1"/>
  <c r="K132" i="191" s="1"/>
  <c r="Y113" i="189"/>
  <c r="Y218" i="189" s="1"/>
  <c r="Y90" i="191" s="1"/>
  <c r="Y195" i="191" s="1"/>
  <c r="Y123" i="186"/>
  <c r="Y135" i="186" s="1"/>
  <c r="M108" i="189"/>
  <c r="M213" i="189" s="1"/>
  <c r="M85" i="191" s="1"/>
  <c r="M190" i="191" s="1"/>
  <c r="M118" i="186"/>
  <c r="M130" i="186" s="1"/>
  <c r="W99" i="186"/>
  <c r="W111" i="186" s="1"/>
  <c r="W100" i="189"/>
  <c r="W188" i="189" s="1"/>
  <c r="W59" i="191" s="1"/>
  <c r="W164" i="191" s="1"/>
  <c r="S119" i="186"/>
  <c r="S131" i="186" s="1"/>
  <c r="S109" i="189"/>
  <c r="S214" i="189" s="1"/>
  <c r="S86" i="191" s="1"/>
  <c r="S191" i="191" s="1"/>
  <c r="P77" i="186"/>
  <c r="P89" i="186" s="1"/>
  <c r="P89" i="189"/>
  <c r="P160" i="189" s="1"/>
  <c r="P30" i="191" s="1"/>
  <c r="P135" i="191" s="1"/>
  <c r="P71" i="186"/>
  <c r="P83" i="186" s="1"/>
  <c r="P83" i="189"/>
  <c r="P154" i="189" s="1"/>
  <c r="P24" i="191" s="1"/>
  <c r="P129" i="191" s="1"/>
  <c r="R98" i="186"/>
  <c r="R110" i="186" s="1"/>
  <c r="R99" i="189"/>
  <c r="R187" i="189" s="1"/>
  <c r="R58" i="191" s="1"/>
  <c r="R163" i="191" s="1"/>
  <c r="S117" i="186"/>
  <c r="S129" i="186" s="1"/>
  <c r="S107" i="189"/>
  <c r="S212" i="189" s="1"/>
  <c r="S84" i="191" s="1"/>
  <c r="S189" i="191" s="1"/>
  <c r="Y107" i="189"/>
  <c r="Y212" i="189" s="1"/>
  <c r="Y84" i="191" s="1"/>
  <c r="Y189" i="191" s="1"/>
  <c r="Y117" i="186"/>
  <c r="Y129" i="186" s="1"/>
  <c r="Y95" i="189"/>
  <c r="Y183" i="189" s="1"/>
  <c r="Y54" i="191" s="1"/>
  <c r="Y159" i="191" s="1"/>
  <c r="Y94" i="186"/>
  <c r="Y106" i="186" s="1"/>
  <c r="S120" i="186"/>
  <c r="S132" i="186" s="1"/>
  <c r="S110" i="189"/>
  <c r="S215" i="189" s="1"/>
  <c r="S87" i="191" s="1"/>
  <c r="S192" i="191" s="1"/>
  <c r="V108" i="189"/>
  <c r="V213" i="189" s="1"/>
  <c r="V85" i="191" s="1"/>
  <c r="V190" i="191" s="1"/>
  <c r="V118" i="186"/>
  <c r="V130" i="186" s="1"/>
  <c r="S99" i="189"/>
  <c r="S187" i="189" s="1"/>
  <c r="S58" i="191" s="1"/>
  <c r="S163" i="191" s="1"/>
  <c r="S98" i="186"/>
  <c r="S110" i="186" s="1"/>
  <c r="Y99" i="189"/>
  <c r="Y187" i="189" s="1"/>
  <c r="Y58" i="191" s="1"/>
  <c r="Y163" i="191" s="1"/>
  <c r="Y98" i="186"/>
  <c r="Y110" i="186" s="1"/>
  <c r="T88" i="189"/>
  <c r="T159" i="189" s="1"/>
  <c r="T29" i="191" s="1"/>
  <c r="T134" i="191" s="1"/>
  <c r="T76" i="186"/>
  <c r="T88" i="186" s="1"/>
  <c r="T73" i="186"/>
  <c r="T85" i="186" s="1"/>
  <c r="T85" i="189"/>
  <c r="T156" i="189" s="1"/>
  <c r="T26" i="191" s="1"/>
  <c r="T131" i="191" s="1"/>
  <c r="U85" i="189"/>
  <c r="U156" i="189" s="1"/>
  <c r="U26" i="191" s="1"/>
  <c r="U131" i="191" s="1"/>
  <c r="U73" i="186"/>
  <c r="U85" i="186" s="1"/>
  <c r="U90" i="189"/>
  <c r="U161" i="189" s="1"/>
  <c r="U31" i="191" s="1"/>
  <c r="U136" i="191" s="1"/>
  <c r="U78" i="186"/>
  <c r="U90" i="186" s="1"/>
  <c r="T112" i="189"/>
  <c r="T217" i="189" s="1"/>
  <c r="T89" i="191" s="1"/>
  <c r="T194" i="191" s="1"/>
  <c r="T122" i="186"/>
  <c r="T134" i="186" s="1"/>
  <c r="O99" i="189"/>
  <c r="O187" i="189" s="1"/>
  <c r="O58" i="191" s="1"/>
  <c r="O163" i="191" s="1"/>
  <c r="O98" i="186"/>
  <c r="O110" i="186" s="1"/>
  <c r="W100" i="186"/>
  <c r="W112" i="186" s="1"/>
  <c r="W101" i="189"/>
  <c r="W189" i="189" s="1"/>
  <c r="W60" i="191" s="1"/>
  <c r="W165" i="191" s="1"/>
  <c r="R105" i="189"/>
  <c r="R210" i="189" s="1"/>
  <c r="R82" i="191" s="1"/>
  <c r="R187" i="191" s="1"/>
  <c r="R116" i="186"/>
  <c r="R128" i="186" s="1"/>
  <c r="R106" i="189"/>
  <c r="R211" i="189" s="1"/>
  <c r="R83" i="191" s="1"/>
  <c r="R188" i="191" s="1"/>
  <c r="W72" i="186"/>
  <c r="W84" i="186" s="1"/>
  <c r="W144" i="186" s="1"/>
  <c r="W170" i="186" s="1"/>
  <c r="W271" i="186" s="1"/>
  <c r="W84" i="189"/>
  <c r="W155" i="189" s="1"/>
  <c r="W25" i="191" s="1"/>
  <c r="W130" i="191" s="1"/>
  <c r="W88" i="189"/>
  <c r="W159" i="189" s="1"/>
  <c r="W29" i="191" s="1"/>
  <c r="W134" i="191" s="1"/>
  <c r="W76" i="186"/>
  <c r="W88" i="186" s="1"/>
  <c r="W148" i="186" s="1"/>
  <c r="W174" i="186" s="1"/>
  <c r="W275" i="186" s="1"/>
  <c r="L111" i="189"/>
  <c r="L216" i="189" s="1"/>
  <c r="L88" i="191" s="1"/>
  <c r="L193" i="191" s="1"/>
  <c r="L121" i="186"/>
  <c r="L133" i="186" s="1"/>
  <c r="N123" i="186"/>
  <c r="N135" i="186" s="1"/>
  <c r="N113" i="189"/>
  <c r="N218" i="189" s="1"/>
  <c r="N90" i="191" s="1"/>
  <c r="N195" i="191" s="1"/>
  <c r="J90" i="189"/>
  <c r="J161" i="189" s="1"/>
  <c r="J31" i="191" s="1"/>
  <c r="J136" i="191" s="1"/>
  <c r="J78" i="186"/>
  <c r="J90" i="186" s="1"/>
  <c r="J150" i="186" s="1"/>
  <c r="J86" i="189"/>
  <c r="J157" i="189" s="1"/>
  <c r="J27" i="191" s="1"/>
  <c r="J132" i="191" s="1"/>
  <c r="J74" i="186"/>
  <c r="J86" i="186" s="1"/>
  <c r="J146" i="186" s="1"/>
  <c r="L71" i="186"/>
  <c r="L83" i="186" s="1"/>
  <c r="L143" i="186" s="1"/>
  <c r="L169" i="186" s="1"/>
  <c r="L270" i="186" s="1"/>
  <c r="L83" i="189"/>
  <c r="L154" i="189" s="1"/>
  <c r="L24" i="191" s="1"/>
  <c r="L129" i="191" s="1"/>
  <c r="L70" i="186"/>
  <c r="L82" i="186" s="1"/>
  <c r="L142" i="186" s="1"/>
  <c r="L168" i="186" s="1"/>
  <c r="L269" i="186" s="1"/>
  <c r="L81" i="189"/>
  <c r="L152" i="189" s="1"/>
  <c r="L82" i="189"/>
  <c r="L153" i="189" s="1"/>
  <c r="L23" i="191" s="1"/>
  <c r="L128" i="191" s="1"/>
  <c r="R72" i="186"/>
  <c r="R84" i="186" s="1"/>
  <c r="R84" i="189"/>
  <c r="R155" i="189" s="1"/>
  <c r="R25" i="191" s="1"/>
  <c r="R130" i="191" s="1"/>
  <c r="R73" i="186"/>
  <c r="R85" i="186" s="1"/>
  <c r="R145" i="186" s="1"/>
  <c r="R171" i="186" s="1"/>
  <c r="R272" i="186" s="1"/>
  <c r="R85" i="189"/>
  <c r="R156" i="189" s="1"/>
  <c r="R26" i="191" s="1"/>
  <c r="R131" i="191" s="1"/>
  <c r="R87" i="189"/>
  <c r="R158" i="189" s="1"/>
  <c r="R28" i="191" s="1"/>
  <c r="R133" i="191" s="1"/>
  <c r="R75" i="186"/>
  <c r="R87" i="186" s="1"/>
  <c r="A4" i="180"/>
  <c r="J40" i="55"/>
  <c r="J39" i="55"/>
  <c r="X97" i="189"/>
  <c r="X185" i="189" s="1"/>
  <c r="X56" i="191" s="1"/>
  <c r="X161" i="191" s="1"/>
  <c r="X96" i="186"/>
  <c r="X108" i="186" s="1"/>
  <c r="S124" i="186"/>
  <c r="S136" i="186" s="1"/>
  <c r="S114" i="189"/>
  <c r="S219" i="189" s="1"/>
  <c r="S91" i="191" s="1"/>
  <c r="S196" i="191" s="1"/>
  <c r="X122" i="186"/>
  <c r="X134" i="186" s="1"/>
  <c r="X112" i="189"/>
  <c r="X217" i="189" s="1"/>
  <c r="X89" i="191" s="1"/>
  <c r="X194" i="191" s="1"/>
  <c r="O76" i="186"/>
  <c r="O88" i="186" s="1"/>
  <c r="O88" i="189"/>
  <c r="O159" i="189" s="1"/>
  <c r="O29" i="191" s="1"/>
  <c r="O134" i="191" s="1"/>
  <c r="O85" i="189"/>
  <c r="O156" i="189" s="1"/>
  <c r="O26" i="191" s="1"/>
  <c r="O131" i="191" s="1"/>
  <c r="O73" i="186"/>
  <c r="O85" i="186" s="1"/>
  <c r="X95" i="189"/>
  <c r="X183" i="189" s="1"/>
  <c r="X54" i="191" s="1"/>
  <c r="X159" i="191" s="1"/>
  <c r="X94" i="186"/>
  <c r="X106" i="186" s="1"/>
  <c r="X123" i="186"/>
  <c r="X135" i="186" s="1"/>
  <c r="X113" i="189"/>
  <c r="X218" i="189" s="1"/>
  <c r="X90" i="191" s="1"/>
  <c r="X195" i="191" s="1"/>
  <c r="X82" i="189"/>
  <c r="X153" i="189" s="1"/>
  <c r="X23" i="191" s="1"/>
  <c r="X128" i="191" s="1"/>
  <c r="X70" i="186"/>
  <c r="X82" i="186" s="1"/>
  <c r="X81" i="189"/>
  <c r="X152" i="189" s="1"/>
  <c r="X74" i="186"/>
  <c r="X86" i="186" s="1"/>
  <c r="X86" i="189"/>
  <c r="X157" i="189" s="1"/>
  <c r="X27" i="191" s="1"/>
  <c r="X132" i="191" s="1"/>
  <c r="X98" i="189"/>
  <c r="X186" i="189" s="1"/>
  <c r="X57" i="191" s="1"/>
  <c r="X162" i="191" s="1"/>
  <c r="X97" i="186"/>
  <c r="X109" i="186" s="1"/>
  <c r="V76" i="186"/>
  <c r="V88" i="186" s="1"/>
  <c r="V148" i="186" s="1"/>
  <c r="V174" i="186" s="1"/>
  <c r="V275" i="186" s="1"/>
  <c r="V88" i="189"/>
  <c r="V159" i="189" s="1"/>
  <c r="V29" i="191" s="1"/>
  <c r="V134" i="191" s="1"/>
  <c r="V85" i="189"/>
  <c r="V156" i="189" s="1"/>
  <c r="V26" i="191" s="1"/>
  <c r="V131" i="191" s="1"/>
  <c r="V73" i="186"/>
  <c r="V85" i="186" s="1"/>
  <c r="V145" i="186" s="1"/>
  <c r="V171" i="186" s="1"/>
  <c r="V272" i="186" s="1"/>
  <c r="X116" i="186"/>
  <c r="X128" i="186" s="1"/>
  <c r="X105" i="189"/>
  <c r="X210" i="189" s="1"/>
  <c r="X82" i="191" s="1"/>
  <c r="X187" i="191" s="1"/>
  <c r="X106" i="189"/>
  <c r="X211" i="189" s="1"/>
  <c r="X83" i="191" s="1"/>
  <c r="X188" i="191" s="1"/>
  <c r="S85" i="189"/>
  <c r="S156" i="189" s="1"/>
  <c r="S26" i="191" s="1"/>
  <c r="S131" i="191" s="1"/>
  <c r="S73" i="186"/>
  <c r="S85" i="186" s="1"/>
  <c r="S81" i="189"/>
  <c r="S152" i="189" s="1"/>
  <c r="S70" i="186"/>
  <c r="S82" i="186" s="1"/>
  <c r="S82" i="189"/>
  <c r="S153" i="189" s="1"/>
  <c r="S23" i="191" s="1"/>
  <c r="S128" i="191" s="1"/>
  <c r="S87" i="189"/>
  <c r="S158" i="189" s="1"/>
  <c r="S28" i="191" s="1"/>
  <c r="S133" i="191" s="1"/>
  <c r="S75" i="186"/>
  <c r="S87" i="186" s="1"/>
  <c r="M97" i="186"/>
  <c r="M109" i="186" s="1"/>
  <c r="M98" i="189"/>
  <c r="M186" i="189" s="1"/>
  <c r="M57" i="191" s="1"/>
  <c r="M162" i="191" s="1"/>
  <c r="L97" i="186"/>
  <c r="L109" i="186" s="1"/>
  <c r="L98" i="189"/>
  <c r="L186" i="189" s="1"/>
  <c r="L57" i="191" s="1"/>
  <c r="L162" i="191" s="1"/>
  <c r="N95" i="186"/>
  <c r="N107" i="186" s="1"/>
  <c r="N96" i="189"/>
  <c r="N184" i="189" s="1"/>
  <c r="N55" i="191" s="1"/>
  <c r="N160" i="191" s="1"/>
  <c r="V107" i="189"/>
  <c r="V212" i="189" s="1"/>
  <c r="V84" i="191" s="1"/>
  <c r="V189" i="191" s="1"/>
  <c r="V117" i="186"/>
  <c r="V129" i="186" s="1"/>
  <c r="N71" i="186"/>
  <c r="N83" i="186" s="1"/>
  <c r="N83" i="189"/>
  <c r="N154" i="189" s="1"/>
  <c r="N24" i="191" s="1"/>
  <c r="N129" i="191" s="1"/>
  <c r="N84" i="189"/>
  <c r="N155" i="189" s="1"/>
  <c r="N25" i="191" s="1"/>
  <c r="N130" i="191" s="1"/>
  <c r="N72" i="186"/>
  <c r="N84" i="186" s="1"/>
  <c r="Y78" i="186"/>
  <c r="Y90" i="186" s="1"/>
  <c r="Y90" i="189"/>
  <c r="Y161" i="189" s="1"/>
  <c r="Y31" i="191" s="1"/>
  <c r="Y136" i="191" s="1"/>
  <c r="Y74" i="186"/>
  <c r="Y86" i="186" s="1"/>
  <c r="Y86" i="189"/>
  <c r="Y157" i="189" s="1"/>
  <c r="Y27" i="191" s="1"/>
  <c r="Y132" i="191" s="1"/>
  <c r="S96" i="186"/>
  <c r="S108" i="186" s="1"/>
  <c r="S97" i="189"/>
  <c r="S185" i="189" s="1"/>
  <c r="S56" i="191" s="1"/>
  <c r="S161" i="191" s="1"/>
  <c r="M89" i="189"/>
  <c r="M160" i="189" s="1"/>
  <c r="M30" i="191" s="1"/>
  <c r="M135" i="191" s="1"/>
  <c r="M77" i="186"/>
  <c r="M89" i="186" s="1"/>
  <c r="M84" i="189"/>
  <c r="M155" i="189" s="1"/>
  <c r="M25" i="191" s="1"/>
  <c r="M130" i="191" s="1"/>
  <c r="M72" i="186"/>
  <c r="M84" i="186" s="1"/>
  <c r="M144" i="186" s="1"/>
  <c r="M170" i="186" s="1"/>
  <c r="M271" i="186" s="1"/>
  <c r="O99" i="186"/>
  <c r="O111" i="186" s="1"/>
  <c r="O100" i="189"/>
  <c r="O188" i="189" s="1"/>
  <c r="O59" i="191" s="1"/>
  <c r="O164" i="191" s="1"/>
  <c r="U124" i="186"/>
  <c r="U136" i="186" s="1"/>
  <c r="U114" i="189"/>
  <c r="U219" i="189" s="1"/>
  <c r="U91" i="191" s="1"/>
  <c r="U196" i="191" s="1"/>
  <c r="K90" i="189"/>
  <c r="K161" i="189" s="1"/>
  <c r="K31" i="191" s="1"/>
  <c r="K136" i="191" s="1"/>
  <c r="K78" i="186"/>
  <c r="K90" i="186" s="1"/>
  <c r="K150" i="186" s="1"/>
  <c r="T114" i="189"/>
  <c r="T219" i="189" s="1"/>
  <c r="T91" i="191" s="1"/>
  <c r="T196" i="191" s="1"/>
  <c r="T124" i="186"/>
  <c r="T136" i="186" s="1"/>
  <c r="O96" i="189"/>
  <c r="O184" i="189" s="1"/>
  <c r="O55" i="191" s="1"/>
  <c r="O160" i="191" s="1"/>
  <c r="O95" i="186"/>
  <c r="O107" i="186" s="1"/>
  <c r="J105" i="189"/>
  <c r="J210" i="189" s="1"/>
  <c r="J82" i="191" s="1"/>
  <c r="J187" i="191" s="1"/>
  <c r="J116" i="186"/>
  <c r="J128" i="186" s="1"/>
  <c r="J106" i="189"/>
  <c r="J211" i="189" s="1"/>
  <c r="J83" i="191" s="1"/>
  <c r="J188" i="191" s="1"/>
  <c r="R118" i="186"/>
  <c r="R130" i="186" s="1"/>
  <c r="R108" i="189"/>
  <c r="R213" i="189" s="1"/>
  <c r="R85" i="191" s="1"/>
  <c r="R190" i="191" s="1"/>
  <c r="P82" i="189"/>
  <c r="P153" i="189" s="1"/>
  <c r="P23" i="191" s="1"/>
  <c r="P128" i="191" s="1"/>
  <c r="P81" i="189"/>
  <c r="P152" i="189" s="1"/>
  <c r="P70" i="186"/>
  <c r="P82" i="186" s="1"/>
  <c r="P142" i="186" s="1"/>
  <c r="P168" i="186" s="1"/>
  <c r="P269" i="186" s="1"/>
  <c r="T89" i="189"/>
  <c r="T160" i="189" s="1"/>
  <c r="T30" i="191" s="1"/>
  <c r="T135" i="191" s="1"/>
  <c r="T77" i="186"/>
  <c r="T89" i="186" s="1"/>
  <c r="T149" i="186" s="1"/>
  <c r="T175" i="186" s="1"/>
  <c r="T276" i="186" s="1"/>
  <c r="T78" i="186"/>
  <c r="T90" i="186" s="1"/>
  <c r="T90" i="189"/>
  <c r="T161" i="189" s="1"/>
  <c r="T31" i="191" s="1"/>
  <c r="T136" i="191" s="1"/>
  <c r="W116" i="186"/>
  <c r="W128" i="186" s="1"/>
  <c r="W105" i="189"/>
  <c r="W210" i="189" s="1"/>
  <c r="W82" i="191" s="1"/>
  <c r="W187" i="191" s="1"/>
  <c r="W106" i="189"/>
  <c r="W211" i="189" s="1"/>
  <c r="W83" i="191" s="1"/>
  <c r="W188" i="191" s="1"/>
  <c r="J85" i="189"/>
  <c r="J156" i="189" s="1"/>
  <c r="J26" i="191" s="1"/>
  <c r="J131" i="191" s="1"/>
  <c r="J73" i="186"/>
  <c r="J85" i="186" s="1"/>
  <c r="J145" i="186" s="1"/>
  <c r="L88" i="189"/>
  <c r="L159" i="189" s="1"/>
  <c r="L29" i="191" s="1"/>
  <c r="L134" i="191" s="1"/>
  <c r="L76" i="186"/>
  <c r="L88" i="186" s="1"/>
  <c r="L148" i="186" s="1"/>
  <c r="L174" i="186" s="1"/>
  <c r="L275" i="186" s="1"/>
  <c r="L75" i="186"/>
  <c r="L87" i="186" s="1"/>
  <c r="L147" i="186" s="1"/>
  <c r="L173" i="186" s="1"/>
  <c r="L274" i="186" s="1"/>
  <c r="L87" i="189"/>
  <c r="L158" i="189" s="1"/>
  <c r="L28" i="191" s="1"/>
  <c r="L133" i="191" s="1"/>
  <c r="R74" i="186"/>
  <c r="R86" i="186" s="1"/>
  <c r="R146" i="186" s="1"/>
  <c r="R172" i="186" s="1"/>
  <c r="R273" i="186" s="1"/>
  <c r="R86" i="189"/>
  <c r="R157" i="189" s="1"/>
  <c r="R27" i="191" s="1"/>
  <c r="R132" i="191" s="1"/>
  <c r="S108" i="189"/>
  <c r="S213" i="189" s="1"/>
  <c r="S85" i="191" s="1"/>
  <c r="S190" i="191" s="1"/>
  <c r="S118" i="186"/>
  <c r="S130" i="186" s="1"/>
  <c r="O72" i="186"/>
  <c r="O84" i="186" s="1"/>
  <c r="O84" i="189"/>
  <c r="O155" i="189" s="1"/>
  <c r="O25" i="191" s="1"/>
  <c r="O130" i="191" s="1"/>
  <c r="X90" i="189"/>
  <c r="X161" i="189" s="1"/>
  <c r="X31" i="191" s="1"/>
  <c r="X136" i="191" s="1"/>
  <c r="X78" i="186"/>
  <c r="X90" i="186" s="1"/>
  <c r="X85" i="189"/>
  <c r="X156" i="189" s="1"/>
  <c r="X26" i="191" s="1"/>
  <c r="X131" i="191" s="1"/>
  <c r="X73" i="186"/>
  <c r="X85" i="186" s="1"/>
  <c r="Y124" i="186"/>
  <c r="Y136" i="186" s="1"/>
  <c r="Y114" i="189"/>
  <c r="Y219" i="189" s="1"/>
  <c r="Y91" i="191" s="1"/>
  <c r="Y196" i="191" s="1"/>
  <c r="M124" i="186"/>
  <c r="M136" i="186" s="1"/>
  <c r="M114" i="189"/>
  <c r="M219" i="189" s="1"/>
  <c r="M91" i="191" s="1"/>
  <c r="M196" i="191" s="1"/>
  <c r="X107" i="189"/>
  <c r="X212" i="189" s="1"/>
  <c r="X84" i="191" s="1"/>
  <c r="X189" i="191" s="1"/>
  <c r="X117" i="186"/>
  <c r="X129" i="186" s="1"/>
  <c r="V70" i="186"/>
  <c r="V82" i="186" s="1"/>
  <c r="V81" i="189"/>
  <c r="V152" i="189" s="1"/>
  <c r="V82" i="189"/>
  <c r="V153" i="189" s="1"/>
  <c r="V23" i="191" s="1"/>
  <c r="V128" i="191" s="1"/>
  <c r="V71" i="186"/>
  <c r="V83" i="186" s="1"/>
  <c r="V143" i="186" s="1"/>
  <c r="V169" i="186" s="1"/>
  <c r="V270" i="186" s="1"/>
  <c r="V83" i="189"/>
  <c r="V154" i="189" s="1"/>
  <c r="V24" i="191" s="1"/>
  <c r="V129" i="191" s="1"/>
  <c r="N114" i="189"/>
  <c r="N219" i="189" s="1"/>
  <c r="N91" i="191" s="1"/>
  <c r="N196" i="191" s="1"/>
  <c r="N124" i="186"/>
  <c r="N136" i="186" s="1"/>
  <c r="S83" i="189"/>
  <c r="S154" i="189" s="1"/>
  <c r="S24" i="191" s="1"/>
  <c r="S129" i="191" s="1"/>
  <c r="S71" i="186"/>
  <c r="S83" i="186" s="1"/>
  <c r="S88" i="189"/>
  <c r="S159" i="189" s="1"/>
  <c r="S29" i="191" s="1"/>
  <c r="S134" i="191" s="1"/>
  <c r="S76" i="186"/>
  <c r="S88" i="186" s="1"/>
  <c r="Y100" i="186"/>
  <c r="Y112" i="186" s="1"/>
  <c r="Y101" i="189"/>
  <c r="Y189" i="189" s="1"/>
  <c r="Y60" i="191" s="1"/>
  <c r="Y165" i="191" s="1"/>
  <c r="P113" i="189"/>
  <c r="P218" i="189" s="1"/>
  <c r="P90" i="191" s="1"/>
  <c r="P195" i="191" s="1"/>
  <c r="P123" i="186"/>
  <c r="P135" i="186" s="1"/>
  <c r="N121" i="186"/>
  <c r="N133" i="186" s="1"/>
  <c r="N111" i="189"/>
  <c r="N216" i="189" s="1"/>
  <c r="N88" i="191" s="1"/>
  <c r="N193" i="191" s="1"/>
  <c r="N90" i="189"/>
  <c r="N161" i="189" s="1"/>
  <c r="N31" i="191" s="1"/>
  <c r="N136" i="191" s="1"/>
  <c r="N78" i="186"/>
  <c r="N90" i="186" s="1"/>
  <c r="V105" i="189"/>
  <c r="V210" i="189" s="1"/>
  <c r="V82" i="191" s="1"/>
  <c r="V187" i="191" s="1"/>
  <c r="V116" i="186"/>
  <c r="V128" i="186" s="1"/>
  <c r="V106" i="189"/>
  <c r="V211" i="189" s="1"/>
  <c r="V83" i="191" s="1"/>
  <c r="V188" i="191" s="1"/>
  <c r="K84" i="189"/>
  <c r="K155" i="189" s="1"/>
  <c r="K25" i="191" s="1"/>
  <c r="K130" i="191" s="1"/>
  <c r="K72" i="186"/>
  <c r="K84" i="186" s="1"/>
  <c r="K144" i="186" s="1"/>
  <c r="K170" i="186" s="1"/>
  <c r="K271" i="186" s="1"/>
  <c r="K77" i="186"/>
  <c r="K89" i="186" s="1"/>
  <c r="K149" i="186" s="1"/>
  <c r="K175" i="186" s="1"/>
  <c r="K276" i="186" s="1"/>
  <c r="K89" i="189"/>
  <c r="K160" i="189" s="1"/>
  <c r="K30" i="191" s="1"/>
  <c r="K135" i="191" s="1"/>
  <c r="R100" i="186"/>
  <c r="R112" i="186" s="1"/>
  <c r="R101" i="189"/>
  <c r="R189" i="189" s="1"/>
  <c r="R60" i="191" s="1"/>
  <c r="R165" i="191" s="1"/>
  <c r="O111" i="189"/>
  <c r="O216" i="189" s="1"/>
  <c r="O88" i="191" s="1"/>
  <c r="O193" i="191" s="1"/>
  <c r="O121" i="186"/>
  <c r="O133" i="186" s="1"/>
  <c r="X99" i="186"/>
  <c r="X111" i="186" s="1"/>
  <c r="X100" i="189"/>
  <c r="X188" i="189" s="1"/>
  <c r="X59" i="191" s="1"/>
  <c r="X164" i="191" s="1"/>
  <c r="V102" i="189"/>
  <c r="V190" i="189" s="1"/>
  <c r="V61" i="191" s="1"/>
  <c r="V166" i="191" s="1"/>
  <c r="V101" i="186"/>
  <c r="V113" i="186" s="1"/>
  <c r="P85" i="189"/>
  <c r="P156" i="189" s="1"/>
  <c r="P26" i="191" s="1"/>
  <c r="P131" i="191" s="1"/>
  <c r="P73" i="186"/>
  <c r="P85" i="186" s="1"/>
  <c r="P145" i="186" s="1"/>
  <c r="P171" i="186" s="1"/>
  <c r="P272" i="186" s="1"/>
  <c r="P74" i="186"/>
  <c r="P86" i="186" s="1"/>
  <c r="P146" i="186" s="1"/>
  <c r="P172" i="186" s="1"/>
  <c r="P273" i="186" s="1"/>
  <c r="P86" i="189"/>
  <c r="P157" i="189" s="1"/>
  <c r="P27" i="191" s="1"/>
  <c r="P132" i="191" s="1"/>
  <c r="M107" i="189"/>
  <c r="M212" i="189" s="1"/>
  <c r="M84" i="191" s="1"/>
  <c r="M189" i="191" s="1"/>
  <c r="M117" i="186"/>
  <c r="M129" i="186" s="1"/>
  <c r="N100" i="189"/>
  <c r="N188" i="189" s="1"/>
  <c r="N59" i="191" s="1"/>
  <c r="N164" i="191" s="1"/>
  <c r="N99" i="186"/>
  <c r="N111" i="186" s="1"/>
  <c r="V120" i="186"/>
  <c r="V132" i="186" s="1"/>
  <c r="V110" i="189"/>
  <c r="V215" i="189" s="1"/>
  <c r="V87" i="191" s="1"/>
  <c r="V192" i="191" s="1"/>
  <c r="M98" i="186"/>
  <c r="M110" i="186" s="1"/>
  <c r="M99" i="189"/>
  <c r="M187" i="189" s="1"/>
  <c r="M58" i="191" s="1"/>
  <c r="M163" i="191" s="1"/>
  <c r="V95" i="186"/>
  <c r="V107" i="186" s="1"/>
  <c r="V96" i="189"/>
  <c r="V184" i="189" s="1"/>
  <c r="V55" i="191" s="1"/>
  <c r="V160" i="191" s="1"/>
  <c r="N98" i="189"/>
  <c r="N186" i="189" s="1"/>
  <c r="N57" i="191" s="1"/>
  <c r="N162" i="191" s="1"/>
  <c r="N97" i="186"/>
  <c r="N109" i="186" s="1"/>
  <c r="Y109" i="189"/>
  <c r="Y214" i="189" s="1"/>
  <c r="Y86" i="191" s="1"/>
  <c r="Y191" i="191" s="1"/>
  <c r="Y119" i="186"/>
  <c r="Y131" i="186" s="1"/>
  <c r="T82" i="189"/>
  <c r="T153" i="189" s="1"/>
  <c r="T23" i="191" s="1"/>
  <c r="T128" i="191" s="1"/>
  <c r="T81" i="189"/>
  <c r="T152" i="189" s="1"/>
  <c r="T70" i="186"/>
  <c r="T82" i="186" s="1"/>
  <c r="T142" i="186" s="1"/>
  <c r="T168" i="186" s="1"/>
  <c r="T72" i="186"/>
  <c r="T84" i="186" s="1"/>
  <c r="T144" i="186" s="1"/>
  <c r="T170" i="186" s="1"/>
  <c r="T271" i="186" s="1"/>
  <c r="T84" i="189"/>
  <c r="T155" i="189" s="1"/>
  <c r="T25" i="191" s="1"/>
  <c r="T130" i="191" s="1"/>
  <c r="J100" i="186"/>
  <c r="J112" i="186" s="1"/>
  <c r="J101" i="189"/>
  <c r="J189" i="189" s="1"/>
  <c r="J60" i="191" s="1"/>
  <c r="J165" i="191" s="1"/>
  <c r="U86" i="189"/>
  <c r="U157" i="189" s="1"/>
  <c r="U27" i="191" s="1"/>
  <c r="U132" i="191" s="1"/>
  <c r="U74" i="186"/>
  <c r="U86" i="186" s="1"/>
  <c r="U146" i="186" s="1"/>
  <c r="U172" i="186" s="1"/>
  <c r="U273" i="186" s="1"/>
  <c r="U72" i="186"/>
  <c r="U84" i="186" s="1"/>
  <c r="U144" i="186" s="1"/>
  <c r="U170" i="186" s="1"/>
  <c r="U271" i="186" s="1"/>
  <c r="U84" i="189"/>
  <c r="U155" i="189" s="1"/>
  <c r="U25" i="191" s="1"/>
  <c r="U130" i="191" s="1"/>
  <c r="M112" i="189"/>
  <c r="M217" i="189" s="1"/>
  <c r="M89" i="191" s="1"/>
  <c r="M194" i="191" s="1"/>
  <c r="M122" i="186"/>
  <c r="M134" i="186" s="1"/>
  <c r="W85" i="189"/>
  <c r="W156" i="189" s="1"/>
  <c r="W26" i="191" s="1"/>
  <c r="W131" i="191" s="1"/>
  <c r="W73" i="186"/>
  <c r="W85" i="186" s="1"/>
  <c r="W145" i="186" s="1"/>
  <c r="W171" i="186" s="1"/>
  <c r="W272" i="186" s="1"/>
  <c r="W78" i="186"/>
  <c r="W90" i="186" s="1"/>
  <c r="W150" i="186" s="1"/>
  <c r="W90" i="189"/>
  <c r="W161" i="189" s="1"/>
  <c r="W31" i="191" s="1"/>
  <c r="W136" i="191" s="1"/>
  <c r="W87" i="189"/>
  <c r="W158" i="189" s="1"/>
  <c r="W28" i="191" s="1"/>
  <c r="W133" i="191" s="1"/>
  <c r="W75" i="186"/>
  <c r="W87" i="186" s="1"/>
  <c r="W147" i="186" s="1"/>
  <c r="W173" i="186" s="1"/>
  <c r="W274" i="186" s="1"/>
  <c r="S111" i="189"/>
  <c r="S216" i="189" s="1"/>
  <c r="S88" i="191" s="1"/>
  <c r="S193" i="191" s="1"/>
  <c r="S121" i="186"/>
  <c r="S133" i="186" s="1"/>
  <c r="J70" i="186"/>
  <c r="J82" i="189"/>
  <c r="J153" i="189" s="1"/>
  <c r="J23" i="191" s="1"/>
  <c r="J128" i="191" s="1"/>
  <c r="J81" i="189"/>
  <c r="J152" i="189" s="1"/>
  <c r="J76" i="186"/>
  <c r="J88" i="186" s="1"/>
  <c r="J148" i="186" s="1"/>
  <c r="J88" i="189"/>
  <c r="J159" i="189" s="1"/>
  <c r="J29" i="191" s="1"/>
  <c r="J134" i="191" s="1"/>
  <c r="L90" i="189"/>
  <c r="L161" i="189" s="1"/>
  <c r="L31" i="191" s="1"/>
  <c r="L136" i="191" s="1"/>
  <c r="L78" i="186"/>
  <c r="L90" i="186" s="1"/>
  <c r="L150" i="186" s="1"/>
  <c r="L85" i="189"/>
  <c r="L156" i="189" s="1"/>
  <c r="L26" i="191" s="1"/>
  <c r="L131" i="191" s="1"/>
  <c r="L73" i="186"/>
  <c r="L85" i="186" s="1"/>
  <c r="L145" i="186" s="1"/>
  <c r="L171" i="186" s="1"/>
  <c r="L272" i="186" s="1"/>
  <c r="R83" i="189"/>
  <c r="R154" i="189" s="1"/>
  <c r="R24" i="191" s="1"/>
  <c r="R129" i="191" s="1"/>
  <c r="R71" i="186"/>
  <c r="R83" i="186" s="1"/>
  <c r="R143" i="186" s="1"/>
  <c r="R169" i="186" s="1"/>
  <c r="R270" i="186" s="1"/>
  <c r="R89" i="189"/>
  <c r="R160" i="189" s="1"/>
  <c r="R30" i="191" s="1"/>
  <c r="R135" i="191" s="1"/>
  <c r="R77" i="186"/>
  <c r="R89" i="186" s="1"/>
  <c r="R149" i="186" s="1"/>
  <c r="R175" i="186" s="1"/>
  <c r="R276" i="186" s="1"/>
  <c r="S95" i="186"/>
  <c r="S107" i="186" s="1"/>
  <c r="S96" i="189"/>
  <c r="S184" i="189" s="1"/>
  <c r="S55" i="191" s="1"/>
  <c r="S160" i="191" s="1"/>
  <c r="M119" i="186"/>
  <c r="M131" i="186" s="1"/>
  <c r="M109" i="189"/>
  <c r="M214" i="189" s="1"/>
  <c r="M86" i="191" s="1"/>
  <c r="M191" i="191" s="1"/>
  <c r="O101" i="189"/>
  <c r="O189" i="189" s="1"/>
  <c r="O60" i="191" s="1"/>
  <c r="O165" i="191" s="1"/>
  <c r="O100" i="186"/>
  <c r="O112" i="186" s="1"/>
  <c r="N120" i="186"/>
  <c r="N132" i="186" s="1"/>
  <c r="N110" i="189"/>
  <c r="N215" i="189" s="1"/>
  <c r="N87" i="191" s="1"/>
  <c r="N192" i="191" s="1"/>
  <c r="N99" i="189"/>
  <c r="N187" i="189" s="1"/>
  <c r="N58" i="191" s="1"/>
  <c r="N163" i="191" s="1"/>
  <c r="N98" i="186"/>
  <c r="N110" i="186" s="1"/>
  <c r="O77" i="186"/>
  <c r="O89" i="186" s="1"/>
  <c r="O89" i="189"/>
  <c r="O160" i="189" s="1"/>
  <c r="O30" i="191" s="1"/>
  <c r="O135" i="191" s="1"/>
  <c r="O81" i="189"/>
  <c r="O152" i="189" s="1"/>
  <c r="O70" i="186"/>
  <c r="O82" i="186" s="1"/>
  <c r="O82" i="189"/>
  <c r="O153" i="189" s="1"/>
  <c r="O23" i="191" s="1"/>
  <c r="O128" i="191" s="1"/>
  <c r="O87" i="189"/>
  <c r="O158" i="189" s="1"/>
  <c r="O28" i="191" s="1"/>
  <c r="O133" i="191" s="1"/>
  <c r="O75" i="186"/>
  <c r="O87" i="186" s="1"/>
  <c r="M120" i="186"/>
  <c r="M132" i="186" s="1"/>
  <c r="M110" i="189"/>
  <c r="M215" i="189" s="1"/>
  <c r="M87" i="191" s="1"/>
  <c r="M192" i="191" s="1"/>
  <c r="X101" i="189"/>
  <c r="X189" i="189" s="1"/>
  <c r="X60" i="191" s="1"/>
  <c r="X165" i="191" s="1"/>
  <c r="X100" i="186"/>
  <c r="X112" i="186" s="1"/>
  <c r="N109" i="189"/>
  <c r="N214" i="189" s="1"/>
  <c r="N86" i="191" s="1"/>
  <c r="N191" i="191" s="1"/>
  <c r="N119" i="186"/>
  <c r="N131" i="186" s="1"/>
  <c r="X83" i="189"/>
  <c r="X154" i="189" s="1"/>
  <c r="X24" i="191" s="1"/>
  <c r="X129" i="191" s="1"/>
  <c r="X71" i="186"/>
  <c r="X83" i="186" s="1"/>
  <c r="X143" i="186" s="1"/>
  <c r="X169" i="186" s="1"/>
  <c r="X270" i="186" s="1"/>
  <c r="X88" i="189"/>
  <c r="X159" i="189" s="1"/>
  <c r="X29" i="191" s="1"/>
  <c r="X134" i="191" s="1"/>
  <c r="X76" i="186"/>
  <c r="X88" i="186" s="1"/>
  <c r="V78" i="186"/>
  <c r="V90" i="186" s="1"/>
  <c r="V150" i="186" s="1"/>
  <c r="V90" i="189"/>
  <c r="V161" i="189" s="1"/>
  <c r="V31" i="191" s="1"/>
  <c r="V136" i="191" s="1"/>
  <c r="V89" i="189"/>
  <c r="V160" i="189" s="1"/>
  <c r="V30" i="191" s="1"/>
  <c r="V135" i="191" s="1"/>
  <c r="V77" i="186"/>
  <c r="V89" i="186" s="1"/>
  <c r="R124" i="186"/>
  <c r="R136" i="186" s="1"/>
  <c r="R114" i="189"/>
  <c r="R219" i="189" s="1"/>
  <c r="R91" i="191" s="1"/>
  <c r="R196" i="191" s="1"/>
  <c r="S86" i="189"/>
  <c r="S157" i="189" s="1"/>
  <c r="S27" i="191" s="1"/>
  <c r="S132" i="191" s="1"/>
  <c r="S74" i="186"/>
  <c r="S86" i="186" s="1"/>
  <c r="S78" i="186"/>
  <c r="S90" i="186" s="1"/>
  <c r="S90" i="189"/>
  <c r="S161" i="189" s="1"/>
  <c r="S31" i="191" s="1"/>
  <c r="S136" i="191" s="1"/>
  <c r="S102" i="189"/>
  <c r="S190" i="189" s="1"/>
  <c r="S61" i="191" s="1"/>
  <c r="S166" i="191" s="1"/>
  <c r="S101" i="186"/>
  <c r="S113" i="186" s="1"/>
  <c r="O119" i="186"/>
  <c r="O131" i="186" s="1"/>
  <c r="O109" i="189"/>
  <c r="O214" i="189" s="1"/>
  <c r="O86" i="191" s="1"/>
  <c r="O191" i="191" s="1"/>
  <c r="W123" i="186"/>
  <c r="W135" i="186" s="1"/>
  <c r="W113" i="189"/>
  <c r="W218" i="189" s="1"/>
  <c r="W90" i="191" s="1"/>
  <c r="W195" i="191" s="1"/>
  <c r="N74" i="186"/>
  <c r="N86" i="186" s="1"/>
  <c r="N86" i="189"/>
  <c r="N157" i="189" s="1"/>
  <c r="N27" i="191" s="1"/>
  <c r="N132" i="191" s="1"/>
  <c r="N81" i="189"/>
  <c r="N152" i="189" s="1"/>
  <c r="N82" i="189"/>
  <c r="N153" i="189" s="1"/>
  <c r="N23" i="191" s="1"/>
  <c r="N128" i="191" s="1"/>
  <c r="N70" i="186"/>
  <c r="N82" i="186" s="1"/>
  <c r="Y88" i="189"/>
  <c r="Y159" i="189" s="1"/>
  <c r="Y29" i="191" s="1"/>
  <c r="Y134" i="191" s="1"/>
  <c r="Y76" i="186"/>
  <c r="Y88" i="186" s="1"/>
  <c r="Y77" i="186"/>
  <c r="Y89" i="186" s="1"/>
  <c r="Y149" i="186" s="1"/>
  <c r="Y175" i="186" s="1"/>
  <c r="Y276" i="186" s="1"/>
  <c r="Y89" i="189"/>
  <c r="Y160" i="189" s="1"/>
  <c r="Y30" i="191" s="1"/>
  <c r="Y135" i="191" s="1"/>
  <c r="Y118" i="186"/>
  <c r="Y130" i="186" s="1"/>
  <c r="Y108" i="189"/>
  <c r="Y213" i="189" s="1"/>
  <c r="Y85" i="191" s="1"/>
  <c r="Y190" i="191" s="1"/>
  <c r="O120" i="186"/>
  <c r="O132" i="186" s="1"/>
  <c r="O110" i="189"/>
  <c r="O215" i="189" s="1"/>
  <c r="O87" i="191" s="1"/>
  <c r="O192" i="191" s="1"/>
  <c r="M73" i="186"/>
  <c r="M85" i="186" s="1"/>
  <c r="M85" i="189"/>
  <c r="M156" i="189" s="1"/>
  <c r="M26" i="191" s="1"/>
  <c r="M131" i="191" s="1"/>
  <c r="M71" i="186"/>
  <c r="M83" i="186" s="1"/>
  <c r="M143" i="186" s="1"/>
  <c r="M169" i="186" s="1"/>
  <c r="M270" i="186" s="1"/>
  <c r="M83" i="189"/>
  <c r="M154" i="189" s="1"/>
  <c r="M24" i="191" s="1"/>
  <c r="M129" i="191" s="1"/>
  <c r="Q234" i="185"/>
  <c r="Q230" i="185"/>
  <c r="Q237" i="185"/>
  <c r="Q236" i="185"/>
  <c r="Q233" i="185"/>
  <c r="Q232" i="185"/>
  <c r="Q231" i="185"/>
  <c r="Q235" i="185"/>
  <c r="Q229" i="185"/>
  <c r="P72" i="186"/>
  <c r="P84" i="186" s="1"/>
  <c r="P84" i="189"/>
  <c r="P155" i="189" s="1"/>
  <c r="P25" i="191" s="1"/>
  <c r="P130" i="191" s="1"/>
  <c r="M116" i="186"/>
  <c r="M128" i="186" s="1"/>
  <c r="M106" i="189"/>
  <c r="M211" i="189" s="1"/>
  <c r="M83" i="191" s="1"/>
  <c r="M188" i="191" s="1"/>
  <c r="M105" i="189"/>
  <c r="M210" i="189" s="1"/>
  <c r="M82" i="191" s="1"/>
  <c r="M187" i="191" s="1"/>
  <c r="O93" i="189"/>
  <c r="O181" i="189" s="1"/>
  <c r="O52" i="191" s="1"/>
  <c r="O157" i="191" s="1"/>
  <c r="O94" i="189"/>
  <c r="O182" i="189" s="1"/>
  <c r="O53" i="191" s="1"/>
  <c r="O158" i="191" s="1"/>
  <c r="O93" i="186"/>
  <c r="O105" i="186" s="1"/>
  <c r="Y99" i="186"/>
  <c r="Y111" i="186" s="1"/>
  <c r="Y100" i="189"/>
  <c r="Y188" i="189" s="1"/>
  <c r="Y59" i="191" s="1"/>
  <c r="Y164" i="191" s="1"/>
  <c r="U76" i="186"/>
  <c r="U88" i="186" s="1"/>
  <c r="U148" i="186" s="1"/>
  <c r="U174" i="186" s="1"/>
  <c r="U275" i="186" s="1"/>
  <c r="U88" i="189"/>
  <c r="U159" i="189" s="1"/>
  <c r="U29" i="191" s="1"/>
  <c r="U134" i="191" s="1"/>
  <c r="T96" i="186"/>
  <c r="T108" i="186" s="1"/>
  <c r="T97" i="189"/>
  <c r="T185" i="189" s="1"/>
  <c r="T56" i="191" s="1"/>
  <c r="T161" i="191" s="1"/>
  <c r="N107" i="189"/>
  <c r="N212" i="189" s="1"/>
  <c r="N84" i="191" s="1"/>
  <c r="N189" i="191" s="1"/>
  <c r="N117" i="186"/>
  <c r="N129" i="186" s="1"/>
  <c r="W71" i="186"/>
  <c r="W83" i="186" s="1"/>
  <c r="W83" i="189"/>
  <c r="W154" i="189" s="1"/>
  <c r="W24" i="191" s="1"/>
  <c r="W129" i="191" s="1"/>
  <c r="X96" i="189"/>
  <c r="X184" i="189" s="1"/>
  <c r="X55" i="191" s="1"/>
  <c r="X160" i="191" s="1"/>
  <c r="X95" i="186"/>
  <c r="X107" i="186" s="1"/>
  <c r="O97" i="186"/>
  <c r="O109" i="186" s="1"/>
  <c r="O98" i="189"/>
  <c r="O186" i="189" s="1"/>
  <c r="O57" i="191" s="1"/>
  <c r="O162" i="191" s="1"/>
  <c r="Y98" i="189"/>
  <c r="Y186" i="189" s="1"/>
  <c r="Y57" i="191" s="1"/>
  <c r="Y162" i="191" s="1"/>
  <c r="Y97" i="186"/>
  <c r="Y109" i="186" s="1"/>
  <c r="S97" i="186"/>
  <c r="S109" i="186" s="1"/>
  <c r="S98" i="189"/>
  <c r="S186" i="189" s="1"/>
  <c r="S57" i="191" s="1"/>
  <c r="S162" i="191" s="1"/>
  <c r="N101" i="186"/>
  <c r="N113" i="186" s="1"/>
  <c r="N102" i="189"/>
  <c r="N190" i="189" s="1"/>
  <c r="N61" i="191" s="1"/>
  <c r="N166" i="191" s="1"/>
  <c r="W107" i="189"/>
  <c r="W212" i="189" s="1"/>
  <c r="W84" i="191" s="1"/>
  <c r="W189" i="191" s="1"/>
  <c r="W117" i="186"/>
  <c r="W129" i="186" s="1"/>
  <c r="K85" i="189"/>
  <c r="K156" i="189" s="1"/>
  <c r="K26" i="191" s="1"/>
  <c r="K131" i="191" s="1"/>
  <c r="K73" i="186"/>
  <c r="K85" i="186" s="1"/>
  <c r="K145" i="186" s="1"/>
  <c r="K171" i="186" s="1"/>
  <c r="K272" i="186" s="1"/>
  <c r="K88" i="189"/>
  <c r="K159" i="189" s="1"/>
  <c r="K29" i="191" s="1"/>
  <c r="K134" i="191" s="1"/>
  <c r="K76" i="186"/>
  <c r="K88" i="186" s="1"/>
  <c r="K148" i="186" s="1"/>
  <c r="K174" i="186" s="1"/>
  <c r="K275" i="186" s="1"/>
  <c r="T98" i="189"/>
  <c r="T186" i="189" s="1"/>
  <c r="T57" i="191" s="1"/>
  <c r="T162" i="191" s="1"/>
  <c r="T97" i="186"/>
  <c r="T109" i="186" s="1"/>
  <c r="P95" i="189"/>
  <c r="P183" i="189" s="1"/>
  <c r="P54" i="191" s="1"/>
  <c r="P159" i="191" s="1"/>
  <c r="P94" i="186"/>
  <c r="P106" i="186" s="1"/>
  <c r="N116" i="186"/>
  <c r="N128" i="186" s="1"/>
  <c r="N106" i="189"/>
  <c r="N211" i="189" s="1"/>
  <c r="N83" i="191" s="1"/>
  <c r="N188" i="191" s="1"/>
  <c r="N105" i="189"/>
  <c r="N210" i="189" s="1"/>
  <c r="N82" i="191" s="1"/>
  <c r="N187" i="191" s="1"/>
  <c r="X124" i="186"/>
  <c r="X136" i="186" s="1"/>
  <c r="X114" i="189"/>
  <c r="X219" i="189" s="1"/>
  <c r="X91" i="191" s="1"/>
  <c r="X196" i="191" s="1"/>
  <c r="P88" i="189"/>
  <c r="P159" i="189" s="1"/>
  <c r="P29" i="191" s="1"/>
  <c r="P134" i="191" s="1"/>
  <c r="P76" i="186"/>
  <c r="P88" i="186" s="1"/>
  <c r="P148" i="186" s="1"/>
  <c r="P174" i="186" s="1"/>
  <c r="P275" i="186" s="1"/>
  <c r="P90" i="189"/>
  <c r="P161" i="189" s="1"/>
  <c r="P31" i="191" s="1"/>
  <c r="P136" i="191" s="1"/>
  <c r="P78" i="186"/>
  <c r="P90" i="186" s="1"/>
  <c r="P150" i="186" s="1"/>
  <c r="P75" i="186"/>
  <c r="P87" i="186" s="1"/>
  <c r="P147" i="186" s="1"/>
  <c r="P173" i="186" s="1"/>
  <c r="P274" i="186" s="1"/>
  <c r="P87" i="189"/>
  <c r="P158" i="189" s="1"/>
  <c r="P28" i="191" s="1"/>
  <c r="P133" i="191" s="1"/>
  <c r="L108" i="189"/>
  <c r="L213" i="189" s="1"/>
  <c r="L85" i="191" s="1"/>
  <c r="L190" i="191" s="1"/>
  <c r="L118" i="186"/>
  <c r="L130" i="186" s="1"/>
  <c r="X109" i="189"/>
  <c r="X214" i="189" s="1"/>
  <c r="X86" i="191" s="1"/>
  <c r="X191" i="191" s="1"/>
  <c r="X119" i="186"/>
  <c r="X131" i="186" s="1"/>
  <c r="S112" i="189"/>
  <c r="S217" i="189" s="1"/>
  <c r="S89" i="191" s="1"/>
  <c r="S194" i="191" s="1"/>
  <c r="S122" i="186"/>
  <c r="S134" i="186" s="1"/>
  <c r="T83" i="189"/>
  <c r="T154" i="189" s="1"/>
  <c r="T24" i="191" s="1"/>
  <c r="T129" i="191" s="1"/>
  <c r="T71" i="186"/>
  <c r="T83" i="186" s="1"/>
  <c r="T143" i="186" s="1"/>
  <c r="T169" i="186" s="1"/>
  <c r="T270" i="186" s="1"/>
  <c r="T74" i="186"/>
  <c r="T86" i="186" s="1"/>
  <c r="T86" i="189"/>
  <c r="T157" i="189" s="1"/>
  <c r="T27" i="191" s="1"/>
  <c r="T132" i="191" s="1"/>
  <c r="T87" i="189"/>
  <c r="T158" i="189" s="1"/>
  <c r="T28" i="191" s="1"/>
  <c r="T133" i="191" s="1"/>
  <c r="T75" i="186"/>
  <c r="T87" i="186" s="1"/>
  <c r="T147" i="186" s="1"/>
  <c r="T173" i="186" s="1"/>
  <c r="T274" i="186" s="1"/>
  <c r="X93" i="186"/>
  <c r="X105" i="186" s="1"/>
  <c r="X93" i="189"/>
  <c r="X181" i="189" s="1"/>
  <c r="X52" i="191" s="1"/>
  <c r="X157" i="191" s="1"/>
  <c r="X94" i="189"/>
  <c r="X182" i="189" s="1"/>
  <c r="X53" i="191" s="1"/>
  <c r="X158" i="191" s="1"/>
  <c r="V121" i="186"/>
  <c r="V133" i="186" s="1"/>
  <c r="V111" i="189"/>
  <c r="V216" i="189" s="1"/>
  <c r="V88" i="191" s="1"/>
  <c r="V193" i="191" s="1"/>
  <c r="U82" i="189"/>
  <c r="U153" i="189" s="1"/>
  <c r="U23" i="191" s="1"/>
  <c r="U128" i="191" s="1"/>
  <c r="U81" i="189"/>
  <c r="U152" i="189" s="1"/>
  <c r="U70" i="186"/>
  <c r="U82" i="186" s="1"/>
  <c r="U71" i="186"/>
  <c r="U83" i="186" s="1"/>
  <c r="U143" i="186" s="1"/>
  <c r="U169" i="186" s="1"/>
  <c r="U270" i="186" s="1"/>
  <c r="U83" i="189"/>
  <c r="U154" i="189" s="1"/>
  <c r="U24" i="191" s="1"/>
  <c r="U129" i="191" s="1"/>
  <c r="U75" i="186"/>
  <c r="U87" i="186" s="1"/>
  <c r="U147" i="186" s="1"/>
  <c r="U173" i="186" s="1"/>
  <c r="U274" i="186" s="1"/>
  <c r="U87" i="189"/>
  <c r="U158" i="189" s="1"/>
  <c r="U28" i="191" s="1"/>
  <c r="U133" i="191" s="1"/>
  <c r="L120" i="186"/>
  <c r="L132" i="186" s="1"/>
  <c r="L110" i="189"/>
  <c r="L215" i="189" s="1"/>
  <c r="L87" i="191" s="1"/>
  <c r="L192" i="191" s="1"/>
  <c r="V99" i="189"/>
  <c r="V187" i="189" s="1"/>
  <c r="V58" i="191" s="1"/>
  <c r="V163" i="191" s="1"/>
  <c r="V98" i="186"/>
  <c r="V110" i="186" s="1"/>
  <c r="W74" i="186"/>
  <c r="W86" i="186" s="1"/>
  <c r="W146" i="186" s="1"/>
  <c r="W172" i="186" s="1"/>
  <c r="W273" i="186" s="1"/>
  <c r="W86" i="189"/>
  <c r="W157" i="189" s="1"/>
  <c r="W27" i="191" s="1"/>
  <c r="W132" i="191" s="1"/>
  <c r="W89" i="189"/>
  <c r="W160" i="189" s="1"/>
  <c r="W30" i="191" s="1"/>
  <c r="W135" i="191" s="1"/>
  <c r="W77" i="186"/>
  <c r="W89" i="186" s="1"/>
  <c r="Y116" i="186"/>
  <c r="Y128" i="186" s="1"/>
  <c r="Y106" i="189"/>
  <c r="Y211" i="189" s="1"/>
  <c r="Y83" i="191" s="1"/>
  <c r="Y188" i="191" s="1"/>
  <c r="Y105" i="189"/>
  <c r="Y210" i="189" s="1"/>
  <c r="Y82" i="191" s="1"/>
  <c r="Y187" i="191" s="1"/>
  <c r="J84" i="189"/>
  <c r="J155" i="189" s="1"/>
  <c r="J25" i="191" s="1"/>
  <c r="J130" i="191" s="1"/>
  <c r="J72" i="186"/>
  <c r="J84" i="186" s="1"/>
  <c r="J144" i="186" s="1"/>
  <c r="J83" i="189"/>
  <c r="J154" i="189" s="1"/>
  <c r="J24" i="191" s="1"/>
  <c r="J129" i="191" s="1"/>
  <c r="J71" i="186"/>
  <c r="J83" i="186" s="1"/>
  <c r="J143" i="186" s="1"/>
  <c r="J87" i="189"/>
  <c r="J158" i="189" s="1"/>
  <c r="J28" i="191" s="1"/>
  <c r="J133" i="191" s="1"/>
  <c r="J75" i="186"/>
  <c r="J87" i="186" s="1"/>
  <c r="J147" i="186" s="1"/>
  <c r="L77" i="186"/>
  <c r="L89" i="186" s="1"/>
  <c r="L89" i="189"/>
  <c r="L160" i="189" s="1"/>
  <c r="L30" i="191" s="1"/>
  <c r="L135" i="191" s="1"/>
  <c r="L84" i="189"/>
  <c r="L155" i="189" s="1"/>
  <c r="L25" i="191" s="1"/>
  <c r="L130" i="191" s="1"/>
  <c r="L72" i="186"/>
  <c r="L84" i="186" s="1"/>
  <c r="R90" i="189"/>
  <c r="R161" i="189" s="1"/>
  <c r="R31" i="191" s="1"/>
  <c r="R136" i="191" s="1"/>
  <c r="R78" i="186"/>
  <c r="R90" i="186" s="1"/>
  <c r="R88" i="189"/>
  <c r="R159" i="189" s="1"/>
  <c r="R29" i="191" s="1"/>
  <c r="R134" i="191" s="1"/>
  <c r="R76" i="186"/>
  <c r="R88" i="186" s="1"/>
  <c r="Y120" i="186"/>
  <c r="Y132" i="186" s="1"/>
  <c r="Y110" i="189"/>
  <c r="Y215" i="189" s="1"/>
  <c r="Y87" i="191" s="1"/>
  <c r="Y192" i="191" s="1"/>
  <c r="V113" i="189"/>
  <c r="V218" i="189" s="1"/>
  <c r="V90" i="191" s="1"/>
  <c r="V195" i="191" s="1"/>
  <c r="V123" i="186"/>
  <c r="V135" i="186" s="1"/>
  <c r="O74" i="186"/>
  <c r="O86" i="186" s="1"/>
  <c r="O86" i="189"/>
  <c r="O157" i="189" s="1"/>
  <c r="O27" i="191" s="1"/>
  <c r="O132" i="191" s="1"/>
  <c r="O90" i="189"/>
  <c r="O161" i="189" s="1"/>
  <c r="O31" i="191" s="1"/>
  <c r="O136" i="191" s="1"/>
  <c r="O78" i="186"/>
  <c r="O90" i="186" s="1"/>
  <c r="O150" i="186" s="1"/>
  <c r="M96" i="186"/>
  <c r="M108" i="186" s="1"/>
  <c r="M97" i="189"/>
  <c r="M185" i="189" s="1"/>
  <c r="M56" i="191" s="1"/>
  <c r="M161" i="191" s="1"/>
  <c r="N108" i="189"/>
  <c r="N213" i="189" s="1"/>
  <c r="N85" i="191" s="1"/>
  <c r="N190" i="191" s="1"/>
  <c r="N118" i="186"/>
  <c r="N130" i="186" s="1"/>
  <c r="X89" i="189"/>
  <c r="X160" i="189" s="1"/>
  <c r="X30" i="191" s="1"/>
  <c r="X135" i="191" s="1"/>
  <c r="X77" i="186"/>
  <c r="X89" i="186" s="1"/>
  <c r="X84" i="189"/>
  <c r="X155" i="189" s="1"/>
  <c r="X25" i="191" s="1"/>
  <c r="X130" i="191" s="1"/>
  <c r="X72" i="186"/>
  <c r="X84" i="186" s="1"/>
  <c r="X75" i="186"/>
  <c r="X87" i="186" s="1"/>
  <c r="X87" i="189"/>
  <c r="X158" i="189" s="1"/>
  <c r="X28" i="191" s="1"/>
  <c r="X133" i="191" s="1"/>
  <c r="M101" i="189"/>
  <c r="M189" i="189" s="1"/>
  <c r="M60" i="191" s="1"/>
  <c r="M165" i="191" s="1"/>
  <c r="M100" i="186"/>
  <c r="M112" i="186" s="1"/>
  <c r="M123" i="186"/>
  <c r="M135" i="186" s="1"/>
  <c r="M113" i="189"/>
  <c r="M218" i="189" s="1"/>
  <c r="M90" i="191" s="1"/>
  <c r="M195" i="191" s="1"/>
  <c r="S93" i="189"/>
  <c r="S181" i="189" s="1"/>
  <c r="S52" i="191" s="1"/>
  <c r="S157" i="191" s="1"/>
  <c r="S93" i="186"/>
  <c r="S105" i="186" s="1"/>
  <c r="S94" i="189"/>
  <c r="S182" i="189" s="1"/>
  <c r="S53" i="191" s="1"/>
  <c r="S158" i="191" s="1"/>
  <c r="X102" i="189"/>
  <c r="X190" i="189" s="1"/>
  <c r="X61" i="191" s="1"/>
  <c r="X166" i="191" s="1"/>
  <c r="X101" i="186"/>
  <c r="X113" i="186" s="1"/>
  <c r="V86" i="189"/>
  <c r="V157" i="189" s="1"/>
  <c r="V27" i="191" s="1"/>
  <c r="V132" i="191" s="1"/>
  <c r="V74" i="186"/>
  <c r="V86" i="186" s="1"/>
  <c r="V146" i="186" s="1"/>
  <c r="V172" i="186" s="1"/>
  <c r="V273" i="186" s="1"/>
  <c r="V72" i="186"/>
  <c r="V84" i="186" s="1"/>
  <c r="V84" i="189"/>
  <c r="V155" i="189" s="1"/>
  <c r="V25" i="191" s="1"/>
  <c r="V130" i="191" s="1"/>
  <c r="V87" i="189"/>
  <c r="V158" i="189" s="1"/>
  <c r="V28" i="191" s="1"/>
  <c r="V133" i="191" s="1"/>
  <c r="V75" i="186"/>
  <c r="V87" i="186" s="1"/>
  <c r="S84" i="189"/>
  <c r="S155" i="189" s="1"/>
  <c r="S25" i="191" s="1"/>
  <c r="S130" i="191" s="1"/>
  <c r="S72" i="186"/>
  <c r="S84" i="186" s="1"/>
  <c r="S144" i="186" s="1"/>
  <c r="S170" i="186" s="1"/>
  <c r="S271" i="186" s="1"/>
  <c r="S89" i="189"/>
  <c r="S160" i="189" s="1"/>
  <c r="S30" i="191" s="1"/>
  <c r="S135" i="191" s="1"/>
  <c r="S77" i="186"/>
  <c r="S89" i="186" s="1"/>
  <c r="L113" i="189"/>
  <c r="L218" i="189" s="1"/>
  <c r="L90" i="191" s="1"/>
  <c r="L195" i="191" s="1"/>
  <c r="L123" i="186"/>
  <c r="L135" i="186" s="1"/>
  <c r="N77" i="186"/>
  <c r="N89" i="186" s="1"/>
  <c r="N89" i="189"/>
  <c r="N160" i="189" s="1"/>
  <c r="N30" i="191" s="1"/>
  <c r="N135" i="191" s="1"/>
  <c r="N76" i="186"/>
  <c r="N88" i="186" s="1"/>
  <c r="N88" i="189"/>
  <c r="N159" i="189" s="1"/>
  <c r="N29" i="191" s="1"/>
  <c r="N134" i="191" s="1"/>
  <c r="N75" i="186"/>
  <c r="N87" i="186" s="1"/>
  <c r="N87" i="189"/>
  <c r="N158" i="189" s="1"/>
  <c r="N28" i="191" s="1"/>
  <c r="N133" i="191" s="1"/>
  <c r="Y81" i="189"/>
  <c r="Y152" i="189" s="1"/>
  <c r="Y70" i="186"/>
  <c r="Y82" i="186" s="1"/>
  <c r="Y82" i="189"/>
  <c r="Y153" i="189" s="1"/>
  <c r="Y23" i="191" s="1"/>
  <c r="Y128" i="191" s="1"/>
  <c r="Y71" i="186"/>
  <c r="Y83" i="186" s="1"/>
  <c r="Y83" i="189"/>
  <c r="Y154" i="189" s="1"/>
  <c r="Y24" i="191" s="1"/>
  <c r="Y129" i="191" s="1"/>
  <c r="R100" i="189"/>
  <c r="R188" i="189" s="1"/>
  <c r="R59" i="191" s="1"/>
  <c r="R164" i="191" s="1"/>
  <c r="R99" i="186"/>
  <c r="R111" i="186" s="1"/>
  <c r="X98" i="186"/>
  <c r="X110" i="186" s="1"/>
  <c r="X99" i="189"/>
  <c r="X187" i="189" s="1"/>
  <c r="X58" i="191" s="1"/>
  <c r="X163" i="191" s="1"/>
  <c r="M86" i="189"/>
  <c r="M157" i="189" s="1"/>
  <c r="M27" i="191" s="1"/>
  <c r="M132" i="191" s="1"/>
  <c r="M74" i="186"/>
  <c r="M86" i="186" s="1"/>
  <c r="M90" i="189"/>
  <c r="M161" i="189" s="1"/>
  <c r="M31" i="191" s="1"/>
  <c r="M136" i="191" s="1"/>
  <c r="M78" i="186"/>
  <c r="M90" i="186" s="1"/>
  <c r="M75" i="186"/>
  <c r="M87" i="186" s="1"/>
  <c r="M87" i="189"/>
  <c r="M158" i="189" s="1"/>
  <c r="M28" i="191" s="1"/>
  <c r="M133" i="191" s="1"/>
  <c r="S100" i="189"/>
  <c r="S188" i="189" s="1"/>
  <c r="S59" i="191" s="1"/>
  <c r="S164" i="191" s="1"/>
  <c r="S99" i="186"/>
  <c r="S111" i="186" s="1"/>
  <c r="Q93" i="185"/>
  <c r="T146" i="186" l="1"/>
  <c r="T172" i="186" s="1"/>
  <c r="T273" i="186" s="1"/>
  <c r="W149" i="186"/>
  <c r="W175" i="186" s="1"/>
  <c r="W276" i="186" s="1"/>
  <c r="U142" i="186"/>
  <c r="U168" i="186" s="1"/>
  <c r="U269" i="186" s="1"/>
  <c r="P144" i="186"/>
  <c r="P170" i="186" s="1"/>
  <c r="P271" i="186" s="1"/>
  <c r="N148" i="186"/>
  <c r="N174" i="186" s="1"/>
  <c r="N275" i="186" s="1"/>
  <c r="U145" i="186"/>
  <c r="U171" i="186" s="1"/>
  <c r="U272" i="186" s="1"/>
  <c r="R150" i="186"/>
  <c r="Q274" i="185"/>
  <c r="Q72" i="186" s="1"/>
  <c r="Q84" i="186" s="1"/>
  <c r="Q280" i="185"/>
  <c r="V147" i="186"/>
  <c r="V173" i="186" s="1"/>
  <c r="V274" i="186" s="1"/>
  <c r="S149" i="186"/>
  <c r="S175" i="186" s="1"/>
  <c r="S276" i="186" s="1"/>
  <c r="L149" i="186"/>
  <c r="L175" i="186" s="1"/>
  <c r="L276" i="186" s="1"/>
  <c r="M147" i="186"/>
  <c r="M173" i="186" s="1"/>
  <c r="M274" i="186" s="1"/>
  <c r="Y142" i="186"/>
  <c r="Y168" i="186" s="1"/>
  <c r="Y269" i="186" s="1"/>
  <c r="N143" i="186"/>
  <c r="N169" i="186" s="1"/>
  <c r="N270" i="186" s="1"/>
  <c r="T145" i="186"/>
  <c r="T171" i="186" s="1"/>
  <c r="T272" i="186" s="1"/>
  <c r="P143" i="186"/>
  <c r="P169" i="186" s="1"/>
  <c r="P270" i="186" s="1"/>
  <c r="M142" i="186"/>
  <c r="M168" i="186" s="1"/>
  <c r="M269" i="186" s="1"/>
  <c r="M150" i="186"/>
  <c r="X149" i="186"/>
  <c r="X175" i="186" s="1"/>
  <c r="X276" i="186" s="1"/>
  <c r="N150" i="186"/>
  <c r="N208" i="186" s="1"/>
  <c r="S147" i="186"/>
  <c r="S173" i="186" s="1"/>
  <c r="S274" i="186" s="1"/>
  <c r="O148" i="186"/>
  <c r="O174" i="186" s="1"/>
  <c r="O275" i="186" s="1"/>
  <c r="R142" i="186"/>
  <c r="R168" i="186" s="1"/>
  <c r="R269" i="186" s="1"/>
  <c r="V149" i="186"/>
  <c r="V175" i="186" s="1"/>
  <c r="V276" i="186" s="1"/>
  <c r="Y143" i="186"/>
  <c r="Y169" i="186" s="1"/>
  <c r="Y270" i="186" s="1"/>
  <c r="N146" i="186"/>
  <c r="N172" i="186" s="1"/>
  <c r="N273" i="186" s="1"/>
  <c r="X146" i="186"/>
  <c r="X172" i="186" s="1"/>
  <c r="X273" i="186" s="1"/>
  <c r="Y147" i="186"/>
  <c r="Y173" i="186" s="1"/>
  <c r="Y274" i="186" s="1"/>
  <c r="M146" i="186"/>
  <c r="M172" i="186" s="1"/>
  <c r="M273" i="186" s="1"/>
  <c r="N147" i="186"/>
  <c r="N173" i="186" s="1"/>
  <c r="N274" i="186" s="1"/>
  <c r="N149" i="186"/>
  <c r="N175" i="186" s="1"/>
  <c r="N276" i="186" s="1"/>
  <c r="R148" i="186"/>
  <c r="R174" i="186" s="1"/>
  <c r="R275" i="186" s="1"/>
  <c r="L144" i="186"/>
  <c r="L170" i="186" s="1"/>
  <c r="L271" i="186" s="1"/>
  <c r="J173" i="186"/>
  <c r="J274" i="186" s="1"/>
  <c r="J170" i="186"/>
  <c r="J271" i="186" s="1"/>
  <c r="W143" i="186"/>
  <c r="W169" i="186" s="1"/>
  <c r="W270" i="186" s="1"/>
  <c r="Q275" i="185"/>
  <c r="Q273" i="185"/>
  <c r="Y148" i="186"/>
  <c r="Y174" i="186" s="1"/>
  <c r="Y275" i="186" s="1"/>
  <c r="N22" i="191"/>
  <c r="N127" i="191" s="1"/>
  <c r="O149" i="186"/>
  <c r="O175" i="186" s="1"/>
  <c r="O276" i="186" s="1"/>
  <c r="J174" i="186"/>
  <c r="J275" i="186" s="1"/>
  <c r="O147" i="186"/>
  <c r="O173" i="186" s="1"/>
  <c r="O274" i="186" s="1"/>
  <c r="V22" i="191"/>
  <c r="V127" i="191" s="1"/>
  <c r="X145" i="186"/>
  <c r="X171" i="186" s="1"/>
  <c r="X272" i="186" s="1"/>
  <c r="T150" i="186"/>
  <c r="P22" i="191"/>
  <c r="P127" i="191" s="1"/>
  <c r="M149" i="186"/>
  <c r="M175" i="186" s="1"/>
  <c r="M276" i="186" s="1"/>
  <c r="N144" i="186"/>
  <c r="N170" i="186" s="1"/>
  <c r="N271" i="186" s="1"/>
  <c r="S142" i="186"/>
  <c r="S168" i="186" s="1"/>
  <c r="S269" i="186" s="1"/>
  <c r="X22" i="191"/>
  <c r="X127" i="191" s="1"/>
  <c r="O145" i="186"/>
  <c r="O171" i="186" s="1"/>
  <c r="O272" i="186" s="1"/>
  <c r="T148" i="186"/>
  <c r="T174" i="186" s="1"/>
  <c r="T275" i="186" s="1"/>
  <c r="K269" i="186"/>
  <c r="Y145" i="186"/>
  <c r="Y171" i="186" s="1"/>
  <c r="Y272" i="186" s="1"/>
  <c r="L146" i="186"/>
  <c r="L172" i="186" s="1"/>
  <c r="L273" i="186" s="1"/>
  <c r="W22" i="191"/>
  <c r="W127" i="191" s="1"/>
  <c r="Q84" i="189"/>
  <c r="Q155" i="189" s="1"/>
  <c r="Q25" i="191" s="1"/>
  <c r="Q130" i="191" s="1"/>
  <c r="T22" i="191"/>
  <c r="T127" i="191" s="1"/>
  <c r="W176" i="186"/>
  <c r="W208" i="186"/>
  <c r="S143" i="186"/>
  <c r="S169" i="186" s="1"/>
  <c r="S270" i="186" s="1"/>
  <c r="V142" i="186"/>
  <c r="V168" i="186" s="1"/>
  <c r="O144" i="186"/>
  <c r="O170" i="186" s="1"/>
  <c r="O271" i="186" s="1"/>
  <c r="Y146" i="186"/>
  <c r="Y172" i="186" s="1"/>
  <c r="Y273" i="186" s="1"/>
  <c r="S22" i="191"/>
  <c r="S127" i="191" s="1"/>
  <c r="X142" i="186"/>
  <c r="X168" i="186" s="1"/>
  <c r="X269" i="186" s="1"/>
  <c r="L22" i="191"/>
  <c r="L127" i="191" s="1"/>
  <c r="J172" i="186"/>
  <c r="J273" i="186" s="1"/>
  <c r="P149" i="186"/>
  <c r="P175" i="186" s="1"/>
  <c r="P276" i="186" s="1"/>
  <c r="K22" i="191"/>
  <c r="K127" i="191" s="1"/>
  <c r="M22" i="191"/>
  <c r="M127" i="191" s="1"/>
  <c r="M148" i="186"/>
  <c r="M174" i="186" s="1"/>
  <c r="M275" i="186" s="1"/>
  <c r="Q90" i="189"/>
  <c r="Q161" i="189" s="1"/>
  <c r="Q31" i="191" s="1"/>
  <c r="Q136" i="191" s="1"/>
  <c r="Q78" i="186"/>
  <c r="Q90" i="186" s="1"/>
  <c r="S146" i="186"/>
  <c r="S172" i="186" s="1"/>
  <c r="S273" i="186" s="1"/>
  <c r="J82" i="186"/>
  <c r="J142" i="186" s="1"/>
  <c r="S148" i="186"/>
  <c r="S174" i="186" s="1"/>
  <c r="S275" i="186" s="1"/>
  <c r="K176" i="186"/>
  <c r="K177" i="186" s="1"/>
  <c r="K208" i="186"/>
  <c r="Y150" i="186"/>
  <c r="R144" i="186"/>
  <c r="R170" i="186" s="1"/>
  <c r="R271" i="186" s="1"/>
  <c r="J208" i="186"/>
  <c r="J176" i="186"/>
  <c r="J149" i="186"/>
  <c r="Q288" i="185"/>
  <c r="Q291" i="185"/>
  <c r="Q299" i="185"/>
  <c r="Q284" i="185"/>
  <c r="Q289" i="185"/>
  <c r="Q287" i="185"/>
  <c r="Q295" i="185"/>
  <c r="Q298" i="185"/>
  <c r="Q296" i="185"/>
  <c r="Q302" i="185"/>
  <c r="Q294" i="185"/>
  <c r="Q290" i="185"/>
  <c r="Q286" i="185"/>
  <c r="Q300" i="185"/>
  <c r="Q301" i="185"/>
  <c r="Q285" i="185"/>
  <c r="Q283" i="185"/>
  <c r="Q297" i="185"/>
  <c r="X147" i="186"/>
  <c r="X173" i="186" s="1"/>
  <c r="X274" i="186" s="1"/>
  <c r="O146" i="186"/>
  <c r="O172" i="186" s="1"/>
  <c r="O273" i="186" s="1"/>
  <c r="P176" i="186"/>
  <c r="P208" i="186"/>
  <c r="Q272" i="185"/>
  <c r="Q276" i="185"/>
  <c r="Q277" i="185"/>
  <c r="M145" i="186"/>
  <c r="M171" i="186" s="1"/>
  <c r="M272" i="186" s="1"/>
  <c r="O142" i="186"/>
  <c r="O168" i="186" s="1"/>
  <c r="O269" i="186" s="1"/>
  <c r="L208" i="186"/>
  <c r="L176" i="186"/>
  <c r="J22" i="191"/>
  <c r="M176" i="186"/>
  <c r="M208" i="186"/>
  <c r="Y22" i="191"/>
  <c r="Y127" i="191" s="1"/>
  <c r="V144" i="186"/>
  <c r="V170" i="186" s="1"/>
  <c r="V271" i="186" s="1"/>
  <c r="X144" i="186"/>
  <c r="X170" i="186" s="1"/>
  <c r="X271" i="186" s="1"/>
  <c r="O208" i="186"/>
  <c r="O176" i="186"/>
  <c r="R208" i="186"/>
  <c r="R176" i="186"/>
  <c r="J169" i="186"/>
  <c r="J270" i="186" s="1"/>
  <c r="U22" i="191"/>
  <c r="U127" i="191" s="1"/>
  <c r="Q278" i="185"/>
  <c r="Q279" i="185"/>
  <c r="N142" i="186"/>
  <c r="N168" i="186" s="1"/>
  <c r="S150" i="186"/>
  <c r="V208" i="186"/>
  <c r="V176" i="186"/>
  <c r="X148" i="186"/>
  <c r="X174" i="186" s="1"/>
  <c r="X275" i="186" s="1"/>
  <c r="O22" i="191"/>
  <c r="O127" i="191" s="1"/>
  <c r="T269" i="186"/>
  <c r="X150" i="186"/>
  <c r="J171" i="186"/>
  <c r="J272" i="186" s="1"/>
  <c r="S145" i="186"/>
  <c r="S171" i="186" s="1"/>
  <c r="S272" i="186" s="1"/>
  <c r="R147" i="186"/>
  <c r="R173" i="186" s="1"/>
  <c r="R274" i="186" s="1"/>
  <c r="U150" i="186"/>
  <c r="Y144" i="186"/>
  <c r="Y170" i="186" s="1"/>
  <c r="Y271" i="186" s="1"/>
  <c r="N145" i="186"/>
  <c r="N171" i="186" s="1"/>
  <c r="N272" i="186" s="1"/>
  <c r="R22" i="191"/>
  <c r="R127" i="191" s="1"/>
  <c r="W142" i="186"/>
  <c r="W168" i="186" s="1"/>
  <c r="N176" i="186" l="1"/>
  <c r="L177" i="186"/>
  <c r="R177" i="186"/>
  <c r="P177" i="186"/>
  <c r="Q83" i="189"/>
  <c r="Q154" i="189" s="1"/>
  <c r="Q24" i="191" s="1"/>
  <c r="Q129" i="191" s="1"/>
  <c r="Q71" i="186"/>
  <c r="Q83" i="186" s="1"/>
  <c r="M177" i="186"/>
  <c r="Q96" i="189"/>
  <c r="Q184" i="189" s="1"/>
  <c r="Q55" i="191" s="1"/>
  <c r="Q160" i="191" s="1"/>
  <c r="Q95" i="186"/>
  <c r="Q107" i="186" s="1"/>
  <c r="Q101" i="189"/>
  <c r="Q189" i="189" s="1"/>
  <c r="Q60" i="191" s="1"/>
  <c r="Q165" i="191" s="1"/>
  <c r="Q100" i="186"/>
  <c r="Q112" i="186" s="1"/>
  <c r="Q110" i="189"/>
  <c r="Q215" i="189" s="1"/>
  <c r="Q87" i="191" s="1"/>
  <c r="Q192" i="191" s="1"/>
  <c r="Q120" i="186"/>
  <c r="Q132" i="186" s="1"/>
  <c r="Q95" i="189"/>
  <c r="Q183" i="189" s="1"/>
  <c r="Q54" i="191" s="1"/>
  <c r="Q159" i="191" s="1"/>
  <c r="Q94" i="186"/>
  <c r="Q106" i="186" s="1"/>
  <c r="J175" i="186"/>
  <c r="J276" i="186" s="1"/>
  <c r="J168" i="186"/>
  <c r="T176" i="186"/>
  <c r="T177" i="186" s="1"/>
  <c r="T208" i="186"/>
  <c r="Q85" i="189"/>
  <c r="Q156" i="189" s="1"/>
  <c r="Q26" i="191" s="1"/>
  <c r="Q131" i="191" s="1"/>
  <c r="Q73" i="186"/>
  <c r="Q85" i="186" s="1"/>
  <c r="W269" i="186"/>
  <c r="W177" i="186"/>
  <c r="S208" i="186"/>
  <c r="S176" i="186"/>
  <c r="S177" i="186" s="1"/>
  <c r="J127" i="191"/>
  <c r="Q109" i="189"/>
  <c r="Q214" i="189" s="1"/>
  <c r="Q86" i="191" s="1"/>
  <c r="Q191" i="191" s="1"/>
  <c r="Q119" i="186"/>
  <c r="Q131" i="186" s="1"/>
  <c r="Q112" i="189"/>
  <c r="Q217" i="189" s="1"/>
  <c r="Q89" i="191" s="1"/>
  <c r="Q194" i="191" s="1"/>
  <c r="Q122" i="186"/>
  <c r="Q134" i="186" s="1"/>
  <c r="Q114" i="189"/>
  <c r="Q219" i="189" s="1"/>
  <c r="Q91" i="191" s="1"/>
  <c r="Q196" i="191" s="1"/>
  <c r="Q124" i="186"/>
  <c r="Q136" i="186" s="1"/>
  <c r="Q98" i="189"/>
  <c r="Q186" i="189" s="1"/>
  <c r="Q57" i="191" s="1"/>
  <c r="Q162" i="191" s="1"/>
  <c r="Q97" i="186"/>
  <c r="Q109" i="186" s="1"/>
  <c r="Q102" i="189"/>
  <c r="Q190" i="189" s="1"/>
  <c r="Q61" i="191" s="1"/>
  <c r="Q166" i="191" s="1"/>
  <c r="Q101" i="186"/>
  <c r="Q113" i="186" s="1"/>
  <c r="Q150" i="186" s="1"/>
  <c r="U208" i="186"/>
  <c r="U176" i="186"/>
  <c r="U177" i="186" s="1"/>
  <c r="N269" i="186"/>
  <c r="N177" i="186"/>
  <c r="Q87" i="189"/>
  <c r="Q158" i="189" s="1"/>
  <c r="Q28" i="191" s="1"/>
  <c r="Q133" i="191" s="1"/>
  <c r="Q75" i="186"/>
  <c r="Q87" i="186" s="1"/>
  <c r="Q94" i="189"/>
  <c r="Q182" i="189" s="1"/>
  <c r="Q53" i="191" s="1"/>
  <c r="Q158" i="191" s="1"/>
  <c r="Q93" i="186"/>
  <c r="Q105" i="186" s="1"/>
  <c r="Q93" i="189"/>
  <c r="Q181" i="189" s="1"/>
  <c r="Q52" i="191" s="1"/>
  <c r="Q157" i="191" s="1"/>
  <c r="Q96" i="186"/>
  <c r="Q108" i="186" s="1"/>
  <c r="Q97" i="189"/>
  <c r="Q185" i="189" s="1"/>
  <c r="Q56" i="191" s="1"/>
  <c r="Q161" i="191" s="1"/>
  <c r="Q108" i="189"/>
  <c r="Q213" i="189" s="1"/>
  <c r="Q85" i="191" s="1"/>
  <c r="Q190" i="191" s="1"/>
  <c r="Q118" i="186"/>
  <c r="Q130" i="186" s="1"/>
  <c r="Q144" i="186" s="1"/>
  <c r="Q99" i="186"/>
  <c r="Q111" i="186" s="1"/>
  <c r="Q100" i="189"/>
  <c r="Q188" i="189" s="1"/>
  <c r="Q59" i="191" s="1"/>
  <c r="Q164" i="191" s="1"/>
  <c r="Q98" i="186"/>
  <c r="Q110" i="186" s="1"/>
  <c r="Q99" i="189"/>
  <c r="Q187" i="189" s="1"/>
  <c r="Q58" i="191" s="1"/>
  <c r="Q163" i="191" s="1"/>
  <c r="V269" i="186"/>
  <c r="V177" i="186"/>
  <c r="Q89" i="189"/>
  <c r="Q160" i="189" s="1"/>
  <c r="Q30" i="191" s="1"/>
  <c r="Q135" i="191" s="1"/>
  <c r="Q77" i="186"/>
  <c r="Q89" i="186" s="1"/>
  <c r="Q86" i="189"/>
  <c r="Q157" i="189" s="1"/>
  <c r="Q27" i="191" s="1"/>
  <c r="Q132" i="191" s="1"/>
  <c r="Q74" i="186"/>
  <c r="Q86" i="186" s="1"/>
  <c r="X208" i="186"/>
  <c r="X176" i="186"/>
  <c r="X177" i="186" s="1"/>
  <c r="Q88" i="189"/>
  <c r="Q159" i="189" s="1"/>
  <c r="Q29" i="191" s="1"/>
  <c r="Q134" i="191" s="1"/>
  <c r="Q76" i="186"/>
  <c r="Q88" i="186" s="1"/>
  <c r="O177" i="186"/>
  <c r="Q70" i="186"/>
  <c r="Q82" i="189"/>
  <c r="Q153" i="189" s="1"/>
  <c r="Q23" i="191" s="1"/>
  <c r="Q128" i="191" s="1"/>
  <c r="Q81" i="189"/>
  <c r="Q152" i="189" s="1"/>
  <c r="Q113" i="189"/>
  <c r="Q218" i="189" s="1"/>
  <c r="Q90" i="191" s="1"/>
  <c r="Q195" i="191" s="1"/>
  <c r="Q123" i="186"/>
  <c r="Q135" i="186" s="1"/>
  <c r="Q105" i="189"/>
  <c r="Q210" i="189" s="1"/>
  <c r="Q82" i="191" s="1"/>
  <c r="Q187" i="191" s="1"/>
  <c r="Q106" i="189"/>
  <c r="Q211" i="189" s="1"/>
  <c r="Q83" i="191" s="1"/>
  <c r="Q188" i="191" s="1"/>
  <c r="Q116" i="186"/>
  <c r="Q128" i="186" s="1"/>
  <c r="Q117" i="186"/>
  <c r="Q129" i="186" s="1"/>
  <c r="Q107" i="189"/>
  <c r="Q212" i="189" s="1"/>
  <c r="Q84" i="191" s="1"/>
  <c r="Q189" i="191" s="1"/>
  <c r="Q121" i="186"/>
  <c r="Q133" i="186" s="1"/>
  <c r="Q111" i="189"/>
  <c r="Q216" i="189" s="1"/>
  <c r="Q88" i="191" s="1"/>
  <c r="Q193" i="191" s="1"/>
  <c r="Y208" i="186"/>
  <c r="Y176" i="186"/>
  <c r="Y177" i="186" s="1"/>
  <c r="H306" i="185" a="1"/>
  <c r="H306" i="185" s="1"/>
  <c r="Q147" i="186" l="1"/>
  <c r="Q173" i="186" s="1"/>
  <c r="Q274" i="186" s="1"/>
  <c r="H274" i="186" s="1"/>
  <c r="Q170" i="186"/>
  <c r="Q271" i="186" s="1"/>
  <c r="H271" i="186" s="1"/>
  <c r="H156" i="186"/>
  <c r="J45" i="55"/>
  <c r="A4" i="185"/>
  <c r="Q82" i="186"/>
  <c r="Q142" i="186" s="1"/>
  <c r="Q149" i="186"/>
  <c r="Q176" i="186"/>
  <c r="Q208" i="186"/>
  <c r="H210" i="186" s="1"/>
  <c r="H234" i="186" s="1"/>
  <c r="H162" i="186"/>
  <c r="J177" i="186"/>
  <c r="J269" i="186"/>
  <c r="H159" i="186"/>
  <c r="Q22" i="191"/>
  <c r="Q148" i="186"/>
  <c r="Q146" i="186"/>
  <c r="Q145" i="186"/>
  <c r="Q143" i="186"/>
  <c r="Q127" i="191" l="1"/>
  <c r="Q172" i="186"/>
  <c r="Q273" i="186" s="1"/>
  <c r="H273" i="186" s="1"/>
  <c r="H158" i="186"/>
  <c r="Q175" i="186"/>
  <c r="Q276" i="186" s="1"/>
  <c r="H276" i="186" s="1"/>
  <c r="H161" i="186"/>
  <c r="Q171" i="186"/>
  <c r="Q272" i="186" s="1"/>
  <c r="H272" i="186" s="1"/>
  <c r="H157" i="186"/>
  <c r="Q169" i="186"/>
  <c r="Q270" i="186" s="1"/>
  <c r="H270" i="186" s="1"/>
  <c r="H155" i="186"/>
  <c r="Q174" i="186"/>
  <c r="Q275" i="186" s="1"/>
  <c r="H275" i="186" s="1"/>
  <c r="H160" i="186"/>
  <c r="T260" i="186"/>
  <c r="O247" i="186"/>
  <c r="O277" i="186" s="1"/>
  <c r="V247" i="186"/>
  <c r="X260" i="186"/>
  <c r="Q247" i="186"/>
  <c r="L247" i="186"/>
  <c r="S260" i="186"/>
  <c r="W247" i="186"/>
  <c r="Y260" i="186"/>
  <c r="U260" i="186"/>
  <c r="P247" i="186"/>
  <c r="P277" i="186" s="1"/>
  <c r="U247" i="186"/>
  <c r="W260" i="186"/>
  <c r="X247" i="186"/>
  <c r="Y247" i="186"/>
  <c r="J247" i="186"/>
  <c r="K247" i="186"/>
  <c r="K277" i="186" s="1"/>
  <c r="R260" i="186"/>
  <c r="R247" i="186"/>
  <c r="V260" i="186"/>
  <c r="S247" i="186"/>
  <c r="T247" i="186"/>
  <c r="N247" i="186"/>
  <c r="N277" i="186" s="1"/>
  <c r="H32" i="192"/>
  <c r="M247" i="186"/>
  <c r="M277" i="186" s="1"/>
  <c r="Q260" i="186"/>
  <c r="L260" i="186"/>
  <c r="J260" i="186"/>
  <c r="Q168" i="186"/>
  <c r="H154" i="186"/>
  <c r="U277" i="186" l="1"/>
  <c r="R277" i="186"/>
  <c r="W277" i="186"/>
  <c r="Y277" i="186"/>
  <c r="T277" i="186"/>
  <c r="J171" i="192"/>
  <c r="J231" i="192" s="1"/>
  <c r="K171" i="192"/>
  <c r="K231" i="192" s="1"/>
  <c r="P141" i="192"/>
  <c r="P171" i="192"/>
  <c r="P231" i="192" s="1"/>
  <c r="N141" i="192"/>
  <c r="M141" i="192"/>
  <c r="M171" i="192"/>
  <c r="M231" i="192" s="1"/>
  <c r="O171" i="192"/>
  <c r="O231" i="192" s="1"/>
  <c r="O141" i="192"/>
  <c r="K141" i="192"/>
  <c r="J141" i="192"/>
  <c r="L171" i="192"/>
  <c r="L231" i="192" s="1"/>
  <c r="L141" i="192"/>
  <c r="Q141" i="192"/>
  <c r="N171" i="192"/>
  <c r="N231" i="192" s="1"/>
  <c r="Q171" i="192"/>
  <c r="Q231" i="192" s="1"/>
  <c r="J277" i="186"/>
  <c r="V277" i="186"/>
  <c r="Q269" i="186"/>
  <c r="H269" i="186" s="1"/>
  <c r="Q177" i="186"/>
  <c r="X277" i="186"/>
  <c r="L277" i="186"/>
  <c r="S277" i="186"/>
  <c r="Q277" i="186"/>
  <c r="J201" i="192" l="1"/>
  <c r="J271" i="192"/>
  <c r="J34" i="194" s="1"/>
  <c r="P271" i="192"/>
  <c r="P34" i="194" s="1"/>
  <c r="P79" i="194" s="1"/>
  <c r="P201" i="192"/>
  <c r="Q271" i="192"/>
  <c r="Q34" i="194" s="1"/>
  <c r="Q79" i="194" s="1"/>
  <c r="Q201" i="192"/>
  <c r="K271" i="192"/>
  <c r="K34" i="194" s="1"/>
  <c r="K79" i="194" s="1"/>
  <c r="K201" i="192"/>
  <c r="M271" i="192"/>
  <c r="M34" i="194" s="1"/>
  <c r="M79" i="194" s="1"/>
  <c r="M201" i="192"/>
  <c r="H277" i="186"/>
  <c r="H281" i="186" s="1" a="1"/>
  <c r="H281" i="186" s="1"/>
  <c r="L201" i="192"/>
  <c r="L271" i="192"/>
  <c r="L34" i="194" s="1"/>
  <c r="L79" i="194" s="1"/>
  <c r="O271" i="192"/>
  <c r="O34" i="194" s="1"/>
  <c r="O79" i="194" s="1"/>
  <c r="O201" i="192"/>
  <c r="N201" i="192"/>
  <c r="N271" i="192"/>
  <c r="N34" i="194" s="1"/>
  <c r="N79" i="194" s="1"/>
  <c r="A4" i="186" l="1"/>
  <c r="J46" i="55"/>
  <c r="K64" i="188" a="1"/>
  <c r="U109" i="194"/>
  <c r="U141" i="194" s="1"/>
  <c r="Y109" i="194"/>
  <c r="Y141" i="194" s="1"/>
  <c r="R109" i="194"/>
  <c r="R141" i="194" s="1"/>
  <c r="M109" i="194"/>
  <c r="M141" i="194" s="1"/>
  <c r="N109" i="194"/>
  <c r="N141" i="194" s="1"/>
  <c r="Q109" i="194"/>
  <c r="Q141" i="194" s="1"/>
  <c r="X109" i="194"/>
  <c r="X141" i="194" s="1"/>
  <c r="W109" i="194"/>
  <c r="W141" i="194" s="1"/>
  <c r="P109" i="194"/>
  <c r="P141" i="194" s="1"/>
  <c r="T109" i="194"/>
  <c r="T141" i="194" s="1"/>
  <c r="O109" i="194"/>
  <c r="O141" i="194" s="1"/>
  <c r="K109" i="194"/>
  <c r="K141" i="194" s="1"/>
  <c r="V109" i="194"/>
  <c r="V141" i="194" s="1"/>
  <c r="S109" i="194"/>
  <c r="S141" i="194" s="1"/>
  <c r="J79" i="194"/>
  <c r="J109" i="194" l="1"/>
  <c r="J141" i="194" s="1"/>
  <c r="L109" i="194"/>
  <c r="L141" i="194" s="1"/>
  <c r="Q64" i="188"/>
  <c r="Q67" i="188" s="1"/>
  <c r="Q73" i="188" s="1"/>
  <c r="Q76" i="188" s="1"/>
  <c r="M64" i="188"/>
  <c r="M67" i="188" s="1"/>
  <c r="M73" i="188" s="1"/>
  <c r="M76" i="188" s="1"/>
  <c r="K64" i="188"/>
  <c r="O64" i="188"/>
  <c r="O67" i="188" s="1"/>
  <c r="O73" i="188" s="1"/>
  <c r="O76" i="188" s="1"/>
  <c r="N64" i="188"/>
  <c r="N67" i="188" s="1"/>
  <c r="N73" i="188" s="1"/>
  <c r="N76" i="188" s="1"/>
  <c r="P64" i="188"/>
  <c r="P67" i="188" s="1"/>
  <c r="R64" i="188"/>
  <c r="R67" i="188" s="1"/>
  <c r="R73" i="188" s="1"/>
  <c r="R76" i="188" s="1"/>
  <c r="L64" i="188"/>
  <c r="L67" i="188" s="1"/>
  <c r="L73" i="188" s="1"/>
  <c r="L76" i="188" s="1"/>
  <c r="S64" i="188"/>
  <c r="S67" i="188" s="1"/>
  <c r="S73" i="188" s="1"/>
  <c r="S76" i="188" s="1"/>
  <c r="L108" i="188" l="1"/>
  <c r="O108" i="188"/>
  <c r="R108" i="188"/>
  <c r="K67" i="188"/>
  <c r="J65" i="188"/>
  <c r="J67" i="188" s="1"/>
  <c r="J100" i="188" s="1"/>
  <c r="J115" i="188" s="1"/>
  <c r="P100" i="188"/>
  <c r="P115" i="188" s="1"/>
  <c r="P73" i="188"/>
  <c r="P76" i="188" s="1"/>
  <c r="T78" i="188" s="1"/>
  <c r="T97" i="188" s="1"/>
  <c r="M108" i="188"/>
  <c r="S108" i="188"/>
  <c r="N108" i="188"/>
  <c r="Q108" i="188"/>
  <c r="N78" i="188" l="1"/>
  <c r="N97" i="188" s="1"/>
  <c r="N100" i="188" s="1"/>
  <c r="N115" i="188" s="1"/>
  <c r="Q78" i="188"/>
  <c r="Q97" i="188" s="1"/>
  <c r="Q100" i="188" s="1"/>
  <c r="Q115" i="188" s="1"/>
  <c r="S78" i="188"/>
  <c r="S97" i="188" s="1"/>
  <c r="S100" i="188" s="1"/>
  <c r="S115" i="188" s="1"/>
  <c r="M78" i="188"/>
  <c r="M97" i="188" s="1"/>
  <c r="M100" i="188" s="1"/>
  <c r="M115" i="188" s="1"/>
  <c r="O78" i="188"/>
  <c r="O97" i="188" s="1"/>
  <c r="O100" i="188" s="1"/>
  <c r="O115" i="188" s="1"/>
  <c r="P78" i="188"/>
  <c r="P97" i="188" s="1"/>
  <c r="P108" i="188"/>
  <c r="H123" i="188"/>
  <c r="H21" i="190" s="1"/>
  <c r="R78" i="188"/>
  <c r="R97" i="188" s="1"/>
  <c r="R100" i="188" s="1"/>
  <c r="R115" i="188" s="1"/>
  <c r="K78" i="188"/>
  <c r="U78" i="188"/>
  <c r="U97" i="188" s="1"/>
  <c r="L78" i="188"/>
  <c r="L97" i="188" s="1"/>
  <c r="L100" i="188" s="1"/>
  <c r="L115" i="188" s="1"/>
  <c r="H35" i="190" l="1"/>
  <c r="K97" i="188"/>
  <c r="K100" i="188" s="1"/>
  <c r="K115" i="188" s="1"/>
  <c r="H127" i="188" a="1"/>
  <c r="H127" i="188" s="1"/>
  <c r="H131" i="188" s="1"/>
  <c r="J48" i="55" l="1"/>
  <c r="A4" i="188"/>
  <c r="H63" i="193" a="1"/>
  <c r="H65" i="192" a="1"/>
  <c r="H30" i="189" a="1"/>
  <c r="K43" i="190"/>
  <c r="K56" i="194" s="1"/>
  <c r="K157" i="194" s="1"/>
  <c r="T43" i="190"/>
  <c r="T56" i="194" s="1"/>
  <c r="T157" i="194" s="1"/>
  <c r="S42" i="190"/>
  <c r="S55" i="194" s="1"/>
  <c r="S156" i="194" s="1"/>
  <c r="W43" i="190"/>
  <c r="W56" i="194" s="1"/>
  <c r="W157" i="194" s="1"/>
  <c r="O43" i="190"/>
  <c r="O56" i="194" s="1"/>
  <c r="O157" i="194" s="1"/>
  <c r="K42" i="190"/>
  <c r="K55" i="194" s="1"/>
  <c r="K156" i="194" s="1"/>
  <c r="M42" i="190"/>
  <c r="M55" i="194" s="1"/>
  <c r="M156" i="194" s="1"/>
  <c r="S43" i="190"/>
  <c r="S56" i="194" s="1"/>
  <c r="S157" i="194" s="1"/>
  <c r="J42" i="190"/>
  <c r="X43" i="190"/>
  <c r="X56" i="194" s="1"/>
  <c r="X157" i="194" s="1"/>
  <c r="X42" i="190"/>
  <c r="X55" i="194" s="1"/>
  <c r="X156" i="194" s="1"/>
  <c r="Y42" i="190"/>
  <c r="Y55" i="194" s="1"/>
  <c r="Y156" i="194" s="1"/>
  <c r="N43" i="190"/>
  <c r="N56" i="194" s="1"/>
  <c r="N157" i="194" s="1"/>
  <c r="N42" i="190"/>
  <c r="N55" i="194" s="1"/>
  <c r="N156" i="194" s="1"/>
  <c r="U43" i="190"/>
  <c r="U56" i="194" s="1"/>
  <c r="U157" i="194" s="1"/>
  <c r="Q43" i="190"/>
  <c r="T42" i="190"/>
  <c r="T55" i="194" s="1"/>
  <c r="T156" i="194" s="1"/>
  <c r="U42" i="190"/>
  <c r="U55" i="194" s="1"/>
  <c r="U156" i="194" s="1"/>
  <c r="L43" i="190"/>
  <c r="L56" i="194" s="1"/>
  <c r="L157" i="194" s="1"/>
  <c r="J43" i="190"/>
  <c r="J56" i="194" s="1"/>
  <c r="J157" i="194" s="1"/>
  <c r="Q42" i="190"/>
  <c r="L42" i="190"/>
  <c r="L55" i="194" s="1"/>
  <c r="L156" i="194" s="1"/>
  <c r="P43" i="190"/>
  <c r="P56" i="194" s="1"/>
  <c r="P157" i="194" s="1"/>
  <c r="Y43" i="190"/>
  <c r="Y56" i="194" s="1"/>
  <c r="Y157" i="194" s="1"/>
  <c r="O42" i="190"/>
  <c r="O55" i="194" s="1"/>
  <c r="O156" i="194" s="1"/>
  <c r="R42" i="190"/>
  <c r="R55" i="194" s="1"/>
  <c r="R156" i="194" s="1"/>
  <c r="R43" i="190"/>
  <c r="R56" i="194" s="1"/>
  <c r="R157" i="194" s="1"/>
  <c r="W42" i="190"/>
  <c r="W55" i="194" s="1"/>
  <c r="W156" i="194" s="1"/>
  <c r="V42" i="190"/>
  <c r="V55" i="194" s="1"/>
  <c r="V156" i="194" s="1"/>
  <c r="P42" i="190"/>
  <c r="P55" i="194" s="1"/>
  <c r="P156" i="194" s="1"/>
  <c r="Q44" i="190"/>
  <c r="M43" i="190"/>
  <c r="M56" i="194" s="1"/>
  <c r="M157" i="194" s="1"/>
  <c r="V43" i="190"/>
  <c r="V56" i="194" s="1"/>
  <c r="V157" i="194" s="1"/>
  <c r="Q76" i="191" l="1"/>
  <c r="Q181" i="191" s="1"/>
  <c r="Q46" i="191"/>
  <c r="Q151" i="191" s="1"/>
  <c r="Q106" i="191"/>
  <c r="Q211" i="191" s="1"/>
  <c r="H73" i="192"/>
  <c r="H66" i="192"/>
  <c r="H65" i="192"/>
  <c r="H74" i="192"/>
  <c r="H67" i="192"/>
  <c r="H70" i="192"/>
  <c r="H68" i="192"/>
  <c r="H69" i="192"/>
  <c r="H71" i="192"/>
  <c r="H72" i="192"/>
  <c r="H71" i="193"/>
  <c r="H70" i="193"/>
  <c r="H66" i="193"/>
  <c r="H63" i="193"/>
  <c r="H67" i="193"/>
  <c r="H68" i="193"/>
  <c r="H69" i="193"/>
  <c r="H65" i="193"/>
  <c r="H72" i="193"/>
  <c r="H64" i="193"/>
  <c r="J55" i="194"/>
  <c r="J156" i="194" s="1"/>
  <c r="H48" i="190" a="1"/>
  <c r="H48" i="190" s="1"/>
  <c r="H30" i="189"/>
  <c r="H31" i="189"/>
  <c r="H39" i="189"/>
  <c r="H37" i="189"/>
  <c r="H38" i="189"/>
  <c r="H34" i="189"/>
  <c r="H36" i="189"/>
  <c r="H33" i="189"/>
  <c r="H35" i="189"/>
  <c r="H32" i="189"/>
  <c r="R138" i="189" l="1"/>
  <c r="M167" i="189"/>
  <c r="M39" i="191" s="1"/>
  <c r="M144" i="191" s="1"/>
  <c r="Y225" i="189"/>
  <c r="Y99" i="191" s="1"/>
  <c r="Y204" i="191" s="1"/>
  <c r="K196" i="189"/>
  <c r="K69" i="191" s="1"/>
  <c r="K174" i="191" s="1"/>
  <c r="Y167" i="189"/>
  <c r="Y39" i="191" s="1"/>
  <c r="Y144" i="191" s="1"/>
  <c r="J138" i="189"/>
  <c r="J140" i="193" s="1"/>
  <c r="J210" i="193" s="1"/>
  <c r="J240" i="193" s="1"/>
  <c r="U225" i="189"/>
  <c r="U99" i="191" s="1"/>
  <c r="U204" i="191" s="1"/>
  <c r="M138" i="189"/>
  <c r="M140" i="193" s="1"/>
  <c r="M210" i="193" s="1"/>
  <c r="M240" i="193" s="1"/>
  <c r="U167" i="189"/>
  <c r="U39" i="191" s="1"/>
  <c r="U144" i="191" s="1"/>
  <c r="P196" i="189"/>
  <c r="P69" i="191" s="1"/>
  <c r="P174" i="191" s="1"/>
  <c r="T225" i="189"/>
  <c r="T99" i="191" s="1"/>
  <c r="T204" i="191" s="1"/>
  <c r="V138" i="189"/>
  <c r="S167" i="189"/>
  <c r="S39" i="191" s="1"/>
  <c r="S144" i="191" s="1"/>
  <c r="P225" i="189"/>
  <c r="P99" i="191" s="1"/>
  <c r="P204" i="191" s="1"/>
  <c r="Q138" i="189"/>
  <c r="Q140" i="193" s="1"/>
  <c r="Q210" i="193" s="1"/>
  <c r="Q240" i="193" s="1"/>
  <c r="T167" i="189"/>
  <c r="T39" i="191" s="1"/>
  <c r="T144" i="191" s="1"/>
  <c r="S196" i="189"/>
  <c r="S69" i="191" s="1"/>
  <c r="S174" i="191" s="1"/>
  <c r="V196" i="189"/>
  <c r="V69" i="191" s="1"/>
  <c r="V174" i="191" s="1"/>
  <c r="M196" i="189"/>
  <c r="M69" i="191" s="1"/>
  <c r="M174" i="191" s="1"/>
  <c r="N225" i="189"/>
  <c r="N99" i="191" s="1"/>
  <c r="N204" i="191" s="1"/>
  <c r="U196" i="189"/>
  <c r="U69" i="191" s="1"/>
  <c r="U174" i="191" s="1"/>
  <c r="P138" i="189"/>
  <c r="P140" i="193" s="1"/>
  <c r="P210" i="193" s="1"/>
  <c r="P240" i="193" s="1"/>
  <c r="T196" i="189"/>
  <c r="T69" i="191" s="1"/>
  <c r="T174" i="191" s="1"/>
  <c r="O225" i="189"/>
  <c r="O99" i="191" s="1"/>
  <c r="O204" i="191" s="1"/>
  <c r="P167" i="189"/>
  <c r="P39" i="191" s="1"/>
  <c r="P144" i="191" s="1"/>
  <c r="S138" i="189"/>
  <c r="M225" i="189"/>
  <c r="M99" i="191" s="1"/>
  <c r="M204" i="191" s="1"/>
  <c r="K225" i="189"/>
  <c r="K99" i="191" s="1"/>
  <c r="K204" i="191" s="1"/>
  <c r="O196" i="189"/>
  <c r="O69" i="191" s="1"/>
  <c r="O174" i="191" s="1"/>
  <c r="J196" i="189"/>
  <c r="J69" i="191" s="1"/>
  <c r="J174" i="191" s="1"/>
  <c r="R167" i="189"/>
  <c r="R39" i="191" s="1"/>
  <c r="R144" i="191" s="1"/>
  <c r="V167" i="189"/>
  <c r="V39" i="191" s="1"/>
  <c r="V144" i="191" s="1"/>
  <c r="X138" i="189"/>
  <c r="T138" i="189"/>
  <c r="Q225" i="189"/>
  <c r="Q99" i="191" s="1"/>
  <c r="Q204" i="191" s="1"/>
  <c r="L138" i="189"/>
  <c r="L140" i="193" s="1"/>
  <c r="L210" i="193" s="1"/>
  <c r="L240" i="193" s="1"/>
  <c r="R196" i="189"/>
  <c r="R69" i="191" s="1"/>
  <c r="R174" i="191" s="1"/>
  <c r="W225" i="189"/>
  <c r="W99" i="191" s="1"/>
  <c r="W204" i="191" s="1"/>
  <c r="J167" i="189"/>
  <c r="J39" i="191" s="1"/>
  <c r="J144" i="191" s="1"/>
  <c r="J225" i="189"/>
  <c r="J99" i="191" s="1"/>
  <c r="J204" i="191" s="1"/>
  <c r="W167" i="189"/>
  <c r="W39" i="191" s="1"/>
  <c r="W144" i="191" s="1"/>
  <c r="Y138" i="189"/>
  <c r="U138" i="189"/>
  <c r="N196" i="189"/>
  <c r="N69" i="191" s="1"/>
  <c r="N174" i="191" s="1"/>
  <c r="R225" i="189"/>
  <c r="R99" i="191" s="1"/>
  <c r="R204" i="191" s="1"/>
  <c r="N167" i="189"/>
  <c r="N39" i="191" s="1"/>
  <c r="N144" i="191" s="1"/>
  <c r="Y196" i="189"/>
  <c r="Y69" i="191" s="1"/>
  <c r="Y174" i="191" s="1"/>
  <c r="X196" i="189"/>
  <c r="X69" i="191" s="1"/>
  <c r="X174" i="191" s="1"/>
  <c r="X167" i="189"/>
  <c r="X39" i="191" s="1"/>
  <c r="X144" i="191" s="1"/>
  <c r="W138" i="189"/>
  <c r="N138" i="189"/>
  <c r="N140" i="193" s="1"/>
  <c r="N210" i="193" s="1"/>
  <c r="N240" i="193" s="1"/>
  <c r="W196" i="189"/>
  <c r="W69" i="191" s="1"/>
  <c r="W174" i="191" s="1"/>
  <c r="V225" i="189"/>
  <c r="V99" i="191" s="1"/>
  <c r="V204" i="191" s="1"/>
  <c r="O138" i="189"/>
  <c r="O140" i="193" s="1"/>
  <c r="O210" i="193" s="1"/>
  <c r="O240" i="193" s="1"/>
  <c r="O167" i="189"/>
  <c r="O39" i="191" s="1"/>
  <c r="O144" i="191" s="1"/>
  <c r="K138" i="189"/>
  <c r="K140" i="193" s="1"/>
  <c r="K210" i="193" s="1"/>
  <c r="K240" i="193" s="1"/>
  <c r="L167" i="189"/>
  <c r="L39" i="191" s="1"/>
  <c r="L144" i="191" s="1"/>
  <c r="L196" i="189"/>
  <c r="L69" i="191" s="1"/>
  <c r="L174" i="191" s="1"/>
  <c r="L225" i="189"/>
  <c r="L99" i="191" s="1"/>
  <c r="L204" i="191" s="1"/>
  <c r="K167" i="189"/>
  <c r="K39" i="191" s="1"/>
  <c r="K144" i="191" s="1"/>
  <c r="Q196" i="189"/>
  <c r="Q69" i="191" s="1"/>
  <c r="Q174" i="191" s="1"/>
  <c r="Q167" i="189"/>
  <c r="Q39" i="191" s="1"/>
  <c r="Q144" i="191" s="1"/>
  <c r="S225" i="189"/>
  <c r="S99" i="191" s="1"/>
  <c r="S204" i="191" s="1"/>
  <c r="X225" i="189"/>
  <c r="X99" i="191" s="1"/>
  <c r="X204" i="191" s="1"/>
  <c r="Q229" i="189"/>
  <c r="Q103" i="191" s="1"/>
  <c r="Q208" i="191" s="1"/>
  <c r="N229" i="189"/>
  <c r="N103" i="191" s="1"/>
  <c r="N208" i="191" s="1"/>
  <c r="M171" i="189"/>
  <c r="M43" i="191" s="1"/>
  <c r="M148" i="191" s="1"/>
  <c r="J200" i="189"/>
  <c r="J73" i="191" s="1"/>
  <c r="J178" i="191" s="1"/>
  <c r="X171" i="189"/>
  <c r="X43" i="191" s="1"/>
  <c r="X148" i="191" s="1"/>
  <c r="K200" i="189"/>
  <c r="K73" i="191" s="1"/>
  <c r="K178" i="191" s="1"/>
  <c r="N142" i="189"/>
  <c r="N144" i="193" s="1"/>
  <c r="N214" i="193" s="1"/>
  <c r="N244" i="193" s="1"/>
  <c r="S229" i="189"/>
  <c r="S103" i="191" s="1"/>
  <c r="S208" i="191" s="1"/>
  <c r="V171" i="189"/>
  <c r="V43" i="191" s="1"/>
  <c r="V148" i="191" s="1"/>
  <c r="X200" i="189"/>
  <c r="X73" i="191" s="1"/>
  <c r="X178" i="191" s="1"/>
  <c r="V229" i="189"/>
  <c r="V103" i="191" s="1"/>
  <c r="V208" i="191" s="1"/>
  <c r="S142" i="189"/>
  <c r="L142" i="189"/>
  <c r="L144" i="193" s="1"/>
  <c r="L214" i="193" s="1"/>
  <c r="L244" i="193" s="1"/>
  <c r="O171" i="189"/>
  <c r="O43" i="191" s="1"/>
  <c r="O148" i="191" s="1"/>
  <c r="P200" i="189"/>
  <c r="P73" i="191" s="1"/>
  <c r="P178" i="191" s="1"/>
  <c r="K171" i="189"/>
  <c r="K43" i="191" s="1"/>
  <c r="K148" i="191" s="1"/>
  <c r="L171" i="189"/>
  <c r="L43" i="191" s="1"/>
  <c r="L148" i="191" s="1"/>
  <c r="Y142" i="189"/>
  <c r="Y229" i="189"/>
  <c r="Y103" i="191" s="1"/>
  <c r="Y208" i="191" s="1"/>
  <c r="O200" i="189"/>
  <c r="O73" i="191" s="1"/>
  <c r="O178" i="191" s="1"/>
  <c r="J142" i="189"/>
  <c r="J144" i="193" s="1"/>
  <c r="J214" i="193" s="1"/>
  <c r="J244" i="193" s="1"/>
  <c r="Y171" i="189"/>
  <c r="Y43" i="191" s="1"/>
  <c r="Y148" i="191" s="1"/>
  <c r="N200" i="189"/>
  <c r="N73" i="191" s="1"/>
  <c r="N178" i="191" s="1"/>
  <c r="M200" i="189"/>
  <c r="M73" i="191" s="1"/>
  <c r="M178" i="191" s="1"/>
  <c r="V200" i="189"/>
  <c r="V73" i="191" s="1"/>
  <c r="V178" i="191" s="1"/>
  <c r="Q142" i="189"/>
  <c r="Q144" i="193" s="1"/>
  <c r="Q214" i="193" s="1"/>
  <c r="Q244" i="193" s="1"/>
  <c r="T200" i="189"/>
  <c r="T73" i="191" s="1"/>
  <c r="T178" i="191" s="1"/>
  <c r="W142" i="189"/>
  <c r="O229" i="189"/>
  <c r="O103" i="191" s="1"/>
  <c r="O208" i="191" s="1"/>
  <c r="R200" i="189"/>
  <c r="R73" i="191" s="1"/>
  <c r="R178" i="191" s="1"/>
  <c r="U142" i="189"/>
  <c r="L200" i="189"/>
  <c r="L73" i="191" s="1"/>
  <c r="L178" i="191" s="1"/>
  <c r="S171" i="189"/>
  <c r="S43" i="191" s="1"/>
  <c r="S148" i="191" s="1"/>
  <c r="W229" i="189"/>
  <c r="W103" i="191" s="1"/>
  <c r="W208" i="191" s="1"/>
  <c r="V142" i="189"/>
  <c r="U200" i="189"/>
  <c r="U73" i="191" s="1"/>
  <c r="U178" i="191" s="1"/>
  <c r="L229" i="189"/>
  <c r="L103" i="191" s="1"/>
  <c r="L208" i="191" s="1"/>
  <c r="Q200" i="189"/>
  <c r="Q73" i="191" s="1"/>
  <c r="Q178" i="191" s="1"/>
  <c r="J229" i="189"/>
  <c r="J103" i="191" s="1"/>
  <c r="J208" i="191" s="1"/>
  <c r="U171" i="189"/>
  <c r="U43" i="191" s="1"/>
  <c r="U148" i="191" s="1"/>
  <c r="U229" i="189"/>
  <c r="U103" i="191" s="1"/>
  <c r="U208" i="191" s="1"/>
  <c r="P171" i="189"/>
  <c r="P43" i="191" s="1"/>
  <c r="P148" i="191" s="1"/>
  <c r="O142" i="189"/>
  <c r="O144" i="193" s="1"/>
  <c r="O214" i="193" s="1"/>
  <c r="O244" i="193" s="1"/>
  <c r="P142" i="189"/>
  <c r="P144" i="193" s="1"/>
  <c r="P214" i="193" s="1"/>
  <c r="P244" i="193" s="1"/>
  <c r="R142" i="189"/>
  <c r="W171" i="189"/>
  <c r="W43" i="191" s="1"/>
  <c r="W148" i="191" s="1"/>
  <c r="T142" i="189"/>
  <c r="K142" i="189"/>
  <c r="K144" i="193" s="1"/>
  <c r="K214" i="193" s="1"/>
  <c r="K244" i="193" s="1"/>
  <c r="K229" i="189"/>
  <c r="K103" i="191" s="1"/>
  <c r="K208" i="191" s="1"/>
  <c r="P229" i="189"/>
  <c r="P103" i="191" s="1"/>
  <c r="P208" i="191" s="1"/>
  <c r="X142" i="189"/>
  <c r="R171" i="189"/>
  <c r="R43" i="191" s="1"/>
  <c r="R148" i="191" s="1"/>
  <c r="R229" i="189"/>
  <c r="R103" i="191" s="1"/>
  <c r="R208" i="191" s="1"/>
  <c r="M142" i="189"/>
  <c r="M144" i="193" s="1"/>
  <c r="M214" i="193" s="1"/>
  <c r="M244" i="193" s="1"/>
  <c r="M229" i="189"/>
  <c r="M103" i="191" s="1"/>
  <c r="M208" i="191" s="1"/>
  <c r="X229" i="189"/>
  <c r="X103" i="191" s="1"/>
  <c r="X208" i="191" s="1"/>
  <c r="J171" i="189"/>
  <c r="J43" i="191" s="1"/>
  <c r="J148" i="191" s="1"/>
  <c r="S200" i="189"/>
  <c r="S73" i="191" s="1"/>
  <c r="S178" i="191" s="1"/>
  <c r="Q171" i="189"/>
  <c r="Q43" i="191" s="1"/>
  <c r="Q148" i="191" s="1"/>
  <c r="W200" i="189"/>
  <c r="W73" i="191" s="1"/>
  <c r="W178" i="191" s="1"/>
  <c r="Y200" i="189"/>
  <c r="Y73" i="191" s="1"/>
  <c r="Y178" i="191" s="1"/>
  <c r="N171" i="189"/>
  <c r="N43" i="191" s="1"/>
  <c r="N148" i="191" s="1"/>
  <c r="T171" i="189"/>
  <c r="T43" i="191" s="1"/>
  <c r="T148" i="191" s="1"/>
  <c r="T229" i="189"/>
  <c r="T103" i="191" s="1"/>
  <c r="T208" i="191" s="1"/>
  <c r="S166" i="189"/>
  <c r="S38" i="191" s="1"/>
  <c r="S143" i="191" s="1"/>
  <c r="U137" i="189"/>
  <c r="S195" i="189"/>
  <c r="S68" i="191" s="1"/>
  <c r="S173" i="191" s="1"/>
  <c r="X166" i="189"/>
  <c r="X38" i="191" s="1"/>
  <c r="X143" i="191" s="1"/>
  <c r="Q137" i="189"/>
  <c r="Q139" i="193" s="1"/>
  <c r="Q209" i="193" s="1"/>
  <c r="Q239" i="193" s="1"/>
  <c r="K137" i="189"/>
  <c r="K139" i="193" s="1"/>
  <c r="K209" i="193" s="1"/>
  <c r="K239" i="193" s="1"/>
  <c r="O195" i="189"/>
  <c r="O68" i="191" s="1"/>
  <c r="O173" i="191" s="1"/>
  <c r="K224" i="189"/>
  <c r="K98" i="191" s="1"/>
  <c r="K203" i="191" s="1"/>
  <c r="K195" i="189"/>
  <c r="K68" i="191" s="1"/>
  <c r="K173" i="191" s="1"/>
  <c r="W166" i="189"/>
  <c r="W38" i="191" s="1"/>
  <c r="W143" i="191" s="1"/>
  <c r="Y137" i="189"/>
  <c r="W195" i="189"/>
  <c r="W68" i="191" s="1"/>
  <c r="W173" i="191" s="1"/>
  <c r="N224" i="189"/>
  <c r="N98" i="191" s="1"/>
  <c r="N203" i="191" s="1"/>
  <c r="K166" i="189"/>
  <c r="K38" i="191" s="1"/>
  <c r="K143" i="191" s="1"/>
  <c r="L195" i="189"/>
  <c r="L68" i="191" s="1"/>
  <c r="L173" i="191" s="1"/>
  <c r="U166" i="189"/>
  <c r="U38" i="191" s="1"/>
  <c r="U143" i="191" s="1"/>
  <c r="V195" i="189"/>
  <c r="V68" i="191" s="1"/>
  <c r="V173" i="191" s="1"/>
  <c r="L166" i="189"/>
  <c r="L38" i="191" s="1"/>
  <c r="L143" i="191" s="1"/>
  <c r="P195" i="189"/>
  <c r="P68" i="191" s="1"/>
  <c r="P173" i="191" s="1"/>
  <c r="U224" i="189"/>
  <c r="U98" i="191" s="1"/>
  <c r="U203" i="191" s="1"/>
  <c r="R137" i="189"/>
  <c r="R195" i="189"/>
  <c r="R68" i="191" s="1"/>
  <c r="R173" i="191" s="1"/>
  <c r="J166" i="189"/>
  <c r="J38" i="191" s="1"/>
  <c r="J143" i="191" s="1"/>
  <c r="T137" i="189"/>
  <c r="L137" i="189"/>
  <c r="L139" i="193" s="1"/>
  <c r="L209" i="193" s="1"/>
  <c r="L239" i="193" s="1"/>
  <c r="T166" i="189"/>
  <c r="T38" i="191" s="1"/>
  <c r="T143" i="191" s="1"/>
  <c r="R224" i="189"/>
  <c r="R98" i="191" s="1"/>
  <c r="R203" i="191" s="1"/>
  <c r="V137" i="189"/>
  <c r="V166" i="189"/>
  <c r="V38" i="191" s="1"/>
  <c r="V143" i="191" s="1"/>
  <c r="S137" i="189"/>
  <c r="U195" i="189"/>
  <c r="U68" i="191" s="1"/>
  <c r="U173" i="191" s="1"/>
  <c r="V224" i="189"/>
  <c r="V98" i="191" s="1"/>
  <c r="V203" i="191" s="1"/>
  <c r="Q166" i="189"/>
  <c r="Q38" i="191" s="1"/>
  <c r="Q143" i="191" s="1"/>
  <c r="M224" i="189"/>
  <c r="M98" i="191" s="1"/>
  <c r="M203" i="191" s="1"/>
  <c r="O166" i="189"/>
  <c r="O38" i="191" s="1"/>
  <c r="O143" i="191" s="1"/>
  <c r="Q195" i="189"/>
  <c r="Q68" i="191" s="1"/>
  <c r="Q173" i="191" s="1"/>
  <c r="N166" i="189"/>
  <c r="N38" i="191" s="1"/>
  <c r="N143" i="191" s="1"/>
  <c r="W224" i="189"/>
  <c r="W98" i="191" s="1"/>
  <c r="W203" i="191" s="1"/>
  <c r="J195" i="189"/>
  <c r="J68" i="191" s="1"/>
  <c r="J173" i="191" s="1"/>
  <c r="P137" i="189"/>
  <c r="P139" i="193" s="1"/>
  <c r="P209" i="193" s="1"/>
  <c r="P239" i="193" s="1"/>
  <c r="M137" i="189"/>
  <c r="M139" i="193" s="1"/>
  <c r="M209" i="193" s="1"/>
  <c r="M239" i="193" s="1"/>
  <c r="T195" i="189"/>
  <c r="T68" i="191" s="1"/>
  <c r="T173" i="191" s="1"/>
  <c r="T224" i="189"/>
  <c r="T98" i="191" s="1"/>
  <c r="T203" i="191" s="1"/>
  <c r="Y166" i="189"/>
  <c r="Y38" i="191" s="1"/>
  <c r="Y143" i="191" s="1"/>
  <c r="M166" i="189"/>
  <c r="M38" i="191" s="1"/>
  <c r="M143" i="191" s="1"/>
  <c r="L224" i="189"/>
  <c r="L98" i="191" s="1"/>
  <c r="L203" i="191" s="1"/>
  <c r="P224" i="189"/>
  <c r="P98" i="191" s="1"/>
  <c r="P203" i="191" s="1"/>
  <c r="J224" i="189"/>
  <c r="J98" i="191" s="1"/>
  <c r="J203" i="191" s="1"/>
  <c r="R166" i="189"/>
  <c r="R38" i="191" s="1"/>
  <c r="R143" i="191" s="1"/>
  <c r="P166" i="189"/>
  <c r="P38" i="191" s="1"/>
  <c r="P143" i="191" s="1"/>
  <c r="Q224" i="189"/>
  <c r="Q98" i="191" s="1"/>
  <c r="Q203" i="191" s="1"/>
  <c r="S224" i="189"/>
  <c r="S98" i="191" s="1"/>
  <c r="S203" i="191" s="1"/>
  <c r="M195" i="189"/>
  <c r="M68" i="191" s="1"/>
  <c r="M173" i="191" s="1"/>
  <c r="N195" i="189"/>
  <c r="N68" i="191" s="1"/>
  <c r="N173" i="191" s="1"/>
  <c r="O224" i="189"/>
  <c r="O98" i="191" s="1"/>
  <c r="O203" i="191" s="1"/>
  <c r="X195" i="189"/>
  <c r="X68" i="191" s="1"/>
  <c r="X173" i="191" s="1"/>
  <c r="O137" i="189"/>
  <c r="O139" i="193" s="1"/>
  <c r="O209" i="193" s="1"/>
  <c r="O239" i="193" s="1"/>
  <c r="Y195" i="189"/>
  <c r="Y68" i="191" s="1"/>
  <c r="Y173" i="191" s="1"/>
  <c r="N137" i="189"/>
  <c r="N139" i="193" s="1"/>
  <c r="N209" i="193" s="1"/>
  <c r="N239" i="193" s="1"/>
  <c r="X137" i="189"/>
  <c r="Y224" i="189"/>
  <c r="Y98" i="191" s="1"/>
  <c r="Y203" i="191" s="1"/>
  <c r="J137" i="189"/>
  <c r="J139" i="193" s="1"/>
  <c r="J209" i="193" s="1"/>
  <c r="J239" i="193" s="1"/>
  <c r="X224" i="189"/>
  <c r="X98" i="191" s="1"/>
  <c r="X203" i="191" s="1"/>
  <c r="W137" i="189"/>
  <c r="K168" i="189"/>
  <c r="K40" i="191" s="1"/>
  <c r="K145" i="191" s="1"/>
  <c r="M168" i="189"/>
  <c r="M40" i="191" s="1"/>
  <c r="M145" i="191" s="1"/>
  <c r="P139" i="189"/>
  <c r="P141" i="193" s="1"/>
  <c r="P211" i="193" s="1"/>
  <c r="P241" i="193" s="1"/>
  <c r="K197" i="189"/>
  <c r="K70" i="191" s="1"/>
  <c r="K175" i="191" s="1"/>
  <c r="W168" i="189"/>
  <c r="W40" i="191" s="1"/>
  <c r="W145" i="191" s="1"/>
  <c r="U226" i="189"/>
  <c r="U100" i="191" s="1"/>
  <c r="U205" i="191" s="1"/>
  <c r="V226" i="189"/>
  <c r="V100" i="191" s="1"/>
  <c r="V205" i="191" s="1"/>
  <c r="X139" i="189"/>
  <c r="X168" i="189"/>
  <c r="X40" i="191" s="1"/>
  <c r="X145" i="191" s="1"/>
  <c r="K226" i="189"/>
  <c r="K100" i="191" s="1"/>
  <c r="K205" i="191" s="1"/>
  <c r="N226" i="189"/>
  <c r="N100" i="191" s="1"/>
  <c r="N205" i="191" s="1"/>
  <c r="U139" i="189"/>
  <c r="O168" i="189"/>
  <c r="O40" i="191" s="1"/>
  <c r="O145" i="191" s="1"/>
  <c r="S168" i="189"/>
  <c r="S40" i="191" s="1"/>
  <c r="S145" i="191" s="1"/>
  <c r="W139" i="189"/>
  <c r="P168" i="189"/>
  <c r="P40" i="191" s="1"/>
  <c r="P145" i="191" s="1"/>
  <c r="T168" i="189"/>
  <c r="T40" i="191" s="1"/>
  <c r="T145" i="191" s="1"/>
  <c r="R226" i="189"/>
  <c r="R100" i="191" s="1"/>
  <c r="R205" i="191" s="1"/>
  <c r="U168" i="189"/>
  <c r="U40" i="191" s="1"/>
  <c r="U145" i="191" s="1"/>
  <c r="J139" i="189"/>
  <c r="J141" i="193" s="1"/>
  <c r="J211" i="193" s="1"/>
  <c r="J241" i="193" s="1"/>
  <c r="J197" i="189"/>
  <c r="J70" i="191" s="1"/>
  <c r="J175" i="191" s="1"/>
  <c r="Y197" i="189"/>
  <c r="Y70" i="191" s="1"/>
  <c r="Y175" i="191" s="1"/>
  <c r="N168" i="189"/>
  <c r="N40" i="191" s="1"/>
  <c r="N145" i="191" s="1"/>
  <c r="V139" i="189"/>
  <c r="S139" i="189"/>
  <c r="R139" i="189"/>
  <c r="L168" i="189"/>
  <c r="L40" i="191" s="1"/>
  <c r="L145" i="191" s="1"/>
  <c r="O139" i="189"/>
  <c r="O141" i="193" s="1"/>
  <c r="O211" i="193" s="1"/>
  <c r="O241" i="193" s="1"/>
  <c r="M226" i="189"/>
  <c r="M100" i="191" s="1"/>
  <c r="M205" i="191" s="1"/>
  <c r="M197" i="189"/>
  <c r="M70" i="191" s="1"/>
  <c r="M175" i="191" s="1"/>
  <c r="U197" i="189"/>
  <c r="U70" i="191" s="1"/>
  <c r="U175" i="191" s="1"/>
  <c r="Q139" i="189"/>
  <c r="Q141" i="193" s="1"/>
  <c r="Q211" i="193" s="1"/>
  <c r="Q241" i="193" s="1"/>
  <c r="X197" i="189"/>
  <c r="X70" i="191" s="1"/>
  <c r="X175" i="191" s="1"/>
  <c r="Y168" i="189"/>
  <c r="Y40" i="191" s="1"/>
  <c r="Y145" i="191" s="1"/>
  <c r="L139" i="189"/>
  <c r="L141" i="193" s="1"/>
  <c r="L211" i="193" s="1"/>
  <c r="L241" i="193" s="1"/>
  <c r="L197" i="189"/>
  <c r="L70" i="191" s="1"/>
  <c r="L175" i="191" s="1"/>
  <c r="J226" i="189"/>
  <c r="J100" i="191" s="1"/>
  <c r="J205" i="191" s="1"/>
  <c r="N197" i="189"/>
  <c r="N70" i="191" s="1"/>
  <c r="N175" i="191" s="1"/>
  <c r="X226" i="189"/>
  <c r="X100" i="191" s="1"/>
  <c r="X205" i="191" s="1"/>
  <c r="O197" i="189"/>
  <c r="O70" i="191" s="1"/>
  <c r="O175" i="191" s="1"/>
  <c r="W226" i="189"/>
  <c r="W100" i="191" s="1"/>
  <c r="W205" i="191" s="1"/>
  <c r="M139" i="189"/>
  <c r="M141" i="193" s="1"/>
  <c r="M211" i="193" s="1"/>
  <c r="M241" i="193" s="1"/>
  <c r="Q226" i="189"/>
  <c r="Q100" i="191" s="1"/>
  <c r="Q205" i="191" s="1"/>
  <c r="T226" i="189"/>
  <c r="T100" i="191" s="1"/>
  <c r="T205" i="191" s="1"/>
  <c r="K139" i="189"/>
  <c r="K141" i="193" s="1"/>
  <c r="K211" i="193" s="1"/>
  <c r="K241" i="193" s="1"/>
  <c r="T197" i="189"/>
  <c r="T70" i="191" s="1"/>
  <c r="T175" i="191" s="1"/>
  <c r="W197" i="189"/>
  <c r="W70" i="191" s="1"/>
  <c r="W175" i="191" s="1"/>
  <c r="T139" i="189"/>
  <c r="R197" i="189"/>
  <c r="R70" i="191" s="1"/>
  <c r="R175" i="191" s="1"/>
  <c r="O226" i="189"/>
  <c r="O100" i="191" s="1"/>
  <c r="O205" i="191" s="1"/>
  <c r="S226" i="189"/>
  <c r="S100" i="191" s="1"/>
  <c r="S205" i="191" s="1"/>
  <c r="J168" i="189"/>
  <c r="J40" i="191" s="1"/>
  <c r="J145" i="191" s="1"/>
  <c r="P197" i="189"/>
  <c r="P70" i="191" s="1"/>
  <c r="P175" i="191" s="1"/>
  <c r="P226" i="189"/>
  <c r="P100" i="191" s="1"/>
  <c r="P205" i="191" s="1"/>
  <c r="V168" i="189"/>
  <c r="V40" i="191" s="1"/>
  <c r="V145" i="191" s="1"/>
  <c r="Y226" i="189"/>
  <c r="Y100" i="191" s="1"/>
  <c r="Y205" i="191" s="1"/>
  <c r="S197" i="189"/>
  <c r="S70" i="191" s="1"/>
  <c r="S175" i="191" s="1"/>
  <c r="Q168" i="189"/>
  <c r="Q40" i="191" s="1"/>
  <c r="Q145" i="191" s="1"/>
  <c r="V197" i="189"/>
  <c r="V70" i="191" s="1"/>
  <c r="V175" i="191" s="1"/>
  <c r="R168" i="189"/>
  <c r="R40" i="191" s="1"/>
  <c r="R145" i="191" s="1"/>
  <c r="Y139" i="189"/>
  <c r="N139" i="189"/>
  <c r="N141" i="193" s="1"/>
  <c r="N211" i="193" s="1"/>
  <c r="N241" i="193" s="1"/>
  <c r="Q197" i="189"/>
  <c r="Q70" i="191" s="1"/>
  <c r="Q175" i="191" s="1"/>
  <c r="L226" i="189"/>
  <c r="L100" i="191" s="1"/>
  <c r="L205" i="191" s="1"/>
  <c r="X194" i="189"/>
  <c r="X67" i="191" s="1"/>
  <c r="X172" i="191" s="1"/>
  <c r="N194" i="189"/>
  <c r="N67" i="191" s="1"/>
  <c r="N172" i="191" s="1"/>
  <c r="K165" i="189"/>
  <c r="K37" i="191" s="1"/>
  <c r="K142" i="191" s="1"/>
  <c r="Q136" i="189"/>
  <c r="Q138" i="193" s="1"/>
  <c r="Q208" i="193" s="1"/>
  <c r="Q238" i="193" s="1"/>
  <c r="V136" i="189"/>
  <c r="J136" i="189"/>
  <c r="J138" i="193" s="1"/>
  <c r="J208" i="193" s="1"/>
  <c r="J238" i="193" s="1"/>
  <c r="M223" i="189"/>
  <c r="M97" i="191" s="1"/>
  <c r="M202" i="191" s="1"/>
  <c r="X223" i="189"/>
  <c r="X97" i="191" s="1"/>
  <c r="X202" i="191" s="1"/>
  <c r="V223" i="189"/>
  <c r="V97" i="191" s="1"/>
  <c r="V202" i="191" s="1"/>
  <c r="S136" i="189"/>
  <c r="Y223" i="189"/>
  <c r="Y97" i="191" s="1"/>
  <c r="Y202" i="191" s="1"/>
  <c r="N223" i="189"/>
  <c r="N97" i="191" s="1"/>
  <c r="N202" i="191" s="1"/>
  <c r="T194" i="189"/>
  <c r="T67" i="191" s="1"/>
  <c r="T172" i="191" s="1"/>
  <c r="K194" i="189"/>
  <c r="K67" i="191" s="1"/>
  <c r="K172" i="191" s="1"/>
  <c r="U136" i="189"/>
  <c r="M165" i="189"/>
  <c r="M37" i="191" s="1"/>
  <c r="M142" i="191" s="1"/>
  <c r="P136" i="189"/>
  <c r="P138" i="193" s="1"/>
  <c r="P208" i="193" s="1"/>
  <c r="P238" i="193" s="1"/>
  <c r="S194" i="189"/>
  <c r="S67" i="191" s="1"/>
  <c r="S172" i="191" s="1"/>
  <c r="Y136" i="189"/>
  <c r="O194" i="189"/>
  <c r="O67" i="191" s="1"/>
  <c r="O172" i="191" s="1"/>
  <c r="V194" i="189"/>
  <c r="V67" i="191" s="1"/>
  <c r="V172" i="191" s="1"/>
  <c r="J223" i="189"/>
  <c r="J97" i="191" s="1"/>
  <c r="J202" i="191" s="1"/>
  <c r="P194" i="189"/>
  <c r="P67" i="191" s="1"/>
  <c r="P172" i="191" s="1"/>
  <c r="O136" i="189"/>
  <c r="O138" i="193" s="1"/>
  <c r="O208" i="193" s="1"/>
  <c r="O238" i="193" s="1"/>
  <c r="J165" i="189"/>
  <c r="J37" i="191" s="1"/>
  <c r="J142" i="191" s="1"/>
  <c r="P165" i="189"/>
  <c r="P37" i="191" s="1"/>
  <c r="P142" i="191" s="1"/>
  <c r="U194" i="189"/>
  <c r="U67" i="191" s="1"/>
  <c r="U172" i="191" s="1"/>
  <c r="R223" i="189"/>
  <c r="R97" i="191" s="1"/>
  <c r="R202" i="191" s="1"/>
  <c r="J194" i="189"/>
  <c r="J67" i="191" s="1"/>
  <c r="J172" i="191" s="1"/>
  <c r="K136" i="189"/>
  <c r="K138" i="193" s="1"/>
  <c r="K208" i="193" s="1"/>
  <c r="K238" i="193" s="1"/>
  <c r="Y165" i="189"/>
  <c r="Y37" i="191" s="1"/>
  <c r="Y142" i="191" s="1"/>
  <c r="S223" i="189"/>
  <c r="S97" i="191" s="1"/>
  <c r="S202" i="191" s="1"/>
  <c r="L223" i="189"/>
  <c r="L97" i="191" s="1"/>
  <c r="L202" i="191" s="1"/>
  <c r="Q165" i="189"/>
  <c r="Q37" i="191" s="1"/>
  <c r="Q142" i="191" s="1"/>
  <c r="S165" i="189"/>
  <c r="S37" i="191" s="1"/>
  <c r="S142" i="191" s="1"/>
  <c r="T136" i="189"/>
  <c r="L165" i="189"/>
  <c r="L37" i="191" s="1"/>
  <c r="L142" i="191" s="1"/>
  <c r="R165" i="189"/>
  <c r="R37" i="191" s="1"/>
  <c r="R142" i="191" s="1"/>
  <c r="L194" i="189"/>
  <c r="L67" i="191" s="1"/>
  <c r="L172" i="191" s="1"/>
  <c r="X165" i="189"/>
  <c r="X37" i="191" s="1"/>
  <c r="X142" i="191" s="1"/>
  <c r="Q223" i="189"/>
  <c r="Q97" i="191" s="1"/>
  <c r="Q202" i="191" s="1"/>
  <c r="Y194" i="189"/>
  <c r="Y67" i="191" s="1"/>
  <c r="Y172" i="191" s="1"/>
  <c r="U165" i="189"/>
  <c r="U37" i="191" s="1"/>
  <c r="U142" i="191" s="1"/>
  <c r="W194" i="189"/>
  <c r="W67" i="191" s="1"/>
  <c r="W172" i="191" s="1"/>
  <c r="O165" i="189"/>
  <c r="O37" i="191" s="1"/>
  <c r="O142" i="191" s="1"/>
  <c r="V165" i="189"/>
  <c r="V37" i="191" s="1"/>
  <c r="V142" i="191" s="1"/>
  <c r="O223" i="189"/>
  <c r="O97" i="191" s="1"/>
  <c r="O202" i="191" s="1"/>
  <c r="N165" i="189"/>
  <c r="N37" i="191" s="1"/>
  <c r="N142" i="191" s="1"/>
  <c r="R194" i="189"/>
  <c r="R67" i="191" s="1"/>
  <c r="R172" i="191" s="1"/>
  <c r="R136" i="189"/>
  <c r="N136" i="189"/>
  <c r="N138" i="193" s="1"/>
  <c r="N208" i="193" s="1"/>
  <c r="N238" i="193" s="1"/>
  <c r="U223" i="189"/>
  <c r="U97" i="191" s="1"/>
  <c r="U202" i="191" s="1"/>
  <c r="T165" i="189"/>
  <c r="T37" i="191" s="1"/>
  <c r="T142" i="191" s="1"/>
  <c r="T223" i="189"/>
  <c r="T97" i="191" s="1"/>
  <c r="T202" i="191" s="1"/>
  <c r="W223" i="189"/>
  <c r="W97" i="191" s="1"/>
  <c r="W202" i="191" s="1"/>
  <c r="X136" i="189"/>
  <c r="W165" i="189"/>
  <c r="W37" i="191" s="1"/>
  <c r="W142" i="191" s="1"/>
  <c r="W136" i="189"/>
  <c r="P223" i="189"/>
  <c r="P97" i="191" s="1"/>
  <c r="P202" i="191" s="1"/>
  <c r="Q194" i="189"/>
  <c r="Q67" i="191" s="1"/>
  <c r="Q172" i="191" s="1"/>
  <c r="K223" i="189"/>
  <c r="K97" i="191" s="1"/>
  <c r="K202" i="191" s="1"/>
  <c r="M194" i="189"/>
  <c r="M67" i="191" s="1"/>
  <c r="M172" i="191" s="1"/>
  <c r="L136" i="189"/>
  <c r="L138" i="193" s="1"/>
  <c r="L208" i="193" s="1"/>
  <c r="L238" i="193" s="1"/>
  <c r="M136" i="189"/>
  <c r="M138" i="193" s="1"/>
  <c r="M208" i="193" s="1"/>
  <c r="M238" i="193" s="1"/>
  <c r="V173" i="193"/>
  <c r="V208" i="193" s="1"/>
  <c r="V238" i="193" s="1"/>
  <c r="W173" i="193"/>
  <c r="W208" i="193" s="1"/>
  <c r="W238" i="193" s="1"/>
  <c r="T173" i="193"/>
  <c r="T208" i="193" s="1"/>
  <c r="T238" i="193" s="1"/>
  <c r="R173" i="193"/>
  <c r="R208" i="193" s="1"/>
  <c r="R238" i="193" s="1"/>
  <c r="Y173" i="193"/>
  <c r="Y208" i="193" s="1"/>
  <c r="Y238" i="193" s="1"/>
  <c r="S173" i="193"/>
  <c r="S208" i="193" s="1"/>
  <c r="S238" i="193" s="1"/>
  <c r="X173" i="193"/>
  <c r="X208" i="193" s="1"/>
  <c r="X238" i="193" s="1"/>
  <c r="U173" i="193"/>
  <c r="U208" i="193" s="1"/>
  <c r="U238" i="193" s="1"/>
  <c r="X177" i="193"/>
  <c r="X212" i="193" s="1"/>
  <c r="X242" i="193" s="1"/>
  <c r="U177" i="193"/>
  <c r="U212" i="193" s="1"/>
  <c r="U242" i="193" s="1"/>
  <c r="R177" i="193"/>
  <c r="R212" i="193" s="1"/>
  <c r="R242" i="193" s="1"/>
  <c r="S177" i="193"/>
  <c r="S212" i="193" s="1"/>
  <c r="S242" i="193" s="1"/>
  <c r="T177" i="193"/>
  <c r="T212" i="193" s="1"/>
  <c r="T242" i="193" s="1"/>
  <c r="Y177" i="193"/>
  <c r="Y212" i="193" s="1"/>
  <c r="Y242" i="193" s="1"/>
  <c r="W177" i="193"/>
  <c r="W212" i="193" s="1"/>
  <c r="W242" i="193" s="1"/>
  <c r="V177" i="193"/>
  <c r="V212" i="193" s="1"/>
  <c r="V242" i="193" s="1"/>
  <c r="T179" i="193"/>
  <c r="T214" i="193" s="1"/>
  <c r="T244" i="193" s="1"/>
  <c r="W179" i="193"/>
  <c r="W214" i="193" s="1"/>
  <c r="W244" i="193" s="1"/>
  <c r="V179" i="193"/>
  <c r="V214" i="193" s="1"/>
  <c r="V244" i="193" s="1"/>
  <c r="U179" i="193"/>
  <c r="U214" i="193" s="1"/>
  <c r="U244" i="193" s="1"/>
  <c r="S179" i="193"/>
  <c r="S214" i="193" s="1"/>
  <c r="S244" i="193" s="1"/>
  <c r="R179" i="193"/>
  <c r="R214" i="193" s="1"/>
  <c r="R244" i="193" s="1"/>
  <c r="X179" i="193"/>
  <c r="X214" i="193" s="1"/>
  <c r="X244" i="193" s="1"/>
  <c r="Y179" i="193"/>
  <c r="Y214" i="193" s="1"/>
  <c r="Y244" i="193" s="1"/>
  <c r="L150" i="192"/>
  <c r="N150" i="192"/>
  <c r="P150" i="192"/>
  <c r="L180" i="192"/>
  <c r="L240" i="192" s="1"/>
  <c r="O180" i="192"/>
  <c r="O240" i="192" s="1"/>
  <c r="K180" i="192"/>
  <c r="K240" i="192" s="1"/>
  <c r="J150" i="192"/>
  <c r="J180" i="192"/>
  <c r="J240" i="192" s="1"/>
  <c r="P180" i="192"/>
  <c r="P240" i="192" s="1"/>
  <c r="O150" i="192"/>
  <c r="K150" i="192"/>
  <c r="M150" i="192"/>
  <c r="Q150" i="192"/>
  <c r="N180" i="192"/>
  <c r="N240" i="192" s="1"/>
  <c r="M180" i="192"/>
  <c r="M240" i="192" s="1"/>
  <c r="Q180" i="192"/>
  <c r="Q240" i="192" s="1"/>
  <c r="L185" i="192"/>
  <c r="L245" i="192" s="1"/>
  <c r="K155" i="192"/>
  <c r="K185" i="192"/>
  <c r="K245" i="192" s="1"/>
  <c r="Q185" i="192"/>
  <c r="Q245" i="192" s="1"/>
  <c r="N155" i="192"/>
  <c r="M155" i="192"/>
  <c r="L155" i="192"/>
  <c r="O185" i="192"/>
  <c r="O245" i="192" s="1"/>
  <c r="Q155" i="192"/>
  <c r="M185" i="192"/>
  <c r="M245" i="192" s="1"/>
  <c r="J185" i="192"/>
  <c r="J245" i="192" s="1"/>
  <c r="O155" i="192"/>
  <c r="P155" i="192"/>
  <c r="N185" i="192"/>
  <c r="N245" i="192" s="1"/>
  <c r="P185" i="192"/>
  <c r="P245" i="192" s="1"/>
  <c r="J155" i="192"/>
  <c r="V227" i="189"/>
  <c r="V101" i="191" s="1"/>
  <c r="V206" i="191" s="1"/>
  <c r="S140" i="189"/>
  <c r="K227" i="189"/>
  <c r="K101" i="191" s="1"/>
  <c r="K206" i="191" s="1"/>
  <c r="T169" i="189"/>
  <c r="T41" i="191" s="1"/>
  <c r="T146" i="191" s="1"/>
  <c r="Q140" i="189"/>
  <c r="Q142" i="193" s="1"/>
  <c r="Q212" i="193" s="1"/>
  <c r="Q242" i="193" s="1"/>
  <c r="O227" i="189"/>
  <c r="O101" i="191" s="1"/>
  <c r="O206" i="191" s="1"/>
  <c r="P227" i="189"/>
  <c r="P101" i="191" s="1"/>
  <c r="P206" i="191" s="1"/>
  <c r="O169" i="189"/>
  <c r="O41" i="191" s="1"/>
  <c r="O146" i="191" s="1"/>
  <c r="Y227" i="189"/>
  <c r="Y101" i="191" s="1"/>
  <c r="Y206" i="191" s="1"/>
  <c r="Q169" i="189"/>
  <c r="Q41" i="191" s="1"/>
  <c r="Q146" i="191" s="1"/>
  <c r="U198" i="189"/>
  <c r="U71" i="191" s="1"/>
  <c r="U176" i="191" s="1"/>
  <c r="N198" i="189"/>
  <c r="N71" i="191" s="1"/>
  <c r="N176" i="191" s="1"/>
  <c r="S169" i="189"/>
  <c r="S41" i="191" s="1"/>
  <c r="S146" i="191" s="1"/>
  <c r="J169" i="189"/>
  <c r="J41" i="191" s="1"/>
  <c r="J146" i="191" s="1"/>
  <c r="R169" i="189"/>
  <c r="R41" i="191" s="1"/>
  <c r="R146" i="191" s="1"/>
  <c r="O198" i="189"/>
  <c r="O71" i="191" s="1"/>
  <c r="O176" i="191" s="1"/>
  <c r="P169" i="189"/>
  <c r="P41" i="191" s="1"/>
  <c r="P146" i="191" s="1"/>
  <c r="Y140" i="189"/>
  <c r="L198" i="189"/>
  <c r="L71" i="191" s="1"/>
  <c r="L176" i="191" s="1"/>
  <c r="K140" i="189"/>
  <c r="K142" i="193" s="1"/>
  <c r="K212" i="193" s="1"/>
  <c r="K242" i="193" s="1"/>
  <c r="T140" i="189"/>
  <c r="Q198" i="189"/>
  <c r="Q71" i="191" s="1"/>
  <c r="Q176" i="191" s="1"/>
  <c r="W227" i="189"/>
  <c r="W101" i="191" s="1"/>
  <c r="W206" i="191" s="1"/>
  <c r="O140" i="189"/>
  <c r="O142" i="193" s="1"/>
  <c r="O212" i="193" s="1"/>
  <c r="O242" i="193" s="1"/>
  <c r="P198" i="189"/>
  <c r="P71" i="191" s="1"/>
  <c r="P176" i="191" s="1"/>
  <c r="R227" i="189"/>
  <c r="R101" i="191" s="1"/>
  <c r="R206" i="191" s="1"/>
  <c r="K169" i="189"/>
  <c r="K41" i="191" s="1"/>
  <c r="K146" i="191" s="1"/>
  <c r="W169" i="189"/>
  <c r="W41" i="191" s="1"/>
  <c r="W146" i="191" s="1"/>
  <c r="N169" i="189"/>
  <c r="N41" i="191" s="1"/>
  <c r="N146" i="191" s="1"/>
  <c r="M227" i="189"/>
  <c r="M101" i="191" s="1"/>
  <c r="M206" i="191" s="1"/>
  <c r="U169" i="189"/>
  <c r="U41" i="191" s="1"/>
  <c r="U146" i="191" s="1"/>
  <c r="W198" i="189"/>
  <c r="W71" i="191" s="1"/>
  <c r="W176" i="191" s="1"/>
  <c r="P140" i="189"/>
  <c r="P142" i="193" s="1"/>
  <c r="P212" i="193" s="1"/>
  <c r="P242" i="193" s="1"/>
  <c r="W140" i="189"/>
  <c r="N227" i="189"/>
  <c r="N101" i="191" s="1"/>
  <c r="N206" i="191" s="1"/>
  <c r="U227" i="189"/>
  <c r="U101" i="191" s="1"/>
  <c r="U206" i="191" s="1"/>
  <c r="X227" i="189"/>
  <c r="X101" i="191" s="1"/>
  <c r="X206" i="191" s="1"/>
  <c r="K198" i="189"/>
  <c r="K71" i="191" s="1"/>
  <c r="K176" i="191" s="1"/>
  <c r="Y169" i="189"/>
  <c r="Y41" i="191" s="1"/>
  <c r="Y146" i="191" s="1"/>
  <c r="V169" i="189"/>
  <c r="V41" i="191" s="1"/>
  <c r="V146" i="191" s="1"/>
  <c r="L227" i="189"/>
  <c r="L101" i="191" s="1"/>
  <c r="L206" i="191" s="1"/>
  <c r="U140" i="189"/>
  <c r="M140" i="189"/>
  <c r="M142" i="193" s="1"/>
  <c r="M212" i="193" s="1"/>
  <c r="M242" i="193" s="1"/>
  <c r="M169" i="189"/>
  <c r="M41" i="191" s="1"/>
  <c r="M146" i="191" s="1"/>
  <c r="S198" i="189"/>
  <c r="S71" i="191" s="1"/>
  <c r="S176" i="191" s="1"/>
  <c r="L169" i="189"/>
  <c r="L41" i="191" s="1"/>
  <c r="L146" i="191" s="1"/>
  <c r="R140" i="189"/>
  <c r="Q227" i="189"/>
  <c r="Q101" i="191" s="1"/>
  <c r="Q206" i="191" s="1"/>
  <c r="X198" i="189"/>
  <c r="X71" i="191" s="1"/>
  <c r="X176" i="191" s="1"/>
  <c r="X140" i="189"/>
  <c r="J227" i="189"/>
  <c r="J101" i="191" s="1"/>
  <c r="J206" i="191" s="1"/>
  <c r="R198" i="189"/>
  <c r="R71" i="191" s="1"/>
  <c r="R176" i="191" s="1"/>
  <c r="V140" i="189"/>
  <c r="X169" i="189"/>
  <c r="X41" i="191" s="1"/>
  <c r="X146" i="191" s="1"/>
  <c r="J140" i="189"/>
  <c r="J142" i="193" s="1"/>
  <c r="J212" i="193" s="1"/>
  <c r="J242" i="193" s="1"/>
  <c r="N140" i="189"/>
  <c r="N142" i="193" s="1"/>
  <c r="N212" i="193" s="1"/>
  <c r="N242" i="193" s="1"/>
  <c r="S227" i="189"/>
  <c r="S101" i="191" s="1"/>
  <c r="S206" i="191" s="1"/>
  <c r="M198" i="189"/>
  <c r="M71" i="191" s="1"/>
  <c r="M176" i="191" s="1"/>
  <c r="T198" i="189"/>
  <c r="T71" i="191" s="1"/>
  <c r="T176" i="191" s="1"/>
  <c r="T227" i="189"/>
  <c r="T101" i="191" s="1"/>
  <c r="T206" i="191" s="1"/>
  <c r="J198" i="189"/>
  <c r="J71" i="191" s="1"/>
  <c r="J176" i="191" s="1"/>
  <c r="Y198" i="189"/>
  <c r="Y71" i="191" s="1"/>
  <c r="Y176" i="191" s="1"/>
  <c r="L140" i="189"/>
  <c r="L142" i="193" s="1"/>
  <c r="L212" i="193" s="1"/>
  <c r="L242" i="193" s="1"/>
  <c r="V198" i="189"/>
  <c r="V71" i="191" s="1"/>
  <c r="V176" i="191" s="1"/>
  <c r="P230" i="189"/>
  <c r="P104" i="191" s="1"/>
  <c r="P209" i="191" s="1"/>
  <c r="Y143" i="189"/>
  <c r="T201" i="189"/>
  <c r="T74" i="191" s="1"/>
  <c r="T179" i="191" s="1"/>
  <c r="U172" i="189"/>
  <c r="U44" i="191" s="1"/>
  <c r="U149" i="191" s="1"/>
  <c r="M143" i="189"/>
  <c r="M145" i="193" s="1"/>
  <c r="M215" i="193" s="1"/>
  <c r="M245" i="193" s="1"/>
  <c r="U201" i="189"/>
  <c r="U74" i="191" s="1"/>
  <c r="U179" i="191" s="1"/>
  <c r="L172" i="189"/>
  <c r="L44" i="191" s="1"/>
  <c r="L149" i="191" s="1"/>
  <c r="K143" i="189"/>
  <c r="K145" i="193" s="1"/>
  <c r="K215" i="193" s="1"/>
  <c r="K245" i="193" s="1"/>
  <c r="W230" i="189"/>
  <c r="W104" i="191" s="1"/>
  <c r="W209" i="191" s="1"/>
  <c r="N172" i="189"/>
  <c r="N44" i="191" s="1"/>
  <c r="N149" i="191" s="1"/>
  <c r="S230" i="189"/>
  <c r="S104" i="191" s="1"/>
  <c r="S209" i="191" s="1"/>
  <c r="M172" i="189"/>
  <c r="M44" i="191" s="1"/>
  <c r="M149" i="191" s="1"/>
  <c r="K230" i="189"/>
  <c r="K104" i="191" s="1"/>
  <c r="K209" i="191" s="1"/>
  <c r="L143" i="189"/>
  <c r="L145" i="193" s="1"/>
  <c r="L215" i="193" s="1"/>
  <c r="L245" i="193" s="1"/>
  <c r="X143" i="189"/>
  <c r="N230" i="189"/>
  <c r="N104" i="191" s="1"/>
  <c r="N209" i="191" s="1"/>
  <c r="J201" i="189"/>
  <c r="J74" i="191" s="1"/>
  <c r="J179" i="191" s="1"/>
  <c r="S201" i="189"/>
  <c r="S74" i="191" s="1"/>
  <c r="S179" i="191" s="1"/>
  <c r="X172" i="189"/>
  <c r="X44" i="191" s="1"/>
  <c r="X149" i="191" s="1"/>
  <c r="P172" i="189"/>
  <c r="P44" i="191" s="1"/>
  <c r="P149" i="191" s="1"/>
  <c r="P143" i="189"/>
  <c r="P145" i="193" s="1"/>
  <c r="P215" i="193" s="1"/>
  <c r="P245" i="193" s="1"/>
  <c r="S143" i="189"/>
  <c r="Y172" i="189"/>
  <c r="Y44" i="191" s="1"/>
  <c r="Y149" i="191" s="1"/>
  <c r="T230" i="189"/>
  <c r="T104" i="191" s="1"/>
  <c r="T209" i="191" s="1"/>
  <c r="K201" i="189"/>
  <c r="K74" i="191" s="1"/>
  <c r="K179" i="191" s="1"/>
  <c r="L201" i="189"/>
  <c r="L74" i="191" s="1"/>
  <c r="L179" i="191" s="1"/>
  <c r="Q143" i="189"/>
  <c r="Q145" i="193" s="1"/>
  <c r="Q215" i="193" s="1"/>
  <c r="Q245" i="193" s="1"/>
  <c r="Y230" i="189"/>
  <c r="Y104" i="191" s="1"/>
  <c r="Y209" i="191" s="1"/>
  <c r="O201" i="189"/>
  <c r="O74" i="191" s="1"/>
  <c r="O179" i="191" s="1"/>
  <c r="X201" i="189"/>
  <c r="X74" i="191" s="1"/>
  <c r="X179" i="191" s="1"/>
  <c r="N201" i="189"/>
  <c r="N74" i="191" s="1"/>
  <c r="N179" i="191" s="1"/>
  <c r="X230" i="189"/>
  <c r="X104" i="191" s="1"/>
  <c r="X209" i="191" s="1"/>
  <c r="Q172" i="189"/>
  <c r="Q44" i="191" s="1"/>
  <c r="Q149" i="191" s="1"/>
  <c r="P201" i="189"/>
  <c r="P74" i="191" s="1"/>
  <c r="P179" i="191" s="1"/>
  <c r="J172" i="189"/>
  <c r="J44" i="191" s="1"/>
  <c r="J149" i="191" s="1"/>
  <c r="S172" i="189"/>
  <c r="S44" i="191" s="1"/>
  <c r="S149" i="191" s="1"/>
  <c r="V172" i="189"/>
  <c r="V44" i="191" s="1"/>
  <c r="V149" i="191" s="1"/>
  <c r="T172" i="189"/>
  <c r="T44" i="191" s="1"/>
  <c r="T149" i="191" s="1"/>
  <c r="R172" i="189"/>
  <c r="R44" i="191" s="1"/>
  <c r="R149" i="191" s="1"/>
  <c r="V143" i="189"/>
  <c r="Q230" i="189"/>
  <c r="Q104" i="191" s="1"/>
  <c r="Q209" i="191" s="1"/>
  <c r="O143" i="189"/>
  <c r="O145" i="193" s="1"/>
  <c r="O215" i="193" s="1"/>
  <c r="O245" i="193" s="1"/>
  <c r="Y201" i="189"/>
  <c r="Y74" i="191" s="1"/>
  <c r="Y179" i="191" s="1"/>
  <c r="N143" i="189"/>
  <c r="N145" i="193" s="1"/>
  <c r="N215" i="193" s="1"/>
  <c r="N245" i="193" s="1"/>
  <c r="U143" i="189"/>
  <c r="O172" i="189"/>
  <c r="O44" i="191" s="1"/>
  <c r="O149" i="191" s="1"/>
  <c r="M201" i="189"/>
  <c r="M74" i="191" s="1"/>
  <c r="M179" i="191" s="1"/>
  <c r="R201" i="189"/>
  <c r="R74" i="191" s="1"/>
  <c r="R179" i="191" s="1"/>
  <c r="K172" i="189"/>
  <c r="K44" i="191" s="1"/>
  <c r="K149" i="191" s="1"/>
  <c r="J143" i="189"/>
  <c r="J145" i="193" s="1"/>
  <c r="J215" i="193" s="1"/>
  <c r="J245" i="193" s="1"/>
  <c r="M230" i="189"/>
  <c r="M104" i="191" s="1"/>
  <c r="M209" i="191" s="1"/>
  <c r="V201" i="189"/>
  <c r="V74" i="191" s="1"/>
  <c r="V179" i="191" s="1"/>
  <c r="W172" i="189"/>
  <c r="W44" i="191" s="1"/>
  <c r="W149" i="191" s="1"/>
  <c r="O230" i="189"/>
  <c r="O104" i="191" s="1"/>
  <c r="O209" i="191" s="1"/>
  <c r="R143" i="189"/>
  <c r="L230" i="189"/>
  <c r="L104" i="191" s="1"/>
  <c r="L209" i="191" s="1"/>
  <c r="T143" i="189"/>
  <c r="U230" i="189"/>
  <c r="U104" i="191" s="1"/>
  <c r="U209" i="191" s="1"/>
  <c r="W143" i="189"/>
  <c r="W201" i="189"/>
  <c r="W74" i="191" s="1"/>
  <c r="W179" i="191" s="1"/>
  <c r="Q201" i="189"/>
  <c r="Q74" i="191" s="1"/>
  <c r="Q179" i="191" s="1"/>
  <c r="V230" i="189"/>
  <c r="V104" i="191" s="1"/>
  <c r="V209" i="191" s="1"/>
  <c r="J230" i="189"/>
  <c r="J104" i="191" s="1"/>
  <c r="J209" i="191" s="1"/>
  <c r="R230" i="189"/>
  <c r="R104" i="191" s="1"/>
  <c r="R209" i="191" s="1"/>
  <c r="V135" i="189"/>
  <c r="L164" i="189"/>
  <c r="M135" i="189"/>
  <c r="M137" i="193" s="1"/>
  <c r="M207" i="193" s="1"/>
  <c r="M237" i="193" s="1"/>
  <c r="S164" i="189"/>
  <c r="W135" i="189"/>
  <c r="P135" i="189"/>
  <c r="P137" i="193" s="1"/>
  <c r="P207" i="193" s="1"/>
  <c r="P237" i="193" s="1"/>
  <c r="K135" i="189"/>
  <c r="K137" i="193" s="1"/>
  <c r="K207" i="193" s="1"/>
  <c r="K237" i="193" s="1"/>
  <c r="L222" i="189"/>
  <c r="L96" i="191" s="1"/>
  <c r="L201" i="191" s="1"/>
  <c r="M222" i="189"/>
  <c r="M96" i="191" s="1"/>
  <c r="M201" i="191" s="1"/>
  <c r="S222" i="189"/>
  <c r="S96" i="191" s="1"/>
  <c r="S201" i="191" s="1"/>
  <c r="N135" i="189"/>
  <c r="N137" i="193" s="1"/>
  <c r="N207" i="193" s="1"/>
  <c r="N237" i="193" s="1"/>
  <c r="T135" i="189"/>
  <c r="X193" i="189"/>
  <c r="X66" i="191" s="1"/>
  <c r="X171" i="191" s="1"/>
  <c r="N193" i="189"/>
  <c r="N66" i="191" s="1"/>
  <c r="N171" i="191" s="1"/>
  <c r="N164" i="189"/>
  <c r="P164" i="189"/>
  <c r="R164" i="189"/>
  <c r="S193" i="189"/>
  <c r="S66" i="191" s="1"/>
  <c r="S171" i="191" s="1"/>
  <c r="P193" i="189"/>
  <c r="P66" i="191" s="1"/>
  <c r="P171" i="191" s="1"/>
  <c r="K222" i="189"/>
  <c r="K96" i="191" s="1"/>
  <c r="K201" i="191" s="1"/>
  <c r="X135" i="189"/>
  <c r="R222" i="189"/>
  <c r="R96" i="191" s="1"/>
  <c r="R201" i="191" s="1"/>
  <c r="Y164" i="189"/>
  <c r="T164" i="189"/>
  <c r="V222" i="189"/>
  <c r="V96" i="191" s="1"/>
  <c r="V201" i="191" s="1"/>
  <c r="S135" i="189"/>
  <c r="Q164" i="189"/>
  <c r="X222" i="189"/>
  <c r="X96" i="191" s="1"/>
  <c r="X201" i="191" s="1"/>
  <c r="U222" i="189"/>
  <c r="U96" i="191" s="1"/>
  <c r="U201" i="191" s="1"/>
  <c r="Y222" i="189"/>
  <c r="Y96" i="191" s="1"/>
  <c r="Y201" i="191" s="1"/>
  <c r="N222" i="189"/>
  <c r="N96" i="191" s="1"/>
  <c r="N201" i="191" s="1"/>
  <c r="R193" i="189"/>
  <c r="R66" i="191" s="1"/>
  <c r="R171" i="191" s="1"/>
  <c r="O222" i="189"/>
  <c r="O96" i="191" s="1"/>
  <c r="O201" i="191" s="1"/>
  <c r="T222" i="189"/>
  <c r="T96" i="191" s="1"/>
  <c r="T201" i="191" s="1"/>
  <c r="L193" i="189"/>
  <c r="L66" i="191" s="1"/>
  <c r="L171" i="191" s="1"/>
  <c r="W222" i="189"/>
  <c r="W96" i="191" s="1"/>
  <c r="W201" i="191" s="1"/>
  <c r="K193" i="189"/>
  <c r="K66" i="191" s="1"/>
  <c r="K171" i="191" s="1"/>
  <c r="M164" i="189"/>
  <c r="M193" i="189"/>
  <c r="M66" i="191" s="1"/>
  <c r="M171" i="191" s="1"/>
  <c r="O164" i="189"/>
  <c r="W164" i="189"/>
  <c r="Y193" i="189"/>
  <c r="Y66" i="191" s="1"/>
  <c r="Y171" i="191" s="1"/>
  <c r="R135" i="189"/>
  <c r="J222" i="189"/>
  <c r="J96" i="191" s="1"/>
  <c r="J201" i="191" s="1"/>
  <c r="L135" i="189"/>
  <c r="L137" i="193" s="1"/>
  <c r="L207" i="193" s="1"/>
  <c r="L237" i="193" s="1"/>
  <c r="J135" i="189"/>
  <c r="J137" i="193" s="1"/>
  <c r="J207" i="193" s="1"/>
  <c r="J237" i="193" s="1"/>
  <c r="W193" i="189"/>
  <c r="W66" i="191" s="1"/>
  <c r="W171" i="191" s="1"/>
  <c r="K164" i="189"/>
  <c r="J164" i="189"/>
  <c r="Q222" i="189"/>
  <c r="Q96" i="191" s="1"/>
  <c r="Q201" i="191" s="1"/>
  <c r="T193" i="189"/>
  <c r="T66" i="191" s="1"/>
  <c r="T171" i="191" s="1"/>
  <c r="P222" i="189"/>
  <c r="P96" i="191" s="1"/>
  <c r="P201" i="191" s="1"/>
  <c r="U135" i="189"/>
  <c r="X164" i="189"/>
  <c r="U193" i="189"/>
  <c r="U66" i="191" s="1"/>
  <c r="U171" i="191" s="1"/>
  <c r="O193" i="189"/>
  <c r="O66" i="191" s="1"/>
  <c r="O171" i="191" s="1"/>
  <c r="Q135" i="189"/>
  <c r="Q137" i="193" s="1"/>
  <c r="Q207" i="193" s="1"/>
  <c r="Q237" i="193" s="1"/>
  <c r="V164" i="189"/>
  <c r="Y135" i="189"/>
  <c r="J193" i="189"/>
  <c r="J66" i="191" s="1"/>
  <c r="J171" i="191" s="1"/>
  <c r="U164" i="189"/>
  <c r="V193" i="189"/>
  <c r="V66" i="191" s="1"/>
  <c r="V171" i="191" s="1"/>
  <c r="O135" i="189"/>
  <c r="O137" i="193" s="1"/>
  <c r="O207" i="193" s="1"/>
  <c r="O237" i="193" s="1"/>
  <c r="Q193" i="189"/>
  <c r="Q66" i="191" s="1"/>
  <c r="Q171" i="191" s="1"/>
  <c r="X181" i="193"/>
  <c r="X216" i="193" s="1"/>
  <c r="X246" i="193" s="1"/>
  <c r="Y181" i="193"/>
  <c r="Y216" i="193" s="1"/>
  <c r="Y246" i="193" s="1"/>
  <c r="S181" i="193"/>
  <c r="S216" i="193" s="1"/>
  <c r="S246" i="193" s="1"/>
  <c r="W181" i="193"/>
  <c r="W216" i="193" s="1"/>
  <c r="W246" i="193" s="1"/>
  <c r="T181" i="193"/>
  <c r="T216" i="193" s="1"/>
  <c r="T246" i="193" s="1"/>
  <c r="U181" i="193"/>
  <c r="U216" i="193" s="1"/>
  <c r="U246" i="193" s="1"/>
  <c r="V181" i="193"/>
  <c r="V216" i="193" s="1"/>
  <c r="V246" i="193" s="1"/>
  <c r="R181" i="193"/>
  <c r="R216" i="193" s="1"/>
  <c r="R246" i="193" s="1"/>
  <c r="S176" i="193"/>
  <c r="S211" i="193" s="1"/>
  <c r="S241" i="193" s="1"/>
  <c r="R176" i="193"/>
  <c r="R211" i="193" s="1"/>
  <c r="R241" i="193" s="1"/>
  <c r="V176" i="193"/>
  <c r="V211" i="193" s="1"/>
  <c r="V241" i="193" s="1"/>
  <c r="Y176" i="193"/>
  <c r="Y211" i="193" s="1"/>
  <c r="Y241" i="193" s="1"/>
  <c r="X176" i="193"/>
  <c r="X211" i="193" s="1"/>
  <c r="X241" i="193" s="1"/>
  <c r="U176" i="193"/>
  <c r="U211" i="193" s="1"/>
  <c r="U241" i="193" s="1"/>
  <c r="W176" i="193"/>
  <c r="W211" i="193" s="1"/>
  <c r="W241" i="193" s="1"/>
  <c r="T176" i="193"/>
  <c r="T211" i="193" s="1"/>
  <c r="T241" i="193" s="1"/>
  <c r="X180" i="193"/>
  <c r="X215" i="193" s="1"/>
  <c r="X245" i="193" s="1"/>
  <c r="R180" i="193"/>
  <c r="R215" i="193" s="1"/>
  <c r="R245" i="193" s="1"/>
  <c r="T180" i="193"/>
  <c r="T215" i="193" s="1"/>
  <c r="T245" i="193" s="1"/>
  <c r="U180" i="193"/>
  <c r="U215" i="193" s="1"/>
  <c r="U245" i="193" s="1"/>
  <c r="W180" i="193"/>
  <c r="W215" i="193" s="1"/>
  <c r="W245" i="193" s="1"/>
  <c r="Y180" i="193"/>
  <c r="Y215" i="193" s="1"/>
  <c r="Y245" i="193" s="1"/>
  <c r="V180" i="193"/>
  <c r="V215" i="193" s="1"/>
  <c r="V245" i="193" s="1"/>
  <c r="S180" i="193"/>
  <c r="S215" i="193" s="1"/>
  <c r="S245" i="193" s="1"/>
  <c r="P149" i="192"/>
  <c r="M149" i="192"/>
  <c r="Q149" i="192"/>
  <c r="N179" i="192"/>
  <c r="N239" i="192" s="1"/>
  <c r="M179" i="192"/>
  <c r="M239" i="192" s="1"/>
  <c r="P179" i="192"/>
  <c r="P239" i="192" s="1"/>
  <c r="N149" i="192"/>
  <c r="J149" i="192"/>
  <c r="J179" i="192"/>
  <c r="J239" i="192" s="1"/>
  <c r="L149" i="192"/>
  <c r="K149" i="192"/>
  <c r="O179" i="192"/>
  <c r="O239" i="192" s="1"/>
  <c r="O149" i="192"/>
  <c r="L179" i="192"/>
  <c r="L239" i="192" s="1"/>
  <c r="Q179" i="192"/>
  <c r="Q239" i="192" s="1"/>
  <c r="K179" i="192"/>
  <c r="K239" i="192" s="1"/>
  <c r="J176" i="192"/>
  <c r="J236" i="192" s="1"/>
  <c r="P146" i="192"/>
  <c r="L146" i="192"/>
  <c r="O146" i="192"/>
  <c r="K146" i="192"/>
  <c r="O176" i="192"/>
  <c r="O236" i="192" s="1"/>
  <c r="Q176" i="192"/>
  <c r="Q236" i="192" s="1"/>
  <c r="M176" i="192"/>
  <c r="M236" i="192" s="1"/>
  <c r="N176" i="192"/>
  <c r="N236" i="192" s="1"/>
  <c r="P176" i="192"/>
  <c r="P236" i="192" s="1"/>
  <c r="Q146" i="192"/>
  <c r="K176" i="192"/>
  <c r="K236" i="192" s="1"/>
  <c r="M146" i="192"/>
  <c r="J146" i="192"/>
  <c r="L176" i="192"/>
  <c r="L236" i="192" s="1"/>
  <c r="N146" i="192"/>
  <c r="J50" i="55"/>
  <c r="A4" i="190"/>
  <c r="X174" i="193"/>
  <c r="X209" i="193" s="1"/>
  <c r="X239" i="193" s="1"/>
  <c r="R174" i="193"/>
  <c r="R209" i="193" s="1"/>
  <c r="R239" i="193" s="1"/>
  <c r="Y174" i="193"/>
  <c r="Y209" i="193" s="1"/>
  <c r="Y239" i="193" s="1"/>
  <c r="W174" i="193"/>
  <c r="W209" i="193" s="1"/>
  <c r="W239" i="193" s="1"/>
  <c r="T174" i="193"/>
  <c r="T209" i="193" s="1"/>
  <c r="T239" i="193" s="1"/>
  <c r="U174" i="193"/>
  <c r="U209" i="193" s="1"/>
  <c r="U239" i="193" s="1"/>
  <c r="V174" i="193"/>
  <c r="V209" i="193" s="1"/>
  <c r="V239" i="193" s="1"/>
  <c r="S174" i="193"/>
  <c r="S209" i="193" s="1"/>
  <c r="S239" i="193" s="1"/>
  <c r="V172" i="193"/>
  <c r="V207" i="193" s="1"/>
  <c r="V237" i="193" s="1"/>
  <c r="X172" i="193"/>
  <c r="X207" i="193" s="1"/>
  <c r="X237" i="193" s="1"/>
  <c r="T172" i="193"/>
  <c r="T207" i="193" s="1"/>
  <c r="T237" i="193" s="1"/>
  <c r="R172" i="193"/>
  <c r="R207" i="193" s="1"/>
  <c r="R237" i="193" s="1"/>
  <c r="W172" i="193"/>
  <c r="W207" i="193" s="1"/>
  <c r="W237" i="193" s="1"/>
  <c r="Y172" i="193"/>
  <c r="Y207" i="193" s="1"/>
  <c r="Y237" i="193" s="1"/>
  <c r="U172" i="193"/>
  <c r="U207" i="193" s="1"/>
  <c r="U237" i="193" s="1"/>
  <c r="S172" i="193"/>
  <c r="S207" i="193" s="1"/>
  <c r="S237" i="193" s="1"/>
  <c r="K153" i="192"/>
  <c r="Q183" i="192"/>
  <c r="Q243" i="192" s="1"/>
  <c r="L183" i="192"/>
  <c r="L243" i="192" s="1"/>
  <c r="N183" i="192"/>
  <c r="N243" i="192" s="1"/>
  <c r="O183" i="192"/>
  <c r="O243" i="192" s="1"/>
  <c r="N153" i="192"/>
  <c r="M183" i="192"/>
  <c r="M243" i="192" s="1"/>
  <c r="P183" i="192"/>
  <c r="P243" i="192" s="1"/>
  <c r="J153" i="192"/>
  <c r="L153" i="192"/>
  <c r="K183" i="192"/>
  <c r="K243" i="192" s="1"/>
  <c r="O153" i="192"/>
  <c r="M153" i="192"/>
  <c r="Q153" i="192"/>
  <c r="J183" i="192"/>
  <c r="J243" i="192" s="1"/>
  <c r="P153" i="192"/>
  <c r="O151" i="192"/>
  <c r="O181" i="192"/>
  <c r="O241" i="192" s="1"/>
  <c r="Q181" i="192"/>
  <c r="Q241" i="192" s="1"/>
  <c r="M181" i="192"/>
  <c r="M241" i="192" s="1"/>
  <c r="K151" i="192"/>
  <c r="K181" i="192"/>
  <c r="K241" i="192" s="1"/>
  <c r="J181" i="192"/>
  <c r="J241" i="192" s="1"/>
  <c r="Q151" i="192"/>
  <c r="L151" i="192"/>
  <c r="P181" i="192"/>
  <c r="P241" i="192" s="1"/>
  <c r="P151" i="192"/>
  <c r="N181" i="192"/>
  <c r="N241" i="192" s="1"/>
  <c r="L181" i="192"/>
  <c r="L241" i="192" s="1"/>
  <c r="J151" i="192"/>
  <c r="M151" i="192"/>
  <c r="N151" i="192"/>
  <c r="P177" i="192"/>
  <c r="P237" i="192" s="1"/>
  <c r="O177" i="192"/>
  <c r="O237" i="192" s="1"/>
  <c r="J177" i="192"/>
  <c r="J237" i="192" s="1"/>
  <c r="M177" i="192"/>
  <c r="M237" i="192" s="1"/>
  <c r="N147" i="192"/>
  <c r="Q147" i="192"/>
  <c r="N177" i="192"/>
  <c r="N237" i="192" s="1"/>
  <c r="L177" i="192"/>
  <c r="L237" i="192" s="1"/>
  <c r="P147" i="192"/>
  <c r="Q177" i="192"/>
  <c r="Q237" i="192" s="1"/>
  <c r="M147" i="192"/>
  <c r="L147" i="192"/>
  <c r="K177" i="192"/>
  <c r="K237" i="192" s="1"/>
  <c r="J147" i="192"/>
  <c r="K147" i="192"/>
  <c r="O147" i="192"/>
  <c r="U228" i="189"/>
  <c r="U102" i="191" s="1"/>
  <c r="U207" i="191" s="1"/>
  <c r="X228" i="189"/>
  <c r="X102" i="191" s="1"/>
  <c r="X207" i="191" s="1"/>
  <c r="M170" i="189"/>
  <c r="M42" i="191" s="1"/>
  <c r="M147" i="191" s="1"/>
  <c r="M141" i="189"/>
  <c r="M143" i="193" s="1"/>
  <c r="M213" i="193" s="1"/>
  <c r="M243" i="193" s="1"/>
  <c r="P141" i="189"/>
  <c r="P143" i="193" s="1"/>
  <c r="P213" i="193" s="1"/>
  <c r="P243" i="193" s="1"/>
  <c r="N170" i="189"/>
  <c r="N42" i="191" s="1"/>
  <c r="N147" i="191" s="1"/>
  <c r="M228" i="189"/>
  <c r="M102" i="191" s="1"/>
  <c r="M207" i="191" s="1"/>
  <c r="U170" i="189"/>
  <c r="U42" i="191" s="1"/>
  <c r="U147" i="191" s="1"/>
  <c r="Q141" i="189"/>
  <c r="Q143" i="193" s="1"/>
  <c r="Q213" i="193" s="1"/>
  <c r="Q243" i="193" s="1"/>
  <c r="T199" i="189"/>
  <c r="T72" i="191" s="1"/>
  <c r="T177" i="191" s="1"/>
  <c r="L170" i="189"/>
  <c r="L42" i="191" s="1"/>
  <c r="L147" i="191" s="1"/>
  <c r="Y199" i="189"/>
  <c r="Y72" i="191" s="1"/>
  <c r="Y177" i="191" s="1"/>
  <c r="N228" i="189"/>
  <c r="N102" i="191" s="1"/>
  <c r="N207" i="191" s="1"/>
  <c r="Y228" i="189"/>
  <c r="Y102" i="191" s="1"/>
  <c r="Y207" i="191" s="1"/>
  <c r="T170" i="189"/>
  <c r="T42" i="191" s="1"/>
  <c r="T147" i="191" s="1"/>
  <c r="K199" i="189"/>
  <c r="K72" i="191" s="1"/>
  <c r="K177" i="191" s="1"/>
  <c r="O170" i="189"/>
  <c r="O42" i="191" s="1"/>
  <c r="O147" i="191" s="1"/>
  <c r="S141" i="189"/>
  <c r="P170" i="189"/>
  <c r="P42" i="191" s="1"/>
  <c r="P147" i="191" s="1"/>
  <c r="O141" i="189"/>
  <c r="O143" i="193" s="1"/>
  <c r="O213" i="193" s="1"/>
  <c r="O243" i="193" s="1"/>
  <c r="N141" i="189"/>
  <c r="N143" i="193" s="1"/>
  <c r="N213" i="193" s="1"/>
  <c r="N243" i="193" s="1"/>
  <c r="S170" i="189"/>
  <c r="S42" i="191" s="1"/>
  <c r="S147" i="191" s="1"/>
  <c r="P228" i="189"/>
  <c r="P102" i="191" s="1"/>
  <c r="P207" i="191" s="1"/>
  <c r="K228" i="189"/>
  <c r="K102" i="191" s="1"/>
  <c r="K207" i="191" s="1"/>
  <c r="U141" i="189"/>
  <c r="T228" i="189"/>
  <c r="T102" i="191" s="1"/>
  <c r="T207" i="191" s="1"/>
  <c r="L141" i="189"/>
  <c r="L143" i="193" s="1"/>
  <c r="L213" i="193" s="1"/>
  <c r="L243" i="193" s="1"/>
  <c r="K170" i="189"/>
  <c r="K42" i="191" s="1"/>
  <c r="K147" i="191" s="1"/>
  <c r="P199" i="189"/>
  <c r="P72" i="191" s="1"/>
  <c r="P177" i="191" s="1"/>
  <c r="J228" i="189"/>
  <c r="J102" i="191" s="1"/>
  <c r="J207" i="191" s="1"/>
  <c r="R170" i="189"/>
  <c r="R42" i="191" s="1"/>
  <c r="R147" i="191" s="1"/>
  <c r="W228" i="189"/>
  <c r="W102" i="191" s="1"/>
  <c r="W207" i="191" s="1"/>
  <c r="X199" i="189"/>
  <c r="X72" i="191" s="1"/>
  <c r="X177" i="191" s="1"/>
  <c r="O228" i="189"/>
  <c r="O102" i="191" s="1"/>
  <c r="O207" i="191" s="1"/>
  <c r="W141" i="189"/>
  <c r="X141" i="189"/>
  <c r="Y170" i="189"/>
  <c r="Y42" i="191" s="1"/>
  <c r="Y147" i="191" s="1"/>
  <c r="K141" i="189"/>
  <c r="K143" i="193" s="1"/>
  <c r="K213" i="193" s="1"/>
  <c r="K243" i="193" s="1"/>
  <c r="L199" i="189"/>
  <c r="L72" i="191" s="1"/>
  <c r="L177" i="191" s="1"/>
  <c r="R141" i="189"/>
  <c r="Q199" i="189"/>
  <c r="Q72" i="191" s="1"/>
  <c r="Q177" i="191" s="1"/>
  <c r="N199" i="189"/>
  <c r="N72" i="191" s="1"/>
  <c r="N177" i="191" s="1"/>
  <c r="W199" i="189"/>
  <c r="W72" i="191" s="1"/>
  <c r="W177" i="191" s="1"/>
  <c r="T141" i="189"/>
  <c r="U199" i="189"/>
  <c r="U72" i="191" s="1"/>
  <c r="U177" i="191" s="1"/>
  <c r="V228" i="189"/>
  <c r="V102" i="191" s="1"/>
  <c r="V207" i="191" s="1"/>
  <c r="M199" i="189"/>
  <c r="M72" i="191" s="1"/>
  <c r="M177" i="191" s="1"/>
  <c r="V199" i="189"/>
  <c r="V72" i="191" s="1"/>
  <c r="V177" i="191" s="1"/>
  <c r="S199" i="189"/>
  <c r="S72" i="191" s="1"/>
  <c r="S177" i="191" s="1"/>
  <c r="R228" i="189"/>
  <c r="R102" i="191" s="1"/>
  <c r="R207" i="191" s="1"/>
  <c r="Q170" i="189"/>
  <c r="Q42" i="191" s="1"/>
  <c r="Q147" i="191" s="1"/>
  <c r="V170" i="189"/>
  <c r="V42" i="191" s="1"/>
  <c r="V147" i="191" s="1"/>
  <c r="Y141" i="189"/>
  <c r="J141" i="189"/>
  <c r="J143" i="193" s="1"/>
  <c r="J213" i="193" s="1"/>
  <c r="J243" i="193" s="1"/>
  <c r="J170" i="189"/>
  <c r="J42" i="191" s="1"/>
  <c r="J147" i="191" s="1"/>
  <c r="W170" i="189"/>
  <c r="W42" i="191" s="1"/>
  <c r="W147" i="191" s="1"/>
  <c r="S228" i="189"/>
  <c r="S102" i="191" s="1"/>
  <c r="S207" i="191" s="1"/>
  <c r="V141" i="189"/>
  <c r="O199" i="189"/>
  <c r="O72" i="191" s="1"/>
  <c r="O177" i="191" s="1"/>
  <c r="Q228" i="189"/>
  <c r="Q102" i="191" s="1"/>
  <c r="Q207" i="191" s="1"/>
  <c r="X170" i="189"/>
  <c r="X42" i="191" s="1"/>
  <c r="X147" i="191" s="1"/>
  <c r="R199" i="189"/>
  <c r="R72" i="191" s="1"/>
  <c r="R177" i="191" s="1"/>
  <c r="L228" i="189"/>
  <c r="L102" i="191" s="1"/>
  <c r="L207" i="191" s="1"/>
  <c r="J199" i="189"/>
  <c r="J72" i="191" s="1"/>
  <c r="J177" i="191" s="1"/>
  <c r="M231" i="189"/>
  <c r="M105" i="191" s="1"/>
  <c r="M210" i="191" s="1"/>
  <c r="S144" i="189"/>
  <c r="N202" i="189"/>
  <c r="N75" i="191" s="1"/>
  <c r="N180" i="191" s="1"/>
  <c r="O173" i="189"/>
  <c r="O45" i="191" s="1"/>
  <c r="O150" i="191" s="1"/>
  <c r="U231" i="189"/>
  <c r="U105" i="191" s="1"/>
  <c r="U210" i="191" s="1"/>
  <c r="O202" i="189"/>
  <c r="O75" i="191" s="1"/>
  <c r="O180" i="191" s="1"/>
  <c r="U202" i="189"/>
  <c r="U75" i="191" s="1"/>
  <c r="U180" i="191" s="1"/>
  <c r="Y144" i="189"/>
  <c r="T231" i="189"/>
  <c r="T105" i="191" s="1"/>
  <c r="T210" i="191" s="1"/>
  <c r="P231" i="189"/>
  <c r="P105" i="191" s="1"/>
  <c r="P210" i="191" s="1"/>
  <c r="T202" i="189"/>
  <c r="T75" i="191" s="1"/>
  <c r="T180" i="191" s="1"/>
  <c r="N173" i="189"/>
  <c r="N45" i="191" s="1"/>
  <c r="N150" i="191" s="1"/>
  <c r="R173" i="189"/>
  <c r="R45" i="191" s="1"/>
  <c r="R150" i="191" s="1"/>
  <c r="Q173" i="189"/>
  <c r="Q45" i="191" s="1"/>
  <c r="Q150" i="191" s="1"/>
  <c r="S231" i="189"/>
  <c r="S105" i="191" s="1"/>
  <c r="S210" i="191" s="1"/>
  <c r="Q202" i="189"/>
  <c r="Q75" i="191" s="1"/>
  <c r="Q180" i="191" s="1"/>
  <c r="Y231" i="189"/>
  <c r="Y105" i="191" s="1"/>
  <c r="Y210" i="191" s="1"/>
  <c r="W202" i="189"/>
  <c r="W75" i="191" s="1"/>
  <c r="W180" i="191" s="1"/>
  <c r="R202" i="189"/>
  <c r="R75" i="191" s="1"/>
  <c r="R180" i="191" s="1"/>
  <c r="S202" i="189"/>
  <c r="S75" i="191" s="1"/>
  <c r="S180" i="191" s="1"/>
  <c r="V144" i="189"/>
  <c r="J231" i="189"/>
  <c r="J105" i="191" s="1"/>
  <c r="J210" i="191" s="1"/>
  <c r="U144" i="189"/>
  <c r="V202" i="189"/>
  <c r="V75" i="191" s="1"/>
  <c r="V180" i="191" s="1"/>
  <c r="T173" i="189"/>
  <c r="T45" i="191" s="1"/>
  <c r="T150" i="191" s="1"/>
  <c r="L231" i="189"/>
  <c r="L105" i="191" s="1"/>
  <c r="L210" i="191" s="1"/>
  <c r="X173" i="189"/>
  <c r="X45" i="191" s="1"/>
  <c r="X150" i="191" s="1"/>
  <c r="Q144" i="189"/>
  <c r="Q146" i="193" s="1"/>
  <c r="Q216" i="193" s="1"/>
  <c r="Q246" i="193" s="1"/>
  <c r="N231" i="189"/>
  <c r="N105" i="191" s="1"/>
  <c r="N210" i="191" s="1"/>
  <c r="W231" i="189"/>
  <c r="W105" i="191" s="1"/>
  <c r="W210" i="191" s="1"/>
  <c r="R231" i="189"/>
  <c r="R105" i="191" s="1"/>
  <c r="R210" i="191" s="1"/>
  <c r="W144" i="189"/>
  <c r="J202" i="189"/>
  <c r="J75" i="191" s="1"/>
  <c r="J180" i="191" s="1"/>
  <c r="X144" i="189"/>
  <c r="J144" i="189"/>
  <c r="J146" i="193" s="1"/>
  <c r="J216" i="193" s="1"/>
  <c r="J246" i="193" s="1"/>
  <c r="K173" i="189"/>
  <c r="K45" i="191" s="1"/>
  <c r="K150" i="191" s="1"/>
  <c r="L144" i="189"/>
  <c r="L146" i="193" s="1"/>
  <c r="L216" i="193" s="1"/>
  <c r="L246" i="193" s="1"/>
  <c r="N144" i="189"/>
  <c r="N146" i="193" s="1"/>
  <c r="N216" i="193" s="1"/>
  <c r="N246" i="193" s="1"/>
  <c r="K144" i="189"/>
  <c r="K146" i="193" s="1"/>
  <c r="K216" i="193" s="1"/>
  <c r="K246" i="193" s="1"/>
  <c r="W173" i="189"/>
  <c r="W45" i="191" s="1"/>
  <c r="W150" i="191" s="1"/>
  <c r="P202" i="189"/>
  <c r="P75" i="191" s="1"/>
  <c r="P180" i="191" s="1"/>
  <c r="P173" i="189"/>
  <c r="P45" i="191" s="1"/>
  <c r="P150" i="191" s="1"/>
  <c r="T144" i="189"/>
  <c r="O231" i="189"/>
  <c r="O105" i="191" s="1"/>
  <c r="O210" i="191" s="1"/>
  <c r="L202" i="189"/>
  <c r="L75" i="191" s="1"/>
  <c r="L180" i="191" s="1"/>
  <c r="R144" i="189"/>
  <c r="J173" i="189"/>
  <c r="J45" i="191" s="1"/>
  <c r="J150" i="191" s="1"/>
  <c r="K202" i="189"/>
  <c r="K75" i="191" s="1"/>
  <c r="K180" i="191" s="1"/>
  <c r="Q231" i="189"/>
  <c r="Q105" i="191" s="1"/>
  <c r="Q210" i="191" s="1"/>
  <c r="V173" i="189"/>
  <c r="V45" i="191" s="1"/>
  <c r="V150" i="191" s="1"/>
  <c r="X202" i="189"/>
  <c r="X75" i="191" s="1"/>
  <c r="X180" i="191" s="1"/>
  <c r="M144" i="189"/>
  <c r="M146" i="193" s="1"/>
  <c r="M216" i="193" s="1"/>
  <c r="M246" i="193" s="1"/>
  <c r="O144" i="189"/>
  <c r="O146" i="193" s="1"/>
  <c r="O216" i="193" s="1"/>
  <c r="O246" i="193" s="1"/>
  <c r="S173" i="189"/>
  <c r="S45" i="191" s="1"/>
  <c r="S150" i="191" s="1"/>
  <c r="Y202" i="189"/>
  <c r="Y75" i="191" s="1"/>
  <c r="Y180" i="191" s="1"/>
  <c r="U173" i="189"/>
  <c r="U45" i="191" s="1"/>
  <c r="U150" i="191" s="1"/>
  <c r="V231" i="189"/>
  <c r="V105" i="191" s="1"/>
  <c r="V210" i="191" s="1"/>
  <c r="L173" i="189"/>
  <c r="L45" i="191" s="1"/>
  <c r="L150" i="191" s="1"/>
  <c r="M173" i="189"/>
  <c r="M45" i="191" s="1"/>
  <c r="M150" i="191" s="1"/>
  <c r="P144" i="189"/>
  <c r="P146" i="193" s="1"/>
  <c r="P216" i="193" s="1"/>
  <c r="P246" i="193" s="1"/>
  <c r="M202" i="189"/>
  <c r="M75" i="191" s="1"/>
  <c r="M180" i="191" s="1"/>
  <c r="Y173" i="189"/>
  <c r="Y45" i="191" s="1"/>
  <c r="Y150" i="191" s="1"/>
  <c r="X231" i="189"/>
  <c r="X105" i="191" s="1"/>
  <c r="X210" i="191" s="1"/>
  <c r="K231" i="189"/>
  <c r="K105" i="191" s="1"/>
  <c r="K210" i="191" s="1"/>
  <c r="Y178" i="193"/>
  <c r="Y213" i="193" s="1"/>
  <c r="Y243" i="193" s="1"/>
  <c r="W178" i="193"/>
  <c r="W213" i="193" s="1"/>
  <c r="W243" i="193" s="1"/>
  <c r="V178" i="193"/>
  <c r="V213" i="193" s="1"/>
  <c r="V243" i="193" s="1"/>
  <c r="R178" i="193"/>
  <c r="R213" i="193" s="1"/>
  <c r="R243" i="193" s="1"/>
  <c r="U178" i="193"/>
  <c r="U213" i="193" s="1"/>
  <c r="U243" i="193" s="1"/>
  <c r="T178" i="193"/>
  <c r="T213" i="193" s="1"/>
  <c r="T243" i="193" s="1"/>
  <c r="S178" i="193"/>
  <c r="S213" i="193" s="1"/>
  <c r="S243" i="193" s="1"/>
  <c r="X178" i="193"/>
  <c r="X213" i="193" s="1"/>
  <c r="X243" i="193" s="1"/>
  <c r="S175" i="193"/>
  <c r="S210" i="193" s="1"/>
  <c r="S240" i="193" s="1"/>
  <c r="V175" i="193"/>
  <c r="V210" i="193" s="1"/>
  <c r="V240" i="193" s="1"/>
  <c r="X175" i="193"/>
  <c r="X210" i="193" s="1"/>
  <c r="X240" i="193" s="1"/>
  <c r="W175" i="193"/>
  <c r="W210" i="193" s="1"/>
  <c r="W240" i="193" s="1"/>
  <c r="R175" i="193"/>
  <c r="R210" i="193" s="1"/>
  <c r="R240" i="193" s="1"/>
  <c r="T175" i="193"/>
  <c r="T210" i="193" s="1"/>
  <c r="T240" i="193" s="1"/>
  <c r="U175" i="193"/>
  <c r="U210" i="193" s="1"/>
  <c r="U240" i="193" s="1"/>
  <c r="Y175" i="193"/>
  <c r="Y210" i="193" s="1"/>
  <c r="Y240" i="193" s="1"/>
  <c r="N182" i="192"/>
  <c r="N242" i="192" s="1"/>
  <c r="J152" i="192"/>
  <c r="L152" i="192"/>
  <c r="J182" i="192"/>
  <c r="J242" i="192" s="1"/>
  <c r="P182" i="192"/>
  <c r="P242" i="192" s="1"/>
  <c r="O152" i="192"/>
  <c r="Q182" i="192"/>
  <c r="Q242" i="192" s="1"/>
  <c r="L182" i="192"/>
  <c r="L242" i="192" s="1"/>
  <c r="Q152" i="192"/>
  <c r="O182" i="192"/>
  <c r="O242" i="192" s="1"/>
  <c r="M182" i="192"/>
  <c r="M242" i="192" s="1"/>
  <c r="M152" i="192"/>
  <c r="K182" i="192"/>
  <c r="K242" i="192" s="1"/>
  <c r="N152" i="192"/>
  <c r="K152" i="192"/>
  <c r="P152" i="192"/>
  <c r="N178" i="192"/>
  <c r="N238" i="192" s="1"/>
  <c r="L148" i="192"/>
  <c r="M148" i="192"/>
  <c r="K148" i="192"/>
  <c r="Q148" i="192"/>
  <c r="N148" i="192"/>
  <c r="L178" i="192"/>
  <c r="L238" i="192" s="1"/>
  <c r="Q178" i="192"/>
  <c r="Q238" i="192" s="1"/>
  <c r="J178" i="192"/>
  <c r="J238" i="192" s="1"/>
  <c r="M178" i="192"/>
  <c r="M238" i="192" s="1"/>
  <c r="O178" i="192"/>
  <c r="O238" i="192" s="1"/>
  <c r="J148" i="192"/>
  <c r="P178" i="192"/>
  <c r="P238" i="192" s="1"/>
  <c r="K178" i="192"/>
  <c r="K238" i="192" s="1"/>
  <c r="P148" i="192"/>
  <c r="O148" i="192"/>
  <c r="N184" i="192"/>
  <c r="N244" i="192" s="1"/>
  <c r="Q154" i="192"/>
  <c r="Q184" i="192"/>
  <c r="Q244" i="192" s="1"/>
  <c r="J154" i="192"/>
  <c r="M154" i="192"/>
  <c r="M184" i="192"/>
  <c r="M244" i="192" s="1"/>
  <c r="P154" i="192"/>
  <c r="K184" i="192"/>
  <c r="K244" i="192" s="1"/>
  <c r="L154" i="192"/>
  <c r="L184" i="192"/>
  <c r="L244" i="192" s="1"/>
  <c r="O184" i="192"/>
  <c r="O244" i="192" s="1"/>
  <c r="K154" i="192"/>
  <c r="J184" i="192"/>
  <c r="J244" i="192" s="1"/>
  <c r="N154" i="192"/>
  <c r="O154" i="192"/>
  <c r="P184" i="192"/>
  <c r="P244" i="192" s="1"/>
  <c r="J219" i="191" l="1"/>
  <c r="J22" i="196" s="1"/>
  <c r="J42" i="196" s="1"/>
  <c r="K284" i="192"/>
  <c r="K47" i="194" s="1"/>
  <c r="K92" i="194" s="1"/>
  <c r="K214" i="192"/>
  <c r="J284" i="192"/>
  <c r="J47" i="194" s="1"/>
  <c r="J92" i="194" s="1"/>
  <c r="J214" i="192"/>
  <c r="J208" i="192"/>
  <c r="J278" i="192"/>
  <c r="J41" i="194" s="1"/>
  <c r="J86" i="194" s="1"/>
  <c r="K278" i="192"/>
  <c r="K41" i="194" s="1"/>
  <c r="K86" i="194" s="1"/>
  <c r="K208" i="192"/>
  <c r="O207" i="192"/>
  <c r="O277" i="192"/>
  <c r="O40" i="194" s="1"/>
  <c r="O85" i="194" s="1"/>
  <c r="L277" i="192"/>
  <c r="L40" i="194" s="1"/>
  <c r="L85" i="194" s="1"/>
  <c r="L207" i="192"/>
  <c r="N211" i="192"/>
  <c r="N281" i="192"/>
  <c r="N44" i="194" s="1"/>
  <c r="N89" i="194" s="1"/>
  <c r="Q211" i="192"/>
  <c r="Q281" i="192"/>
  <c r="Q44" i="194" s="1"/>
  <c r="Q89" i="194" s="1"/>
  <c r="P213" i="192"/>
  <c r="P283" i="192"/>
  <c r="P46" i="194" s="1"/>
  <c r="P91" i="194" s="1"/>
  <c r="O283" i="192"/>
  <c r="O46" i="194" s="1"/>
  <c r="O91" i="194" s="1"/>
  <c r="O213" i="192"/>
  <c r="O214" i="192"/>
  <c r="O284" i="192"/>
  <c r="O47" i="194" s="1"/>
  <c r="O92" i="194" s="1"/>
  <c r="P214" i="192"/>
  <c r="P284" i="192"/>
  <c r="P47" i="194" s="1"/>
  <c r="P92" i="194" s="1"/>
  <c r="P278" i="192"/>
  <c r="P41" i="194" s="1"/>
  <c r="P86" i="194" s="1"/>
  <c r="P208" i="192"/>
  <c r="M278" i="192"/>
  <c r="M41" i="194" s="1"/>
  <c r="M86" i="194" s="1"/>
  <c r="M208" i="192"/>
  <c r="K282" i="192"/>
  <c r="K45" i="194" s="1"/>
  <c r="K90" i="194" s="1"/>
  <c r="K212" i="192"/>
  <c r="L212" i="192"/>
  <c r="L282" i="192"/>
  <c r="L45" i="194" s="1"/>
  <c r="L90" i="194" s="1"/>
  <c r="K207" i="192"/>
  <c r="K277" i="192"/>
  <c r="K40" i="194" s="1"/>
  <c r="K85" i="194" s="1"/>
  <c r="M277" i="192"/>
  <c r="M40" i="194" s="1"/>
  <c r="M85" i="194" s="1"/>
  <c r="M207" i="192"/>
  <c r="M281" i="192"/>
  <c r="M44" i="194" s="1"/>
  <c r="M89" i="194" s="1"/>
  <c r="M211" i="192"/>
  <c r="P211" i="192"/>
  <c r="P281" i="192"/>
  <c r="P44" i="194" s="1"/>
  <c r="P89" i="194" s="1"/>
  <c r="S250" i="193"/>
  <c r="S26" i="196" s="1"/>
  <c r="AI46" i="196" s="1"/>
  <c r="R250" i="193"/>
  <c r="R26" i="196" s="1"/>
  <c r="AH46" i="196" s="1"/>
  <c r="L257" i="192"/>
  <c r="L25" i="196" s="1"/>
  <c r="Q206" i="192"/>
  <c r="Q276" i="192"/>
  <c r="Q39" i="194" s="1"/>
  <c r="Q84" i="194" s="1"/>
  <c r="Q257" i="192"/>
  <c r="Q25" i="196" s="1"/>
  <c r="AG45" i="196" s="1"/>
  <c r="L276" i="192"/>
  <c r="L39" i="194" s="1"/>
  <c r="L84" i="194" s="1"/>
  <c r="L206" i="192"/>
  <c r="K209" i="192"/>
  <c r="K279" i="192"/>
  <c r="K42" i="194" s="1"/>
  <c r="K87" i="194" s="1"/>
  <c r="N209" i="192"/>
  <c r="N279" i="192"/>
  <c r="N42" i="194" s="1"/>
  <c r="N87" i="194" s="1"/>
  <c r="Q209" i="192"/>
  <c r="Q279" i="192"/>
  <c r="Q42" i="194" s="1"/>
  <c r="Q87" i="194" s="1"/>
  <c r="Q218" i="191"/>
  <c r="Q21" i="196" s="1"/>
  <c r="AG41" i="196" s="1"/>
  <c r="J218" i="191"/>
  <c r="J21" i="196" s="1"/>
  <c r="J41" i="196" s="1"/>
  <c r="O218" i="191"/>
  <c r="O21" i="196" s="1"/>
  <c r="P219" i="191"/>
  <c r="P22" i="196" s="1"/>
  <c r="K36" i="191"/>
  <c r="K141" i="191" s="1"/>
  <c r="K217" i="191" s="1"/>
  <c r="K20" i="196" s="1"/>
  <c r="K40" i="196" s="1"/>
  <c r="K239" i="189"/>
  <c r="J22" i="197"/>
  <c r="J77" i="196"/>
  <c r="O36" i="191"/>
  <c r="O141" i="191" s="1"/>
  <c r="O217" i="191" s="1"/>
  <c r="O20" i="196" s="1"/>
  <c r="O239" i="189"/>
  <c r="W219" i="191"/>
  <c r="W22" i="196" s="1"/>
  <c r="AM42" i="196" s="1"/>
  <c r="R218" i="191"/>
  <c r="R21" i="196" s="1"/>
  <c r="AH41" i="196" s="1"/>
  <c r="X219" i="191"/>
  <c r="X22" i="196" s="1"/>
  <c r="AN42" i="196" s="1"/>
  <c r="T36" i="191"/>
  <c r="T141" i="191" s="1"/>
  <c r="T217" i="191" s="1"/>
  <c r="T20" i="196" s="1"/>
  <c r="AJ40" i="196" s="1"/>
  <c r="T239" i="189"/>
  <c r="K219" i="191"/>
  <c r="K22" i="196" s="1"/>
  <c r="K42" i="196" s="1"/>
  <c r="P36" i="191"/>
  <c r="P141" i="191" s="1"/>
  <c r="P217" i="191" s="1"/>
  <c r="P20" i="196" s="1"/>
  <c r="P239" i="189"/>
  <c r="L219" i="191"/>
  <c r="L22" i="196" s="1"/>
  <c r="S36" i="191"/>
  <c r="S141" i="191" s="1"/>
  <c r="S217" i="191" s="1"/>
  <c r="S20" i="196" s="1"/>
  <c r="AI40" i="196" s="1"/>
  <c r="S239" i="189"/>
  <c r="J285" i="192"/>
  <c r="J48" i="194" s="1"/>
  <c r="J93" i="194" s="1"/>
  <c r="J215" i="192"/>
  <c r="O285" i="192"/>
  <c r="O48" i="194" s="1"/>
  <c r="O93" i="194" s="1"/>
  <c r="O215" i="192"/>
  <c r="M280" i="192"/>
  <c r="M43" i="194" s="1"/>
  <c r="M88" i="194" s="1"/>
  <c r="M210" i="192"/>
  <c r="N284" i="192"/>
  <c r="N47" i="194" s="1"/>
  <c r="N92" i="194" s="1"/>
  <c r="N214" i="192"/>
  <c r="Q214" i="192"/>
  <c r="Q284" i="192"/>
  <c r="Q47" i="194" s="1"/>
  <c r="Q92" i="194" s="1"/>
  <c r="N208" i="192"/>
  <c r="N278" i="192"/>
  <c r="N41" i="194" s="1"/>
  <c r="N86" i="194" s="1"/>
  <c r="L208" i="192"/>
  <c r="L278" i="192"/>
  <c r="L41" i="194" s="1"/>
  <c r="L86" i="194" s="1"/>
  <c r="N282" i="192"/>
  <c r="N45" i="194" s="1"/>
  <c r="N90" i="194" s="1"/>
  <c r="N212" i="192"/>
  <c r="O282" i="192"/>
  <c r="O45" i="194" s="1"/>
  <c r="O90" i="194" s="1"/>
  <c r="O212" i="192"/>
  <c r="J212" i="192"/>
  <c r="J282" i="192"/>
  <c r="J45" i="194" s="1"/>
  <c r="J90" i="194" s="1"/>
  <c r="J277" i="192"/>
  <c r="J40" i="194" s="1"/>
  <c r="J85" i="194" s="1"/>
  <c r="J207" i="192"/>
  <c r="Q207" i="192"/>
  <c r="Q277" i="192"/>
  <c r="Q40" i="194" s="1"/>
  <c r="Q85" i="194" s="1"/>
  <c r="J211" i="192"/>
  <c r="J281" i="192"/>
  <c r="J44" i="194" s="1"/>
  <c r="J89" i="194" s="1"/>
  <c r="Q283" i="192"/>
  <c r="Q46" i="194" s="1"/>
  <c r="Q91" i="194" s="1"/>
  <c r="Q213" i="192"/>
  <c r="L213" i="192"/>
  <c r="L283" i="192"/>
  <c r="L46" i="194" s="1"/>
  <c r="L91" i="194" s="1"/>
  <c r="N283" i="192"/>
  <c r="N46" i="194" s="1"/>
  <c r="N91" i="194" s="1"/>
  <c r="N213" i="192"/>
  <c r="U250" i="193"/>
  <c r="U26" i="196" s="1"/>
  <c r="AK46" i="196" s="1"/>
  <c r="T250" i="193"/>
  <c r="T26" i="196" s="1"/>
  <c r="AJ46" i="196" s="1"/>
  <c r="J276" i="192"/>
  <c r="J39" i="194" s="1"/>
  <c r="J206" i="192"/>
  <c r="P257" i="192"/>
  <c r="P25" i="196" s="1"/>
  <c r="O257" i="192"/>
  <c r="O25" i="196" s="1"/>
  <c r="P276" i="192"/>
  <c r="P39" i="194" s="1"/>
  <c r="P84" i="194" s="1"/>
  <c r="P206" i="192"/>
  <c r="L209" i="192"/>
  <c r="L279" i="192"/>
  <c r="L42" i="194" s="1"/>
  <c r="L87" i="194" s="1"/>
  <c r="M279" i="192"/>
  <c r="M42" i="194" s="1"/>
  <c r="M87" i="194" s="1"/>
  <c r="M209" i="192"/>
  <c r="O250" i="193"/>
  <c r="O26" i="196" s="1"/>
  <c r="U218" i="191"/>
  <c r="U21" i="196" s="1"/>
  <c r="AK41" i="196" s="1"/>
  <c r="T218" i="191"/>
  <c r="T21" i="196" s="1"/>
  <c r="AJ41" i="196" s="1"/>
  <c r="W218" i="191"/>
  <c r="W21" i="196" s="1"/>
  <c r="AM41" i="196" s="1"/>
  <c r="M218" i="191"/>
  <c r="M21" i="196" s="1"/>
  <c r="Q41" i="196" s="1"/>
  <c r="L218" i="191"/>
  <c r="L21" i="196" s="1"/>
  <c r="N219" i="191"/>
  <c r="N22" i="196" s="1"/>
  <c r="Q36" i="191"/>
  <c r="Q141" i="191" s="1"/>
  <c r="Q217" i="191" s="1"/>
  <c r="Q20" i="196" s="1"/>
  <c r="AG40" i="196" s="1"/>
  <c r="Q239" i="189"/>
  <c r="Y36" i="191"/>
  <c r="Y141" i="191" s="1"/>
  <c r="Y217" i="191" s="1"/>
  <c r="Y20" i="196" s="1"/>
  <c r="AO40" i="196" s="1"/>
  <c r="Y239" i="189"/>
  <c r="P218" i="191"/>
  <c r="P21" i="196" s="1"/>
  <c r="N36" i="191"/>
  <c r="N141" i="191" s="1"/>
  <c r="N217" i="191" s="1"/>
  <c r="N20" i="196" s="1"/>
  <c r="N239" i="189"/>
  <c r="N250" i="193"/>
  <c r="N26" i="196" s="1"/>
  <c r="K250" i="193"/>
  <c r="K26" i="196" s="1"/>
  <c r="K46" i="196" s="1"/>
  <c r="M250" i="193"/>
  <c r="M26" i="196" s="1"/>
  <c r="Q46" i="196" s="1"/>
  <c r="L215" i="192"/>
  <c r="L285" i="192"/>
  <c r="L48" i="194" s="1"/>
  <c r="L93" i="194" s="1"/>
  <c r="K280" i="192"/>
  <c r="K43" i="194" s="1"/>
  <c r="K88" i="194" s="1"/>
  <c r="K210" i="192"/>
  <c r="J210" i="192"/>
  <c r="J280" i="192"/>
  <c r="J43" i="194" s="1"/>
  <c r="J88" i="194" s="1"/>
  <c r="P280" i="192"/>
  <c r="P43" i="194" s="1"/>
  <c r="P88" i="194" s="1"/>
  <c r="P210" i="192"/>
  <c r="O278" i="192"/>
  <c r="O41" i="194" s="1"/>
  <c r="O86" i="194" s="1"/>
  <c r="O208" i="192"/>
  <c r="P212" i="192"/>
  <c r="P282" i="192"/>
  <c r="P45" i="194" s="1"/>
  <c r="P90" i="194" s="1"/>
  <c r="M282" i="192"/>
  <c r="M45" i="194" s="1"/>
  <c r="M90" i="194" s="1"/>
  <c r="M212" i="192"/>
  <c r="L284" i="192"/>
  <c r="L47" i="194" s="1"/>
  <c r="L92" i="194" s="1"/>
  <c r="L214" i="192"/>
  <c r="M284" i="192"/>
  <c r="M47" i="194" s="1"/>
  <c r="M92" i="194" s="1"/>
  <c r="M214" i="192"/>
  <c r="Q208" i="192"/>
  <c r="Q278" i="192"/>
  <c r="Q41" i="194" s="1"/>
  <c r="Q86" i="194" s="1"/>
  <c r="Q212" i="192"/>
  <c r="Q282" i="192"/>
  <c r="Q45" i="194" s="1"/>
  <c r="Q90" i="194" s="1"/>
  <c r="P277" i="192"/>
  <c r="P40" i="194" s="1"/>
  <c r="P85" i="194" s="1"/>
  <c r="P207" i="192"/>
  <c r="N277" i="192"/>
  <c r="N40" i="194" s="1"/>
  <c r="N85" i="194" s="1"/>
  <c r="N207" i="192"/>
  <c r="L211" i="192"/>
  <c r="L281" i="192"/>
  <c r="L44" i="194" s="1"/>
  <c r="L89" i="194" s="1"/>
  <c r="K281" i="192"/>
  <c r="K44" i="194" s="1"/>
  <c r="K89" i="194" s="1"/>
  <c r="K211" i="192"/>
  <c r="O211" i="192"/>
  <c r="O281" i="192"/>
  <c r="O44" i="194" s="1"/>
  <c r="O89" i="194" s="1"/>
  <c r="M213" i="192"/>
  <c r="M283" i="192"/>
  <c r="M46" i="194" s="1"/>
  <c r="M91" i="194" s="1"/>
  <c r="J213" i="192"/>
  <c r="J283" i="192"/>
  <c r="J46" i="194" s="1"/>
  <c r="J91" i="194" s="1"/>
  <c r="K283" i="192"/>
  <c r="K46" i="194" s="1"/>
  <c r="K91" i="194" s="1"/>
  <c r="K213" i="192"/>
  <c r="Y250" i="193"/>
  <c r="Y26" i="196" s="1"/>
  <c r="AO46" i="196" s="1"/>
  <c r="X250" i="193"/>
  <c r="X26" i="196" s="1"/>
  <c r="AN46" i="196" s="1"/>
  <c r="M276" i="192"/>
  <c r="M39" i="194" s="1"/>
  <c r="M84" i="194" s="1"/>
  <c r="M206" i="192"/>
  <c r="N257" i="192"/>
  <c r="N25" i="196" s="1"/>
  <c r="K206" i="192"/>
  <c r="K276" i="192"/>
  <c r="K39" i="194" s="1"/>
  <c r="K84" i="194" s="1"/>
  <c r="J257" i="192"/>
  <c r="J25" i="196" s="1"/>
  <c r="J45" i="196" s="1"/>
  <c r="O279" i="192"/>
  <c r="O42" i="194" s="1"/>
  <c r="O87" i="194" s="1"/>
  <c r="O209" i="192"/>
  <c r="P209" i="192"/>
  <c r="P279" i="192"/>
  <c r="P42" i="194" s="1"/>
  <c r="P87" i="194" s="1"/>
  <c r="V218" i="191"/>
  <c r="V21" i="196" s="1"/>
  <c r="AL41" i="196" s="1"/>
  <c r="V36" i="191"/>
  <c r="V141" i="191" s="1"/>
  <c r="V217" i="191" s="1"/>
  <c r="V20" i="196" s="1"/>
  <c r="AL40" i="196" s="1"/>
  <c r="V239" i="189"/>
  <c r="X36" i="191"/>
  <c r="X141" i="191" s="1"/>
  <c r="X217" i="191" s="1"/>
  <c r="X20" i="196" s="1"/>
  <c r="AN40" i="196" s="1"/>
  <c r="X239" i="189"/>
  <c r="Q219" i="191"/>
  <c r="Q22" i="196" s="1"/>
  <c r="AG42" i="196" s="1"/>
  <c r="J250" i="193"/>
  <c r="J26" i="196" s="1"/>
  <c r="J46" i="196" s="1"/>
  <c r="Y218" i="191"/>
  <c r="Y21" i="196" s="1"/>
  <c r="AO41" i="196" s="1"/>
  <c r="M36" i="191"/>
  <c r="M141" i="191" s="1"/>
  <c r="M217" i="191" s="1"/>
  <c r="M20" i="196" s="1"/>
  <c r="Q40" i="196" s="1"/>
  <c r="M239" i="189"/>
  <c r="T219" i="191"/>
  <c r="T22" i="196" s="1"/>
  <c r="AJ42" i="196" s="1"/>
  <c r="Y219" i="191"/>
  <c r="Y22" i="196" s="1"/>
  <c r="AO42" i="196" s="1"/>
  <c r="R219" i="191"/>
  <c r="R22" i="196" s="1"/>
  <c r="AH42" i="196" s="1"/>
  <c r="S218" i="191"/>
  <c r="S21" i="196" s="1"/>
  <c r="AI41" i="196" s="1"/>
  <c r="N218" i="191"/>
  <c r="N21" i="196" s="1"/>
  <c r="S219" i="191"/>
  <c r="S22" i="196" s="1"/>
  <c r="AI42" i="196" s="1"/>
  <c r="P250" i="193"/>
  <c r="P26" i="196" s="1"/>
  <c r="L36" i="191"/>
  <c r="L141" i="191" s="1"/>
  <c r="L217" i="191" s="1"/>
  <c r="L20" i="196" s="1"/>
  <c r="L239" i="189"/>
  <c r="M285" i="192"/>
  <c r="M48" i="194" s="1"/>
  <c r="M93" i="194" s="1"/>
  <c r="M215" i="192"/>
  <c r="K285" i="192"/>
  <c r="K48" i="194" s="1"/>
  <c r="K93" i="194" s="1"/>
  <c r="K215" i="192"/>
  <c r="O280" i="192"/>
  <c r="O43" i="194" s="1"/>
  <c r="O88" i="194" s="1"/>
  <c r="O210" i="192"/>
  <c r="N280" i="192"/>
  <c r="N43" i="194" s="1"/>
  <c r="N88" i="194" s="1"/>
  <c r="N210" i="192"/>
  <c r="W250" i="193"/>
  <c r="W26" i="196" s="1"/>
  <c r="AM46" i="196" s="1"/>
  <c r="V250" i="193"/>
  <c r="V26" i="196" s="1"/>
  <c r="AL46" i="196" s="1"/>
  <c r="N206" i="192"/>
  <c r="N276" i="192"/>
  <c r="N39" i="194" s="1"/>
  <c r="N84" i="194" s="1"/>
  <c r="K257" i="192"/>
  <c r="K25" i="196" s="1"/>
  <c r="K45" i="196" s="1"/>
  <c r="M257" i="192"/>
  <c r="M25" i="196" s="1"/>
  <c r="Q45" i="196" s="1"/>
  <c r="O206" i="192"/>
  <c r="O276" i="192"/>
  <c r="O39" i="194" s="1"/>
  <c r="O84" i="194" s="1"/>
  <c r="J279" i="192"/>
  <c r="J42" i="194" s="1"/>
  <c r="J87" i="194" s="1"/>
  <c r="J209" i="192"/>
  <c r="H237" i="189" a="1"/>
  <c r="H237" i="189" s="1"/>
  <c r="U36" i="191"/>
  <c r="U141" i="191" s="1"/>
  <c r="U217" i="191" s="1"/>
  <c r="U20" i="196" s="1"/>
  <c r="AK40" i="196" s="1"/>
  <c r="U239" i="189"/>
  <c r="Q250" i="193"/>
  <c r="Q26" i="196" s="1"/>
  <c r="AG46" i="196" s="1"/>
  <c r="J36" i="191"/>
  <c r="J239" i="189"/>
  <c r="L250" i="193"/>
  <c r="L26" i="196" s="1"/>
  <c r="W36" i="191"/>
  <c r="W141" i="191" s="1"/>
  <c r="W217" i="191" s="1"/>
  <c r="W20" i="196" s="1"/>
  <c r="AM40" i="196" s="1"/>
  <c r="W239" i="189"/>
  <c r="K218" i="191"/>
  <c r="K21" i="196" s="1"/>
  <c r="K41" i="196" s="1"/>
  <c r="O219" i="191"/>
  <c r="O22" i="196" s="1"/>
  <c r="U219" i="191"/>
  <c r="U22" i="196" s="1"/>
  <c r="AK42" i="196" s="1"/>
  <c r="V219" i="191"/>
  <c r="V22" i="196" s="1"/>
  <c r="AL42" i="196" s="1"/>
  <c r="R36" i="191"/>
  <c r="R141" i="191" s="1"/>
  <c r="R217" i="191" s="1"/>
  <c r="R20" i="196" s="1"/>
  <c r="AH40" i="196" s="1"/>
  <c r="R239" i="189"/>
  <c r="X218" i="191"/>
  <c r="X21" i="196" s="1"/>
  <c r="AN41" i="196" s="1"/>
  <c r="M219" i="191"/>
  <c r="M22" i="196" s="1"/>
  <c r="Q42" i="196" s="1"/>
  <c r="P215" i="192"/>
  <c r="P285" i="192"/>
  <c r="P48" i="194" s="1"/>
  <c r="P93" i="194" s="1"/>
  <c r="Q285" i="192"/>
  <c r="Q48" i="194" s="1"/>
  <c r="Q93" i="194" s="1"/>
  <c r="Q215" i="192"/>
  <c r="N285" i="192"/>
  <c r="N48" i="194" s="1"/>
  <c r="N93" i="194" s="1"/>
  <c r="N215" i="192"/>
  <c r="Q280" i="192"/>
  <c r="Q43" i="194" s="1"/>
  <c r="Q88" i="194" s="1"/>
  <c r="Q210" i="192"/>
  <c r="L280" i="192"/>
  <c r="L43" i="194" s="1"/>
  <c r="L88" i="194" s="1"/>
  <c r="L210" i="192"/>
  <c r="H254" i="193" l="1" a="1"/>
  <c r="H254" i="193" s="1"/>
  <c r="AI77" i="196"/>
  <c r="AI22" i="197"/>
  <c r="AO22" i="197"/>
  <c r="AO77" i="196"/>
  <c r="AO76" i="196"/>
  <c r="AO21" i="197"/>
  <c r="AN75" i="196"/>
  <c r="AN20" i="197"/>
  <c r="J80" i="196"/>
  <c r="J25" i="197"/>
  <c r="J115" i="197" s="1"/>
  <c r="M256" i="192"/>
  <c r="M24" i="196" s="1"/>
  <c r="Q44" i="196" s="1"/>
  <c r="AO26" i="197"/>
  <c r="AO116" i="197" s="1"/>
  <c r="AO127" i="197" s="1"/>
  <c r="AO156" i="197" s="1"/>
  <c r="AO61" i="198" s="1"/>
  <c r="AO101" i="198" s="1"/>
  <c r="AO81" i="196"/>
  <c r="Q118" i="194"/>
  <c r="Q150" i="194" s="1"/>
  <c r="R118" i="194"/>
  <c r="R150" i="194" s="1"/>
  <c r="X118" i="194"/>
  <c r="X150" i="194" s="1"/>
  <c r="P118" i="194"/>
  <c r="P150" i="194" s="1"/>
  <c r="M118" i="194"/>
  <c r="M150" i="194" s="1"/>
  <c r="W118" i="194"/>
  <c r="W150" i="194" s="1"/>
  <c r="Y118" i="194"/>
  <c r="Y150" i="194" s="1"/>
  <c r="N118" i="194"/>
  <c r="N150" i="194" s="1"/>
  <c r="V118" i="194"/>
  <c r="V150" i="194" s="1"/>
  <c r="U118" i="194"/>
  <c r="U150" i="194" s="1"/>
  <c r="S118" i="194"/>
  <c r="S150" i="194" s="1"/>
  <c r="O118" i="194"/>
  <c r="O150" i="194" s="1"/>
  <c r="T118" i="194"/>
  <c r="T150" i="194" s="1"/>
  <c r="K118" i="194"/>
  <c r="K150" i="194" s="1"/>
  <c r="K81" i="196"/>
  <c r="K26" i="197"/>
  <c r="K116" i="197" s="1"/>
  <c r="AF41" i="196"/>
  <c r="AD41" i="196"/>
  <c r="AE41" i="196"/>
  <c r="AB41" i="196"/>
  <c r="AC41" i="196"/>
  <c r="AG75" i="196"/>
  <c r="AG20" i="197"/>
  <c r="AM21" i="197"/>
  <c r="AM76" i="196"/>
  <c r="P256" i="192"/>
  <c r="P24" i="196" s="1"/>
  <c r="J256" i="192"/>
  <c r="J24" i="196" s="1"/>
  <c r="J44" i="196" s="1"/>
  <c r="J120" i="194"/>
  <c r="J152" i="194" s="1"/>
  <c r="L120" i="194"/>
  <c r="L152" i="194" s="1"/>
  <c r="AF40" i="196"/>
  <c r="AB40" i="196"/>
  <c r="AC40" i="196"/>
  <c r="AD40" i="196"/>
  <c r="AE40" i="196"/>
  <c r="AN22" i="197"/>
  <c r="AN77" i="196"/>
  <c r="AA40" i="196"/>
  <c r="W40" i="196"/>
  <c r="Y40" i="196"/>
  <c r="X40" i="196"/>
  <c r="Z40" i="196"/>
  <c r="K20" i="197"/>
  <c r="K75" i="196"/>
  <c r="AG76" i="196"/>
  <c r="AG21" i="197"/>
  <c r="N45" i="196"/>
  <c r="M45" i="196"/>
  <c r="P45" i="196"/>
  <c r="L45" i="196"/>
  <c r="O45" i="196"/>
  <c r="M116" i="194"/>
  <c r="M148" i="194" s="1"/>
  <c r="N116" i="194"/>
  <c r="N148" i="194" s="1"/>
  <c r="U116" i="194"/>
  <c r="U148" i="194" s="1"/>
  <c r="V116" i="194"/>
  <c r="V148" i="194" s="1"/>
  <c r="X116" i="194"/>
  <c r="X148" i="194" s="1"/>
  <c r="Y116" i="194"/>
  <c r="Y148" i="194" s="1"/>
  <c r="O116" i="194"/>
  <c r="O148" i="194" s="1"/>
  <c r="T116" i="194"/>
  <c r="T148" i="194" s="1"/>
  <c r="R116" i="194"/>
  <c r="R148" i="194" s="1"/>
  <c r="P116" i="194"/>
  <c r="P148" i="194" s="1"/>
  <c r="K116" i="194"/>
  <c r="K148" i="194" s="1"/>
  <c r="Q116" i="194"/>
  <c r="Q148" i="194" s="1"/>
  <c r="W116" i="194"/>
  <c r="W148" i="194" s="1"/>
  <c r="S116" i="194"/>
  <c r="S148" i="194" s="1"/>
  <c r="L122" i="194"/>
  <c r="L154" i="194" s="1"/>
  <c r="J122" i="194"/>
  <c r="J154" i="194" s="1"/>
  <c r="X42" i="196"/>
  <c r="Z42" i="196"/>
  <c r="W42" i="196"/>
  <c r="AA42" i="196"/>
  <c r="Y42" i="196"/>
  <c r="O46" i="196"/>
  <c r="L46" i="196"/>
  <c r="N46" i="196"/>
  <c r="M46" i="196"/>
  <c r="P46" i="196"/>
  <c r="K80" i="196"/>
  <c r="K25" i="197"/>
  <c r="K115" i="197" s="1"/>
  <c r="AC46" i="196"/>
  <c r="AF46" i="196"/>
  <c r="AD46" i="196"/>
  <c r="AB46" i="196"/>
  <c r="AE46" i="196"/>
  <c r="AN81" i="196"/>
  <c r="AN26" i="197"/>
  <c r="AN116" i="197" s="1"/>
  <c r="Q81" i="196"/>
  <c r="Q26" i="197"/>
  <c r="Q116" i="197" s="1"/>
  <c r="AA46" i="196"/>
  <c r="Z46" i="196"/>
  <c r="W46" i="196"/>
  <c r="X46" i="196"/>
  <c r="Y46" i="196"/>
  <c r="AD45" i="196"/>
  <c r="AE45" i="196"/>
  <c r="AB45" i="196"/>
  <c r="AF45" i="196"/>
  <c r="AC45" i="196"/>
  <c r="AJ75" i="196"/>
  <c r="AJ20" i="197"/>
  <c r="J76" i="196"/>
  <c r="J21" i="197"/>
  <c r="Q256" i="192"/>
  <c r="Q24" i="196" s="1"/>
  <c r="AG44" i="196" s="1"/>
  <c r="O256" i="192"/>
  <c r="O24" i="196" s="1"/>
  <c r="N256" i="192"/>
  <c r="N24" i="196" s="1"/>
  <c r="S41" i="196"/>
  <c r="T41" i="196"/>
  <c r="V41" i="196"/>
  <c r="U41" i="196"/>
  <c r="R41" i="196"/>
  <c r="AJ22" i="197"/>
  <c r="AJ77" i="196"/>
  <c r="J26" i="197"/>
  <c r="J116" i="197" s="1"/>
  <c r="J81" i="196"/>
  <c r="V114" i="194"/>
  <c r="V146" i="194" s="1"/>
  <c r="N114" i="194"/>
  <c r="N146" i="194" s="1"/>
  <c r="T114" i="194"/>
  <c r="T146" i="194" s="1"/>
  <c r="S114" i="194"/>
  <c r="S146" i="194" s="1"/>
  <c r="K114" i="194"/>
  <c r="K146" i="194" s="1"/>
  <c r="U114" i="194"/>
  <c r="U146" i="194" s="1"/>
  <c r="Y114" i="194"/>
  <c r="Y146" i="194" s="1"/>
  <c r="O114" i="194"/>
  <c r="O146" i="194" s="1"/>
  <c r="R114" i="194"/>
  <c r="R146" i="194" s="1"/>
  <c r="P114" i="194"/>
  <c r="P146" i="194" s="1"/>
  <c r="X114" i="194"/>
  <c r="X146" i="194" s="1"/>
  <c r="M114" i="194"/>
  <c r="M146" i="194" s="1"/>
  <c r="W114" i="194"/>
  <c r="W146" i="194" s="1"/>
  <c r="Q114" i="194"/>
  <c r="Q146" i="194" s="1"/>
  <c r="L118" i="194"/>
  <c r="L150" i="194" s="1"/>
  <c r="J118" i="194"/>
  <c r="J150" i="194" s="1"/>
  <c r="V46" i="196"/>
  <c r="T46" i="196"/>
  <c r="R46" i="196"/>
  <c r="S46" i="196"/>
  <c r="U46" i="196"/>
  <c r="R42" i="196"/>
  <c r="V42" i="196"/>
  <c r="T42" i="196"/>
  <c r="S42" i="196"/>
  <c r="U42" i="196"/>
  <c r="AJ21" i="197"/>
  <c r="AJ76" i="196"/>
  <c r="J84" i="194"/>
  <c r="AI20" i="197"/>
  <c r="AI75" i="196"/>
  <c r="K22" i="197"/>
  <c r="K77" i="196"/>
  <c r="AH21" i="197"/>
  <c r="AH76" i="196"/>
  <c r="AD42" i="196"/>
  <c r="AE42" i="196"/>
  <c r="AC42" i="196"/>
  <c r="AB42" i="196"/>
  <c r="AF42" i="196"/>
  <c r="U117" i="194"/>
  <c r="U149" i="194" s="1"/>
  <c r="S117" i="194"/>
  <c r="S149" i="194" s="1"/>
  <c r="Q117" i="194"/>
  <c r="Q149" i="194" s="1"/>
  <c r="M117" i="194"/>
  <c r="M149" i="194" s="1"/>
  <c r="X117" i="194"/>
  <c r="X149" i="194" s="1"/>
  <c r="W117" i="194"/>
  <c r="W149" i="194" s="1"/>
  <c r="T117" i="194"/>
  <c r="T149" i="194" s="1"/>
  <c r="O117" i="194"/>
  <c r="O149" i="194" s="1"/>
  <c r="K117" i="194"/>
  <c r="K149" i="194" s="1"/>
  <c r="V117" i="194"/>
  <c r="V149" i="194" s="1"/>
  <c r="Y117" i="194"/>
  <c r="Y149" i="194" s="1"/>
  <c r="N117" i="194"/>
  <c r="N149" i="194" s="1"/>
  <c r="P117" i="194"/>
  <c r="P149" i="194" s="1"/>
  <c r="R117" i="194"/>
  <c r="R149" i="194" s="1"/>
  <c r="AG25" i="197"/>
  <c r="AG115" i="197" s="1"/>
  <c r="AG80" i="196"/>
  <c r="AH26" i="197"/>
  <c r="AH116" i="197" s="1"/>
  <c r="AH81" i="196"/>
  <c r="R115" i="194"/>
  <c r="R147" i="194" s="1"/>
  <c r="P115" i="194"/>
  <c r="P147" i="194" s="1"/>
  <c r="T115" i="194"/>
  <c r="T147" i="194" s="1"/>
  <c r="X115" i="194"/>
  <c r="X147" i="194" s="1"/>
  <c r="Y115" i="194"/>
  <c r="Y147" i="194" s="1"/>
  <c r="W115" i="194"/>
  <c r="W147" i="194" s="1"/>
  <c r="O115" i="194"/>
  <c r="O147" i="194" s="1"/>
  <c r="K115" i="194"/>
  <c r="K147" i="194" s="1"/>
  <c r="U115" i="194"/>
  <c r="U147" i="194" s="1"/>
  <c r="Q115" i="194"/>
  <c r="Q147" i="194" s="1"/>
  <c r="V115" i="194"/>
  <c r="V147" i="194" s="1"/>
  <c r="N115" i="194"/>
  <c r="N147" i="194" s="1"/>
  <c r="S115" i="194"/>
  <c r="S147" i="194" s="1"/>
  <c r="M115" i="194"/>
  <c r="M147" i="194" s="1"/>
  <c r="J116" i="194"/>
  <c r="J148" i="194" s="1"/>
  <c r="L116" i="194"/>
  <c r="L148" i="194" s="1"/>
  <c r="J117" i="194"/>
  <c r="J149" i="194" s="1"/>
  <c r="L117" i="194"/>
  <c r="L149" i="194" s="1"/>
  <c r="AM26" i="197"/>
  <c r="AM116" i="197" s="1"/>
  <c r="AM127" i="197" s="1"/>
  <c r="AM156" i="197" s="1"/>
  <c r="AM61" i="198" s="1"/>
  <c r="AM101" i="198" s="1"/>
  <c r="AM81" i="196"/>
  <c r="AH22" i="197"/>
  <c r="AH77" i="196"/>
  <c r="Q75" i="196"/>
  <c r="Q20" i="197"/>
  <c r="AL76" i="196"/>
  <c r="AL21" i="197"/>
  <c r="R45" i="196"/>
  <c r="U45" i="196"/>
  <c r="T45" i="196"/>
  <c r="S45" i="196"/>
  <c r="V45" i="196"/>
  <c r="L121" i="194"/>
  <c r="L153" i="194" s="1"/>
  <c r="J121" i="194"/>
  <c r="J153" i="194" s="1"/>
  <c r="U40" i="196"/>
  <c r="V40" i="196"/>
  <c r="R40" i="196"/>
  <c r="T40" i="196"/>
  <c r="S40" i="196"/>
  <c r="Q21" i="197"/>
  <c r="Q76" i="196"/>
  <c r="AK81" i="196"/>
  <c r="AK26" i="197"/>
  <c r="AK116" i="197" s="1"/>
  <c r="AK127" i="197" s="1"/>
  <c r="AK156" i="197" s="1"/>
  <c r="AK61" i="198" s="1"/>
  <c r="AK101" i="198" s="1"/>
  <c r="L115" i="194"/>
  <c r="L147" i="194" s="1"/>
  <c r="J115" i="194"/>
  <c r="J147" i="194" s="1"/>
  <c r="J123" i="194"/>
  <c r="J155" i="194" s="1"/>
  <c r="L123" i="194"/>
  <c r="L155" i="194" s="1"/>
  <c r="L256" i="192"/>
  <c r="L24" i="196" s="1"/>
  <c r="AH20" i="197"/>
  <c r="AH75" i="196"/>
  <c r="K21" i="197"/>
  <c r="K76" i="196"/>
  <c r="H239" i="189"/>
  <c r="H241" i="189" s="1"/>
  <c r="AK75" i="196"/>
  <c r="AK20" i="197"/>
  <c r="Q22" i="197"/>
  <c r="Q77" i="196"/>
  <c r="AL22" i="197"/>
  <c r="AL77" i="196"/>
  <c r="J141" i="191"/>
  <c r="J217" i="191" s="1"/>
  <c r="J20" i="196" s="1"/>
  <c r="J40" i="196" s="1"/>
  <c r="H223" i="191" a="1"/>
  <c r="H223" i="191" s="1"/>
  <c r="AN76" i="196"/>
  <c r="AN21" i="197"/>
  <c r="AK77" i="196"/>
  <c r="AK22" i="197"/>
  <c r="AM20" i="197"/>
  <c r="AM75" i="196"/>
  <c r="AG81" i="196"/>
  <c r="AG26" i="197"/>
  <c r="AG116" i="197" s="1"/>
  <c r="Q80" i="196"/>
  <c r="Q25" i="197"/>
  <c r="Q115" i="197" s="1"/>
  <c r="AL26" i="197"/>
  <c r="AL116" i="197" s="1"/>
  <c r="AL81" i="196"/>
  <c r="S123" i="194"/>
  <c r="S155" i="194" s="1"/>
  <c r="T123" i="194"/>
  <c r="T155" i="194" s="1"/>
  <c r="W123" i="194"/>
  <c r="W155" i="194" s="1"/>
  <c r="U123" i="194"/>
  <c r="U155" i="194" s="1"/>
  <c r="M123" i="194"/>
  <c r="M155" i="194" s="1"/>
  <c r="Y123" i="194"/>
  <c r="Y155" i="194" s="1"/>
  <c r="N123" i="194"/>
  <c r="N155" i="194" s="1"/>
  <c r="X123" i="194"/>
  <c r="X155" i="194" s="1"/>
  <c r="V123" i="194"/>
  <c r="V155" i="194" s="1"/>
  <c r="Q123" i="194"/>
  <c r="Q155" i="194" s="1"/>
  <c r="O123" i="194"/>
  <c r="O155" i="194" s="1"/>
  <c r="P123" i="194"/>
  <c r="P155" i="194" s="1"/>
  <c r="K123" i="194"/>
  <c r="K155" i="194" s="1"/>
  <c r="R123" i="194"/>
  <c r="R155" i="194" s="1"/>
  <c r="P40" i="196"/>
  <c r="N40" i="196"/>
  <c r="L40" i="196"/>
  <c r="M40" i="196"/>
  <c r="O40" i="196"/>
  <c r="AI21" i="197"/>
  <c r="AI76" i="196"/>
  <c r="AG77" i="196"/>
  <c r="AG22" i="197"/>
  <c r="AL20" i="197"/>
  <c r="AL75" i="196"/>
  <c r="K256" i="192"/>
  <c r="K24" i="196" s="1"/>
  <c r="K44" i="196" s="1"/>
  <c r="W121" i="194"/>
  <c r="W153" i="194" s="1"/>
  <c r="S121" i="194"/>
  <c r="S153" i="194" s="1"/>
  <c r="R121" i="194"/>
  <c r="R153" i="194" s="1"/>
  <c r="X121" i="194"/>
  <c r="X153" i="194" s="1"/>
  <c r="M121" i="194"/>
  <c r="M153" i="194" s="1"/>
  <c r="P121" i="194"/>
  <c r="P153" i="194" s="1"/>
  <c r="N121" i="194"/>
  <c r="N153" i="194" s="1"/>
  <c r="Y121" i="194"/>
  <c r="Y153" i="194" s="1"/>
  <c r="T121" i="194"/>
  <c r="T153" i="194" s="1"/>
  <c r="V121" i="194"/>
  <c r="V153" i="194" s="1"/>
  <c r="K121" i="194"/>
  <c r="K153" i="194" s="1"/>
  <c r="O121" i="194"/>
  <c r="O153" i="194" s="1"/>
  <c r="Q121" i="194"/>
  <c r="Q153" i="194" s="1"/>
  <c r="U121" i="194"/>
  <c r="U153" i="194" s="1"/>
  <c r="K119" i="194"/>
  <c r="K151" i="194" s="1"/>
  <c r="W119" i="194"/>
  <c r="W151" i="194" s="1"/>
  <c r="Q119" i="194"/>
  <c r="Q151" i="194" s="1"/>
  <c r="N119" i="194"/>
  <c r="N151" i="194" s="1"/>
  <c r="P119" i="194"/>
  <c r="P151" i="194" s="1"/>
  <c r="O119" i="194"/>
  <c r="O151" i="194" s="1"/>
  <c r="M119" i="194"/>
  <c r="M151" i="194" s="1"/>
  <c r="T119" i="194"/>
  <c r="T151" i="194" s="1"/>
  <c r="S119" i="194"/>
  <c r="S151" i="194" s="1"/>
  <c r="X119" i="194"/>
  <c r="X151" i="194" s="1"/>
  <c r="R119" i="194"/>
  <c r="R151" i="194" s="1"/>
  <c r="V119" i="194"/>
  <c r="V151" i="194" s="1"/>
  <c r="Y119" i="194"/>
  <c r="Y151" i="194" s="1"/>
  <c r="U119" i="194"/>
  <c r="U151" i="194" s="1"/>
  <c r="AO75" i="196"/>
  <c r="AO20" i="197"/>
  <c r="L41" i="196"/>
  <c r="O41" i="196"/>
  <c r="M41" i="196"/>
  <c r="P41" i="196"/>
  <c r="N41" i="196"/>
  <c r="AK21" i="197"/>
  <c r="AK76" i="196"/>
  <c r="Y45" i="196"/>
  <c r="X45" i="196"/>
  <c r="Z45" i="196"/>
  <c r="W45" i="196"/>
  <c r="AA45" i="196"/>
  <c r="AJ81" i="196"/>
  <c r="AJ26" i="197"/>
  <c r="AJ116" i="197" s="1"/>
  <c r="J119" i="194"/>
  <c r="J151" i="194" s="1"/>
  <c r="L119" i="194"/>
  <c r="L151" i="194" s="1"/>
  <c r="O42" i="196"/>
  <c r="P42" i="196"/>
  <c r="M42" i="196"/>
  <c r="N42" i="196"/>
  <c r="L42" i="196"/>
  <c r="AM77" i="196"/>
  <c r="AM22" i="197"/>
  <c r="W41" i="196"/>
  <c r="Y41" i="196"/>
  <c r="X41" i="196"/>
  <c r="Z41" i="196"/>
  <c r="AA41" i="196"/>
  <c r="AI81" i="196"/>
  <c r="AI26" i="197"/>
  <c r="AI116" i="197" s="1"/>
  <c r="W120" i="194"/>
  <c r="W152" i="194" s="1"/>
  <c r="P120" i="194"/>
  <c r="P152" i="194" s="1"/>
  <c r="U120" i="194"/>
  <c r="U152" i="194" s="1"/>
  <c r="K120" i="194"/>
  <c r="K152" i="194" s="1"/>
  <c r="Q120" i="194"/>
  <c r="Q152" i="194" s="1"/>
  <c r="M120" i="194"/>
  <c r="M152" i="194" s="1"/>
  <c r="R120" i="194"/>
  <c r="R152" i="194" s="1"/>
  <c r="V120" i="194"/>
  <c r="V152" i="194" s="1"/>
  <c r="N120" i="194"/>
  <c r="N152" i="194" s="1"/>
  <c r="Y120" i="194"/>
  <c r="Y152" i="194" s="1"/>
  <c r="S120" i="194"/>
  <c r="S152" i="194" s="1"/>
  <c r="T120" i="194"/>
  <c r="T152" i="194" s="1"/>
  <c r="O120" i="194"/>
  <c r="O152" i="194" s="1"/>
  <c r="X120" i="194"/>
  <c r="X152" i="194" s="1"/>
  <c r="T122" i="194"/>
  <c r="T154" i="194" s="1"/>
  <c r="V122" i="194"/>
  <c r="V154" i="194" s="1"/>
  <c r="M122" i="194"/>
  <c r="M154" i="194" s="1"/>
  <c r="O122" i="194"/>
  <c r="O154" i="194" s="1"/>
  <c r="S122" i="194"/>
  <c r="S154" i="194" s="1"/>
  <c r="Q122" i="194"/>
  <c r="Q154" i="194" s="1"/>
  <c r="U122" i="194"/>
  <c r="U154" i="194" s="1"/>
  <c r="X122" i="194"/>
  <c r="X154" i="194" s="1"/>
  <c r="R122" i="194"/>
  <c r="R154" i="194" s="1"/>
  <c r="N122" i="194"/>
  <c r="N154" i="194" s="1"/>
  <c r="K122" i="194"/>
  <c r="K154" i="194" s="1"/>
  <c r="W122" i="194"/>
  <c r="W154" i="194" s="1"/>
  <c r="Y122" i="194"/>
  <c r="Y154" i="194" s="1"/>
  <c r="P122" i="194"/>
  <c r="P154" i="194" s="1"/>
  <c r="AI145" i="197" l="1"/>
  <c r="AI174" i="197" s="1"/>
  <c r="AI79" i="198" s="1"/>
  <c r="AI121" i="198" s="1"/>
  <c r="AI127" i="197"/>
  <c r="AI156" i="197" s="1"/>
  <c r="AI61" i="198" s="1"/>
  <c r="AI101" i="198" s="1"/>
  <c r="X21" i="197"/>
  <c r="X76" i="196"/>
  <c r="AJ127" i="197"/>
  <c r="AJ156" i="197" s="1"/>
  <c r="AJ61" i="198" s="1"/>
  <c r="AJ101" i="198" s="1"/>
  <c r="AJ145" i="197"/>
  <c r="AJ174" i="197" s="1"/>
  <c r="AJ79" i="198" s="1"/>
  <c r="AJ121" i="198" s="1"/>
  <c r="AJ136" i="197"/>
  <c r="AJ165" i="197" s="1"/>
  <c r="AJ70" i="198" s="1"/>
  <c r="AJ111" i="198" s="1"/>
  <c r="L22" i="197"/>
  <c r="L77" i="196"/>
  <c r="X25" i="197"/>
  <c r="X115" i="197" s="1"/>
  <c r="X80" i="196"/>
  <c r="N21" i="197"/>
  <c r="N76" i="196"/>
  <c r="L21" i="197"/>
  <c r="L76" i="196"/>
  <c r="K24" i="197"/>
  <c r="K114" i="197" s="1"/>
  <c r="K79" i="196"/>
  <c r="Q161" i="194"/>
  <c r="Q23" i="196" s="1"/>
  <c r="AG43" i="196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S75" i="196"/>
  <c r="S20" i="197"/>
  <c r="U20" i="197"/>
  <c r="U75" i="196"/>
  <c r="S25" i="197"/>
  <c r="S115" i="197" s="1"/>
  <c r="S80" i="196"/>
  <c r="U22" i="197"/>
  <c r="U77" i="196"/>
  <c r="T81" i="196"/>
  <c r="T26" i="197"/>
  <c r="T116" i="197" s="1"/>
  <c r="U161" i="194"/>
  <c r="U23" i="196" s="1"/>
  <c r="AK43" i="196" s="1"/>
  <c r="AA44" i="196"/>
  <c r="W44" i="196"/>
  <c r="Y44" i="196"/>
  <c r="Z44" i="196"/>
  <c r="X44" i="196"/>
  <c r="X26" i="197"/>
  <c r="X116" i="197" s="1"/>
  <c r="X81" i="196"/>
  <c r="AE81" i="196"/>
  <c r="AE26" i="197"/>
  <c r="AE116" i="197" s="1"/>
  <c r="M81" i="196"/>
  <c r="M26" i="197"/>
  <c r="M116" i="197" s="1"/>
  <c r="Y22" i="197"/>
  <c r="Y77" i="196"/>
  <c r="M25" i="197"/>
  <c r="M115" i="197" s="1"/>
  <c r="M80" i="196"/>
  <c r="AA21" i="197"/>
  <c r="AA76" i="196"/>
  <c r="W76" i="196"/>
  <c r="W21" i="197"/>
  <c r="N77" i="196"/>
  <c r="N22" i="197"/>
  <c r="AA25" i="197"/>
  <c r="AA115" i="197" s="1"/>
  <c r="AA80" i="196"/>
  <c r="L75" i="196"/>
  <c r="L20" i="197"/>
  <c r="T75" i="196"/>
  <c r="T20" i="197"/>
  <c r="T80" i="196"/>
  <c r="T25" i="197"/>
  <c r="T115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B22" i="197"/>
  <c r="AB77" i="196"/>
  <c r="L114" i="194"/>
  <c r="L146" i="194" s="1"/>
  <c r="L161" i="194" s="1"/>
  <c r="L23" i="196" s="1"/>
  <c r="J114" i="194"/>
  <c r="S77" i="196"/>
  <c r="S22" i="197"/>
  <c r="U81" i="196"/>
  <c r="U26" i="197"/>
  <c r="U116" i="197" s="1"/>
  <c r="V81" i="196"/>
  <c r="V26" i="197"/>
  <c r="V116" i="197" s="1"/>
  <c r="W161" i="194"/>
  <c r="W23" i="196" s="1"/>
  <c r="AM43" i="196" s="1"/>
  <c r="R161" i="194"/>
  <c r="R23" i="196" s="1"/>
  <c r="AH43" i="196" s="1"/>
  <c r="K161" i="194"/>
  <c r="K23" i="196" s="1"/>
  <c r="K43" i="196" s="1"/>
  <c r="V161" i="194"/>
  <c r="V23" i="196" s="1"/>
  <c r="AL43" i="196" s="1"/>
  <c r="T76" i="196"/>
  <c r="T21" i="197"/>
  <c r="AG24" i="197"/>
  <c r="AG114" i="197" s="1"/>
  <c r="AG79" i="196"/>
  <c r="AE25" i="197"/>
  <c r="AE115" i="197" s="1"/>
  <c r="AE80" i="196"/>
  <c r="W81" i="196"/>
  <c r="W26" i="197"/>
  <c r="W116" i="197" s="1"/>
  <c r="AB81" i="196"/>
  <c r="AB26" i="197"/>
  <c r="AB116" i="197" s="1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N26" i="197"/>
  <c r="N116" i="197" s="1"/>
  <c r="N81" i="196"/>
  <c r="AA22" i="197"/>
  <c r="AA77" i="196"/>
  <c r="O80" i="196"/>
  <c r="O25" i="197"/>
  <c r="O115" i="197" s="1"/>
  <c r="N25" i="197"/>
  <c r="N115" i="197" s="1"/>
  <c r="N80" i="196"/>
  <c r="W20" i="197"/>
  <c r="W75" i="196"/>
  <c r="AE20" i="197"/>
  <c r="AE75" i="196"/>
  <c r="AF20" i="197"/>
  <c r="AF75" i="196"/>
  <c r="AD44" i="196"/>
  <c r="AF44" i="196"/>
  <c r="AC44" i="196"/>
  <c r="AE44" i="196"/>
  <c r="AB44" i="196"/>
  <c r="AD21" i="197"/>
  <c r="AD76" i="196"/>
  <c r="Q79" i="196"/>
  <c r="Q24" i="197"/>
  <c r="Q114" i="197" s="1"/>
  <c r="R22" i="197"/>
  <c r="R77" i="196"/>
  <c r="P161" i="194"/>
  <c r="P23" i="196" s="1"/>
  <c r="AB80" i="196"/>
  <c r="AB25" i="197"/>
  <c r="AB115" i="197" s="1"/>
  <c r="J24" i="197"/>
  <c r="J114" i="197" s="1"/>
  <c r="J79" i="196"/>
  <c r="Y80" i="196"/>
  <c r="Y25" i="197"/>
  <c r="Y115" i="197" s="1"/>
  <c r="P21" i="197"/>
  <c r="P76" i="196"/>
  <c r="Z21" i="197"/>
  <c r="Z76" i="196"/>
  <c r="M77" i="196"/>
  <c r="M22" i="197"/>
  <c r="W80" i="196"/>
  <c r="W25" i="197"/>
  <c r="W115" i="197" s="1"/>
  <c r="M76" i="196"/>
  <c r="M21" i="197"/>
  <c r="N75" i="196"/>
  <c r="N20" i="197"/>
  <c r="AG136" i="197"/>
  <c r="AG165" i="197" s="1"/>
  <c r="AG70" i="198" s="1"/>
  <c r="AG111" i="198" s="1"/>
  <c r="AG145" i="197"/>
  <c r="AG174" i="197" s="1"/>
  <c r="AG79" i="198" s="1"/>
  <c r="AG121" i="198" s="1"/>
  <c r="AG127" i="197"/>
  <c r="AG156" i="197" s="1"/>
  <c r="AG61" i="198" s="1"/>
  <c r="AG101" i="198" s="1"/>
  <c r="J51" i="55"/>
  <c r="A4" i="191"/>
  <c r="A4" i="189"/>
  <c r="J49" i="55"/>
  <c r="R20" i="197"/>
  <c r="R75" i="196"/>
  <c r="U25" i="197"/>
  <c r="U115" i="197" s="1"/>
  <c r="U80" i="196"/>
  <c r="AC77" i="196"/>
  <c r="AC22" i="197"/>
  <c r="T77" i="196"/>
  <c r="T22" i="197"/>
  <c r="S26" i="197"/>
  <c r="S116" i="197" s="1"/>
  <c r="S81" i="196"/>
  <c r="M161" i="194"/>
  <c r="M23" i="196" s="1"/>
  <c r="Q43" i="196" s="1"/>
  <c r="O161" i="194"/>
  <c r="O23" i="196" s="1"/>
  <c r="S161" i="194"/>
  <c r="S23" i="196" s="1"/>
  <c r="AI43" i="196" s="1"/>
  <c r="R76" i="196"/>
  <c r="R21" i="197"/>
  <c r="S76" i="196"/>
  <c r="S21" i="197"/>
  <c r="AC80" i="196"/>
  <c r="AC25" i="197"/>
  <c r="AC115" i="197" s="1"/>
  <c r="AD25" i="197"/>
  <c r="AD115" i="197" s="1"/>
  <c r="AD80" i="196"/>
  <c r="Z81" i="196"/>
  <c r="Z26" i="197"/>
  <c r="Z116" i="197" s="1"/>
  <c r="AN127" i="197"/>
  <c r="AN156" i="197" s="1"/>
  <c r="AN61" i="198" s="1"/>
  <c r="AN101" i="198" s="1"/>
  <c r="AN145" i="197"/>
  <c r="AN174" i="197" s="1"/>
  <c r="AN79" i="198" s="1"/>
  <c r="AN121" i="198" s="1"/>
  <c r="AD81" i="196"/>
  <c r="AD26" i="197"/>
  <c r="AD116" i="197" s="1"/>
  <c r="L81" i="196"/>
  <c r="L26" i="197"/>
  <c r="L116" i="197" s="1"/>
  <c r="W77" i="196"/>
  <c r="W22" i="197"/>
  <c r="L25" i="197"/>
  <c r="L115" i="197" s="1"/>
  <c r="L80" i="196"/>
  <c r="Z20" i="197"/>
  <c r="Z75" i="196"/>
  <c r="AA75" i="196"/>
  <c r="AA20" i="197"/>
  <c r="AD20" i="197"/>
  <c r="AD75" i="196"/>
  <c r="AC76" i="196"/>
  <c r="AC21" i="197"/>
  <c r="AF21" i="197"/>
  <c r="AF76" i="196"/>
  <c r="J144" i="197"/>
  <c r="J173" i="197" s="1"/>
  <c r="J78" i="198" s="1"/>
  <c r="J120" i="198" s="1"/>
  <c r="J126" i="197"/>
  <c r="J155" i="197" s="1"/>
  <c r="J60" i="198" s="1"/>
  <c r="J100" i="198" s="1"/>
  <c r="J135" i="197"/>
  <c r="J164" i="197" s="1"/>
  <c r="J69" i="198" s="1"/>
  <c r="J110" i="198" s="1"/>
  <c r="H291" i="192" a="1"/>
  <c r="H291" i="192" s="1"/>
  <c r="H295" i="192" s="1"/>
  <c r="O75" i="196"/>
  <c r="O20" i="197"/>
  <c r="P75" i="196"/>
  <c r="P20" i="197"/>
  <c r="AL145" i="197"/>
  <c r="AL174" i="197" s="1"/>
  <c r="AL79" i="198" s="1"/>
  <c r="AL121" i="198" s="1"/>
  <c r="AL127" i="197"/>
  <c r="AL156" i="197" s="1"/>
  <c r="AL61" i="198" s="1"/>
  <c r="AL101" i="198" s="1"/>
  <c r="J75" i="196"/>
  <c r="J20" i="197"/>
  <c r="O44" i="196"/>
  <c r="P44" i="196"/>
  <c r="M44" i="196"/>
  <c r="N44" i="196"/>
  <c r="L44" i="196"/>
  <c r="V20" i="197"/>
  <c r="V75" i="196"/>
  <c r="V80" i="196"/>
  <c r="V25" i="197"/>
  <c r="V115" i="197" s="1"/>
  <c r="R25" i="197"/>
  <c r="R115" i="197" s="1"/>
  <c r="R80" i="196"/>
  <c r="AH145" i="197"/>
  <c r="AH174" i="197" s="1"/>
  <c r="AH79" i="198" s="1"/>
  <c r="AH121" i="198" s="1"/>
  <c r="AH136" i="197"/>
  <c r="AH165" i="197" s="1"/>
  <c r="AH70" i="198" s="1"/>
  <c r="AH111" i="198" s="1"/>
  <c r="AH127" i="197"/>
  <c r="AH156" i="197" s="1"/>
  <c r="AH61" i="198" s="1"/>
  <c r="AH101" i="198" s="1"/>
  <c r="AE22" i="197"/>
  <c r="AE77" i="196"/>
  <c r="V77" i="196"/>
  <c r="V22" i="197"/>
  <c r="R26" i="197"/>
  <c r="R116" i="197" s="1"/>
  <c r="R81" i="196"/>
  <c r="X161" i="194"/>
  <c r="X23" i="196" s="1"/>
  <c r="AN43" i="196" s="1"/>
  <c r="Y161" i="194"/>
  <c r="Y23" i="196" s="1"/>
  <c r="AO43" i="196" s="1"/>
  <c r="T161" i="194"/>
  <c r="T23" i="196" s="1"/>
  <c r="AJ43" i="196" s="1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U21" i="197"/>
  <c r="U76" i="196"/>
  <c r="R44" i="196"/>
  <c r="S44" i="196"/>
  <c r="V44" i="196"/>
  <c r="T44" i="196"/>
  <c r="U44" i="196"/>
  <c r="AF80" i="196"/>
  <c r="AF25" i="197"/>
  <c r="AF115" i="197" s="1"/>
  <c r="Y26" i="197"/>
  <c r="Y116" i="197" s="1"/>
  <c r="Y81" i="196"/>
  <c r="AA26" i="197"/>
  <c r="AA116" i="197" s="1"/>
  <c r="AA81" i="196"/>
  <c r="AF26" i="197"/>
  <c r="AF116" i="197" s="1"/>
  <c r="AF81" i="196"/>
  <c r="P81" i="196"/>
  <c r="P26" i="197"/>
  <c r="P116" i="197" s="1"/>
  <c r="O81" i="196"/>
  <c r="O26" i="197"/>
  <c r="O116" i="197" s="1"/>
  <c r="Z77" i="196"/>
  <c r="Z22" i="197"/>
  <c r="P25" i="197"/>
  <c r="P115" i="197" s="1"/>
  <c r="P80" i="196"/>
  <c r="X75" i="196"/>
  <c r="X20" i="197"/>
  <c r="AC75" i="196"/>
  <c r="AC20" i="197"/>
  <c r="AB76" i="196"/>
  <c r="AB21" i="197"/>
  <c r="K136" i="197"/>
  <c r="K165" i="197" s="1"/>
  <c r="K70" i="198" s="1"/>
  <c r="K111" i="198" s="1"/>
  <c r="K127" i="197"/>
  <c r="K156" i="197" s="1"/>
  <c r="K61" i="198" s="1"/>
  <c r="K101" i="198" s="1"/>
  <c r="K145" i="197"/>
  <c r="K174" i="197" s="1"/>
  <c r="K79" i="198" s="1"/>
  <c r="K121" i="198" s="1"/>
  <c r="P22" i="197"/>
  <c r="P77" i="196"/>
  <c r="Z25" i="197"/>
  <c r="Z115" i="197" s="1"/>
  <c r="Z80" i="196"/>
  <c r="O21" i="197"/>
  <c r="O76" i="196"/>
  <c r="Y21" i="197"/>
  <c r="Y76" i="196"/>
  <c r="O22" i="197"/>
  <c r="O77" i="196"/>
  <c r="M20" i="197"/>
  <c r="M75" i="196"/>
  <c r="AF77" i="196"/>
  <c r="AF22" i="197"/>
  <c r="AD22" i="197"/>
  <c r="AD77" i="196"/>
  <c r="N161" i="194"/>
  <c r="N23" i="196" s="1"/>
  <c r="V76" i="196"/>
  <c r="V21" i="197"/>
  <c r="Q145" i="197"/>
  <c r="Q174" i="197" s="1"/>
  <c r="Q79" i="198" s="1"/>
  <c r="Q121" i="198" s="1"/>
  <c r="Q127" i="197"/>
  <c r="Q156" i="197" s="1"/>
  <c r="Q61" i="198" s="1"/>
  <c r="Q101" i="198" s="1"/>
  <c r="Q136" i="197"/>
  <c r="Q165" i="197" s="1"/>
  <c r="Q70" i="198" s="1"/>
  <c r="Q111" i="198" s="1"/>
  <c r="AC26" i="197"/>
  <c r="AC116" i="197" s="1"/>
  <c r="AC81" i="196"/>
  <c r="X22" i="197"/>
  <c r="X77" i="196"/>
  <c r="Y75" i="196"/>
  <c r="Y20" i="197"/>
  <c r="AB75" i="196"/>
  <c r="AB20" i="197"/>
  <c r="AE76" i="196"/>
  <c r="AE21" i="197"/>
  <c r="A4" i="193"/>
  <c r="J53" i="55"/>
  <c r="H81" i="196" l="1"/>
  <c r="H80" i="196"/>
  <c r="H76" i="196"/>
  <c r="H77" i="196"/>
  <c r="L126" i="197"/>
  <c r="L155" i="197" s="1"/>
  <c r="L60" i="198" s="1"/>
  <c r="L100" i="198" s="1"/>
  <c r="L144" i="197"/>
  <c r="L173" i="197" s="1"/>
  <c r="L78" i="198" s="1"/>
  <c r="L120" i="198" s="1"/>
  <c r="L135" i="197"/>
  <c r="L164" i="197" s="1"/>
  <c r="L69" i="198" s="1"/>
  <c r="L110" i="198" s="1"/>
  <c r="AD144" i="197"/>
  <c r="AD173" i="197" s="1"/>
  <c r="AD78" i="198" s="1"/>
  <c r="AD120" i="198" s="1"/>
  <c r="AD126" i="197"/>
  <c r="AD155" i="197" s="1"/>
  <c r="AD60" i="198" s="1"/>
  <c r="AD100" i="198" s="1"/>
  <c r="AI78" i="196"/>
  <c r="AI82" i="196" s="1"/>
  <c r="AI23" i="197"/>
  <c r="S136" i="197"/>
  <c r="S165" i="197" s="1"/>
  <c r="S70" i="198" s="1"/>
  <c r="S111" i="198" s="1"/>
  <c r="S145" i="197"/>
  <c r="S174" i="197" s="1"/>
  <c r="S79" i="198" s="1"/>
  <c r="S121" i="198" s="1"/>
  <c r="S127" i="197"/>
  <c r="S156" i="197" s="1"/>
  <c r="S61" i="198" s="1"/>
  <c r="S101" i="198" s="1"/>
  <c r="W144" i="197"/>
  <c r="W173" i="197" s="1"/>
  <c r="W78" i="198" s="1"/>
  <c r="W120" i="198" s="1"/>
  <c r="W126" i="197"/>
  <c r="W155" i="197" s="1"/>
  <c r="W60" i="198" s="1"/>
  <c r="W100" i="198" s="1"/>
  <c r="Y144" i="197"/>
  <c r="Y173" i="197" s="1"/>
  <c r="Y78" i="198" s="1"/>
  <c r="Y120" i="198" s="1"/>
  <c r="Y126" i="197"/>
  <c r="Y155" i="197" s="1"/>
  <c r="Y60" i="198" s="1"/>
  <c r="Y100" i="198" s="1"/>
  <c r="AB126" i="197"/>
  <c r="AB155" i="197" s="1"/>
  <c r="AB60" i="198" s="1"/>
  <c r="AB100" i="198" s="1"/>
  <c r="AB144" i="197"/>
  <c r="AB173" i="197" s="1"/>
  <c r="AB78" i="198" s="1"/>
  <c r="AB120" i="198" s="1"/>
  <c r="AF24" i="197"/>
  <c r="AF114" i="197" s="1"/>
  <c r="AF79" i="196"/>
  <c r="AE144" i="197"/>
  <c r="AE173" i="197" s="1"/>
  <c r="AE78" i="198" s="1"/>
  <c r="AE120" i="198" s="1"/>
  <c r="AE126" i="197"/>
  <c r="AE155" i="197" s="1"/>
  <c r="AE60" i="198" s="1"/>
  <c r="AE100" i="198" s="1"/>
  <c r="AM78" i="196"/>
  <c r="AM82" i="196" s="1"/>
  <c r="AM23" i="197"/>
  <c r="N43" i="196"/>
  <c r="P43" i="196"/>
  <c r="L43" i="196"/>
  <c r="O43" i="196"/>
  <c r="M43" i="196"/>
  <c r="M127" i="197"/>
  <c r="M156" i="197" s="1"/>
  <c r="M61" i="198" s="1"/>
  <c r="M101" i="198" s="1"/>
  <c r="M136" i="197"/>
  <c r="M165" i="197" s="1"/>
  <c r="M70" i="198" s="1"/>
  <c r="M111" i="198" s="1"/>
  <c r="M145" i="197"/>
  <c r="M174" i="197" s="1"/>
  <c r="M79" i="198" s="1"/>
  <c r="M121" i="198" s="1"/>
  <c r="Y24" i="197"/>
  <c r="Y114" i="197" s="1"/>
  <c r="Y79" i="196"/>
  <c r="T145" i="197"/>
  <c r="T174" i="197" s="1"/>
  <c r="T79" i="198" s="1"/>
  <c r="T121" i="198" s="1"/>
  <c r="T127" i="197"/>
  <c r="T156" i="197" s="1"/>
  <c r="T61" i="198" s="1"/>
  <c r="T101" i="198" s="1"/>
  <c r="T136" i="197"/>
  <c r="T165" i="197" s="1"/>
  <c r="T70" i="198" s="1"/>
  <c r="T111" i="198" s="1"/>
  <c r="J52" i="55"/>
  <c r="A4" i="192"/>
  <c r="AD145" i="197"/>
  <c r="AD174" i="197" s="1"/>
  <c r="AD79" i="198" s="1"/>
  <c r="AD121" i="198" s="1"/>
  <c r="AD127" i="197"/>
  <c r="AD156" i="197" s="1"/>
  <c r="AD61" i="198" s="1"/>
  <c r="AD101" i="198" s="1"/>
  <c r="Z127" i="197"/>
  <c r="Z156" i="197" s="1"/>
  <c r="Z61" i="198" s="1"/>
  <c r="Z101" i="198" s="1"/>
  <c r="Z145" i="197"/>
  <c r="Z174" i="197" s="1"/>
  <c r="Z79" i="198" s="1"/>
  <c r="Z121" i="198" s="1"/>
  <c r="AC144" i="197"/>
  <c r="AC173" i="197" s="1"/>
  <c r="AC78" i="198" s="1"/>
  <c r="AC120" i="198" s="1"/>
  <c r="AC126" i="197"/>
  <c r="AC155" i="197" s="1"/>
  <c r="AC60" i="198" s="1"/>
  <c r="AC100" i="198" s="1"/>
  <c r="W43" i="196"/>
  <c r="Y43" i="196"/>
  <c r="AA43" i="196"/>
  <c r="Z43" i="196"/>
  <c r="X43" i="196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AB24" i="197"/>
  <c r="AB114" i="197" s="1"/>
  <c r="AB79" i="196"/>
  <c r="AD24" i="197"/>
  <c r="AD114" i="197" s="1"/>
  <c r="AD79" i="196"/>
  <c r="N126" i="197"/>
  <c r="N155" i="197" s="1"/>
  <c r="N60" i="198" s="1"/>
  <c r="N100" i="198" s="1"/>
  <c r="N144" i="197"/>
  <c r="N173" i="197" s="1"/>
  <c r="N78" i="198" s="1"/>
  <c r="N120" i="198" s="1"/>
  <c r="N135" i="197"/>
  <c r="N164" i="197" s="1"/>
  <c r="N69" i="198" s="1"/>
  <c r="N110" i="198" s="1"/>
  <c r="W127" i="197"/>
  <c r="W156" i="197" s="1"/>
  <c r="W61" i="198" s="1"/>
  <c r="W101" i="198" s="1"/>
  <c r="W145" i="197"/>
  <c r="W174" i="197" s="1"/>
  <c r="W79" i="198" s="1"/>
  <c r="W121" i="198" s="1"/>
  <c r="AL23" i="197"/>
  <c r="AL78" i="196"/>
  <c r="AL82" i="196" s="1"/>
  <c r="V127" i="197"/>
  <c r="V156" i="197" s="1"/>
  <c r="V61" i="198" s="1"/>
  <c r="V101" i="198" s="1"/>
  <c r="V136" i="197"/>
  <c r="V165" i="197" s="1"/>
  <c r="V70" i="198" s="1"/>
  <c r="V111" i="198" s="1"/>
  <c r="V145" i="197"/>
  <c r="V174" i="197" s="1"/>
  <c r="V79" i="198" s="1"/>
  <c r="V121" i="198" s="1"/>
  <c r="AA126" i="197"/>
  <c r="AA155" i="197" s="1"/>
  <c r="AA60" i="198" s="1"/>
  <c r="AA100" i="198" s="1"/>
  <c r="AA144" i="197"/>
  <c r="AA173" i="197" s="1"/>
  <c r="AA78" i="198" s="1"/>
  <c r="AA120" i="198" s="1"/>
  <c r="M135" i="197"/>
  <c r="M164" i="197" s="1"/>
  <c r="M69" i="198" s="1"/>
  <c r="M110" i="198" s="1"/>
  <c r="M144" i="197"/>
  <c r="M173" i="197" s="1"/>
  <c r="M78" i="198" s="1"/>
  <c r="M120" i="198" s="1"/>
  <c r="M126" i="197"/>
  <c r="M155" i="197" s="1"/>
  <c r="M60" i="198" s="1"/>
  <c r="M100" i="198" s="1"/>
  <c r="X127" i="197"/>
  <c r="X156" i="197" s="1"/>
  <c r="X61" i="198" s="1"/>
  <c r="X101" i="198" s="1"/>
  <c r="X145" i="197"/>
  <c r="X174" i="197" s="1"/>
  <c r="X79" i="198" s="1"/>
  <c r="X121" i="198" s="1"/>
  <c r="W79" i="196"/>
  <c r="W24" i="197"/>
  <c r="W114" i="197" s="1"/>
  <c r="S144" i="197"/>
  <c r="S173" i="197" s="1"/>
  <c r="S78" i="198" s="1"/>
  <c r="S120" i="198" s="1"/>
  <c r="S126" i="197"/>
  <c r="S155" i="197" s="1"/>
  <c r="S60" i="198" s="1"/>
  <c r="S100" i="198" s="1"/>
  <c r="S135" i="197"/>
  <c r="S164" i="197" s="1"/>
  <c r="S69" i="198" s="1"/>
  <c r="S110" i="198" s="1"/>
  <c r="AG23" i="197"/>
  <c r="AG78" i="196"/>
  <c r="AG82" i="196" s="1"/>
  <c r="X126" i="197"/>
  <c r="X155" i="197" s="1"/>
  <c r="X60" i="198" s="1"/>
  <c r="X100" i="198" s="1"/>
  <c r="X144" i="197"/>
  <c r="X173" i="197" s="1"/>
  <c r="X78" i="198" s="1"/>
  <c r="X120" i="198" s="1"/>
  <c r="P127" i="197"/>
  <c r="P156" i="197" s="1"/>
  <c r="P61" i="198" s="1"/>
  <c r="P101" i="198" s="1"/>
  <c r="P145" i="197"/>
  <c r="P174" i="197" s="1"/>
  <c r="P79" i="198" s="1"/>
  <c r="P121" i="198" s="1"/>
  <c r="P136" i="197"/>
  <c r="P165" i="197" s="1"/>
  <c r="P70" i="198" s="1"/>
  <c r="P111" i="198" s="1"/>
  <c r="AF144" i="197"/>
  <c r="AF173" i="197" s="1"/>
  <c r="AF78" i="198" s="1"/>
  <c r="AF120" i="198" s="1"/>
  <c r="AF126" i="197"/>
  <c r="AF155" i="197" s="1"/>
  <c r="AF60" i="198" s="1"/>
  <c r="AF100" i="198" s="1"/>
  <c r="T79" i="196"/>
  <c r="T24" i="197"/>
  <c r="T114" i="197" s="1"/>
  <c r="N79" i="196"/>
  <c r="N24" i="197"/>
  <c r="N114" i="197" s="1"/>
  <c r="AC127" i="197"/>
  <c r="AC156" i="197" s="1"/>
  <c r="AC61" i="198" s="1"/>
  <c r="AC101" i="198" s="1"/>
  <c r="AC145" i="197"/>
  <c r="AC174" i="197" s="1"/>
  <c r="AC79" i="198" s="1"/>
  <c r="AC121" i="198" s="1"/>
  <c r="Z144" i="197"/>
  <c r="Z173" i="197" s="1"/>
  <c r="Z78" i="198" s="1"/>
  <c r="Z120" i="198" s="1"/>
  <c r="Z126" i="197"/>
  <c r="Z155" i="197" s="1"/>
  <c r="Z60" i="198" s="1"/>
  <c r="Z100" i="198" s="1"/>
  <c r="AA127" i="197"/>
  <c r="AA156" i="197" s="1"/>
  <c r="AA61" i="198" s="1"/>
  <c r="AA101" i="198" s="1"/>
  <c r="AA145" i="197"/>
  <c r="AA174" i="197" s="1"/>
  <c r="AA79" i="198" s="1"/>
  <c r="AA121" i="198" s="1"/>
  <c r="V79" i="196"/>
  <c r="V24" i="197"/>
  <c r="V114" i="197" s="1"/>
  <c r="AJ78" i="196"/>
  <c r="AJ82" i="196" s="1"/>
  <c r="AJ23" i="197"/>
  <c r="R136" i="197"/>
  <c r="R165" i="197" s="1"/>
  <c r="R70" i="198" s="1"/>
  <c r="R111" i="198" s="1"/>
  <c r="R145" i="197"/>
  <c r="R174" i="197" s="1"/>
  <c r="R79" i="198" s="1"/>
  <c r="R121" i="198" s="1"/>
  <c r="R127" i="197"/>
  <c r="R156" i="197" s="1"/>
  <c r="R61" i="198" s="1"/>
  <c r="R101" i="198" s="1"/>
  <c r="M24" i="197"/>
  <c r="M114" i="197" s="1"/>
  <c r="M79" i="196"/>
  <c r="O127" i="197"/>
  <c r="O156" i="197" s="1"/>
  <c r="O61" i="198" s="1"/>
  <c r="O101" i="198" s="1"/>
  <c r="O145" i="197"/>
  <c r="O174" i="197" s="1"/>
  <c r="O79" i="198" s="1"/>
  <c r="O121" i="198" s="1"/>
  <c r="O136" i="197"/>
  <c r="O165" i="197" s="1"/>
  <c r="O70" i="198" s="1"/>
  <c r="O111" i="198" s="1"/>
  <c r="S79" i="196"/>
  <c r="S24" i="197"/>
  <c r="S114" i="197" s="1"/>
  <c r="AO78" i="196"/>
  <c r="AO82" i="196" s="1"/>
  <c r="AO23" i="197"/>
  <c r="R135" i="197"/>
  <c r="R164" i="197" s="1"/>
  <c r="R69" i="198" s="1"/>
  <c r="R110" i="198" s="1"/>
  <c r="R144" i="197"/>
  <c r="R173" i="197" s="1"/>
  <c r="R78" i="198" s="1"/>
  <c r="R120" i="198" s="1"/>
  <c r="R126" i="197"/>
  <c r="R155" i="197" s="1"/>
  <c r="R60" i="198" s="1"/>
  <c r="R100" i="198" s="1"/>
  <c r="P24" i="197"/>
  <c r="P114" i="197" s="1"/>
  <c r="P79" i="196"/>
  <c r="H75" i="196"/>
  <c r="Q23" i="197"/>
  <c r="Q78" i="196"/>
  <c r="Q82" i="196" s="1"/>
  <c r="U126" i="197"/>
  <c r="U155" i="197" s="1"/>
  <c r="U60" i="198" s="1"/>
  <c r="U100" i="198" s="1"/>
  <c r="U135" i="197"/>
  <c r="U164" i="197" s="1"/>
  <c r="U69" i="198" s="1"/>
  <c r="U110" i="198" s="1"/>
  <c r="U144" i="197"/>
  <c r="U173" i="197" s="1"/>
  <c r="U78" i="198" s="1"/>
  <c r="U120" i="198" s="1"/>
  <c r="AF43" i="196"/>
  <c r="AE43" i="196"/>
  <c r="AD43" i="196"/>
  <c r="AC43" i="196"/>
  <c r="AB43" i="196"/>
  <c r="AE79" i="196"/>
  <c r="AE24" i="197"/>
  <c r="AE114" i="197" s="1"/>
  <c r="O144" i="197"/>
  <c r="O173" i="197" s="1"/>
  <c r="O78" i="198" s="1"/>
  <c r="O120" i="198" s="1"/>
  <c r="O126" i="197"/>
  <c r="O155" i="197" s="1"/>
  <c r="O60" i="198" s="1"/>
  <c r="O100" i="198" s="1"/>
  <c r="O135" i="197"/>
  <c r="O164" i="197" s="1"/>
  <c r="O69" i="198" s="1"/>
  <c r="O110" i="198" s="1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K23" i="197"/>
  <c r="K78" i="196"/>
  <c r="K82" i="196" s="1"/>
  <c r="T144" i="197"/>
  <c r="T173" i="197" s="1"/>
  <c r="T78" i="198" s="1"/>
  <c r="T120" i="198" s="1"/>
  <c r="T135" i="197"/>
  <c r="T164" i="197" s="1"/>
  <c r="T69" i="198" s="1"/>
  <c r="T110" i="198" s="1"/>
  <c r="T126" i="197"/>
  <c r="T155" i="197" s="1"/>
  <c r="T60" i="198" s="1"/>
  <c r="T100" i="198" s="1"/>
  <c r="AE127" i="197"/>
  <c r="AE156" i="197" s="1"/>
  <c r="AE61" i="198" s="1"/>
  <c r="AE101" i="198" s="1"/>
  <c r="AE145" i="197"/>
  <c r="AE174" i="197" s="1"/>
  <c r="AE79" i="198" s="1"/>
  <c r="AE121" i="198" s="1"/>
  <c r="X79" i="196"/>
  <c r="X24" i="197"/>
  <c r="X114" i="197" s="1"/>
  <c r="AA24" i="197"/>
  <c r="AA114" i="197" s="1"/>
  <c r="AA79" i="196"/>
  <c r="U43" i="196"/>
  <c r="V43" i="196"/>
  <c r="R43" i="196"/>
  <c r="S43" i="196"/>
  <c r="T43" i="196"/>
  <c r="P144" i="197"/>
  <c r="P173" i="197" s="1"/>
  <c r="P78" i="198" s="1"/>
  <c r="P120" i="198" s="1"/>
  <c r="P135" i="197"/>
  <c r="P164" i="197" s="1"/>
  <c r="P69" i="198" s="1"/>
  <c r="P110" i="198" s="1"/>
  <c r="P126" i="197"/>
  <c r="P155" i="197" s="1"/>
  <c r="P60" i="198" s="1"/>
  <c r="P100" i="198" s="1"/>
  <c r="AF127" i="197"/>
  <c r="AF156" i="197" s="1"/>
  <c r="AF61" i="198" s="1"/>
  <c r="AF101" i="198" s="1"/>
  <c r="AF145" i="197"/>
  <c r="AF174" i="197" s="1"/>
  <c r="AF79" i="198" s="1"/>
  <c r="AF121" i="198" s="1"/>
  <c r="Y145" i="197"/>
  <c r="Y174" i="197" s="1"/>
  <c r="Y79" i="198" s="1"/>
  <c r="Y121" i="198" s="1"/>
  <c r="Y127" i="197"/>
  <c r="Y156" i="197" s="1"/>
  <c r="Y61" i="198" s="1"/>
  <c r="Y101" i="198" s="1"/>
  <c r="U79" i="196"/>
  <c r="U24" i="197"/>
  <c r="U114" i="197" s="1"/>
  <c r="R79" i="196"/>
  <c r="R24" i="197"/>
  <c r="R114" i="197" s="1"/>
  <c r="AN78" i="196"/>
  <c r="AN82" i="196" s="1"/>
  <c r="AN23" i="197"/>
  <c r="V126" i="197"/>
  <c r="V155" i="197" s="1"/>
  <c r="V60" i="198" s="1"/>
  <c r="V100" i="198" s="1"/>
  <c r="V144" i="197"/>
  <c r="V173" i="197" s="1"/>
  <c r="V78" i="198" s="1"/>
  <c r="V120" i="198" s="1"/>
  <c r="V135" i="197"/>
  <c r="V164" i="197" s="1"/>
  <c r="V69" i="198" s="1"/>
  <c r="V110" i="198" s="1"/>
  <c r="L24" i="197"/>
  <c r="L114" i="197" s="1"/>
  <c r="L79" i="196"/>
  <c r="O79" i="196"/>
  <c r="O24" i="197"/>
  <c r="O114" i="197" s="1"/>
  <c r="L127" i="197"/>
  <c r="L156" i="197" s="1"/>
  <c r="L61" i="198" s="1"/>
  <c r="L101" i="198" s="1"/>
  <c r="L145" i="197"/>
  <c r="L174" i="197" s="1"/>
  <c r="L79" i="198" s="1"/>
  <c r="L121" i="198" s="1"/>
  <c r="L136" i="197"/>
  <c r="L165" i="197" s="1"/>
  <c r="L70" i="198" s="1"/>
  <c r="L111" i="198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AC24" i="197"/>
  <c r="AC114" i="197" s="1"/>
  <c r="AC79" i="196"/>
  <c r="N136" i="197"/>
  <c r="N165" i="197" s="1"/>
  <c r="N70" i="198" s="1"/>
  <c r="N111" i="198" s="1"/>
  <c r="N127" i="197"/>
  <c r="N156" i="197" s="1"/>
  <c r="N61" i="198" s="1"/>
  <c r="N101" i="198" s="1"/>
  <c r="N145" i="197"/>
  <c r="N174" i="197" s="1"/>
  <c r="N79" i="198" s="1"/>
  <c r="N121" i="198" s="1"/>
  <c r="AB145" i="197"/>
  <c r="AB174" i="197" s="1"/>
  <c r="AB79" i="198" s="1"/>
  <c r="AB121" i="198" s="1"/>
  <c r="AB127" i="197"/>
  <c r="AB156" i="197" s="1"/>
  <c r="AB61" i="198" s="1"/>
  <c r="AB101" i="198" s="1"/>
  <c r="AH23" i="197"/>
  <c r="AH78" i="196"/>
  <c r="AH82" i="196" s="1"/>
  <c r="U127" i="197"/>
  <c r="U156" i="197" s="1"/>
  <c r="U61" i="198" s="1"/>
  <c r="U101" i="198" s="1"/>
  <c r="U145" i="197"/>
  <c r="U174" i="197" s="1"/>
  <c r="U79" i="198" s="1"/>
  <c r="U121" i="198" s="1"/>
  <c r="U136" i="197"/>
  <c r="U165" i="197" s="1"/>
  <c r="U70" i="198" s="1"/>
  <c r="U111" i="198" s="1"/>
  <c r="J146" i="194"/>
  <c r="J161" i="194" s="1"/>
  <c r="J23" i="196" s="1"/>
  <c r="J43" i="196" s="1"/>
  <c r="H165" i="194" a="1"/>
  <c r="H165" i="194" s="1"/>
  <c r="Z24" i="197"/>
  <c r="Z114" i="197" s="1"/>
  <c r="Z79" i="196"/>
  <c r="AK78" i="196"/>
  <c r="AK82" i="196" s="1"/>
  <c r="AK23" i="197"/>
  <c r="K134" i="197"/>
  <c r="K163" i="197" s="1"/>
  <c r="K68" i="198" s="1"/>
  <c r="K109" i="198" s="1"/>
  <c r="K143" i="197"/>
  <c r="K172" i="197" s="1"/>
  <c r="K77" i="198" s="1"/>
  <c r="K119" i="198" s="1"/>
  <c r="K125" i="197"/>
  <c r="K154" i="197" s="1"/>
  <c r="K59" i="198" s="1"/>
  <c r="K99" i="198" s="1"/>
  <c r="H100" i="198" l="1"/>
  <c r="H111" i="198"/>
  <c r="H121" i="198"/>
  <c r="H101" i="198"/>
  <c r="H79" i="196"/>
  <c r="H110" i="198"/>
  <c r="H120" i="198"/>
  <c r="A4" i="194"/>
  <c r="J54" i="55"/>
  <c r="S23" i="197"/>
  <c r="S78" i="196"/>
  <c r="S82" i="196" s="1"/>
  <c r="AE23" i="197"/>
  <c r="AE78" i="196"/>
  <c r="AE82" i="196" s="1"/>
  <c r="P143" i="197"/>
  <c r="P172" i="197" s="1"/>
  <c r="P77" i="198" s="1"/>
  <c r="P119" i="198" s="1"/>
  <c r="P134" i="197"/>
  <c r="P163" i="197" s="1"/>
  <c r="P68" i="198" s="1"/>
  <c r="P109" i="198" s="1"/>
  <c r="P125" i="197"/>
  <c r="P154" i="197" s="1"/>
  <c r="P59" i="198" s="1"/>
  <c r="P99" i="198" s="1"/>
  <c r="AC143" i="197"/>
  <c r="AC172" i="197" s="1"/>
  <c r="AC77" i="198" s="1"/>
  <c r="AC119" i="198" s="1"/>
  <c r="AC125" i="197"/>
  <c r="AC154" i="197" s="1"/>
  <c r="AC59" i="198" s="1"/>
  <c r="AC99" i="198" s="1"/>
  <c r="AB23" i="197"/>
  <c r="AB78" i="196"/>
  <c r="AB82" i="196" s="1"/>
  <c r="AF23" i="197"/>
  <c r="AF78" i="196"/>
  <c r="AF82" i="196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N134" i="197"/>
  <c r="N163" i="197" s="1"/>
  <c r="N68" i="198" s="1"/>
  <c r="N109" i="198" s="1"/>
  <c r="N125" i="197"/>
  <c r="N154" i="197" s="1"/>
  <c r="N59" i="198" s="1"/>
  <c r="N99" i="198" s="1"/>
  <c r="N143" i="197"/>
  <c r="N172" i="197" s="1"/>
  <c r="N77" i="198" s="1"/>
  <c r="N119" i="198" s="1"/>
  <c r="Z23" i="197"/>
  <c r="Z78" i="196"/>
  <c r="Z82" i="196" s="1"/>
  <c r="Y125" i="197"/>
  <c r="Y154" i="197" s="1"/>
  <c r="Y59" i="198" s="1"/>
  <c r="Y99" i="198" s="1"/>
  <c r="Y143" i="197"/>
  <c r="Y172" i="197" s="1"/>
  <c r="Y77" i="198" s="1"/>
  <c r="Y119" i="198" s="1"/>
  <c r="M23" i="197"/>
  <c r="M78" i="196"/>
  <c r="M82" i="196" s="1"/>
  <c r="N23" i="197"/>
  <c r="N78" i="196"/>
  <c r="N82" i="196" s="1"/>
  <c r="L134" i="197"/>
  <c r="L163" i="197" s="1"/>
  <c r="L68" i="198" s="1"/>
  <c r="L109" i="198" s="1"/>
  <c r="L125" i="197"/>
  <c r="L154" i="197" s="1"/>
  <c r="L59" i="198" s="1"/>
  <c r="L99" i="198" s="1"/>
  <c r="L143" i="197"/>
  <c r="L172" i="197" s="1"/>
  <c r="L77" i="198" s="1"/>
  <c r="L119" i="198" s="1"/>
  <c r="J23" i="197"/>
  <c r="J78" i="196"/>
  <c r="O125" i="197"/>
  <c r="O154" i="197" s="1"/>
  <c r="O59" i="198" s="1"/>
  <c r="O99" i="198" s="1"/>
  <c r="O143" i="197"/>
  <c r="O172" i="197" s="1"/>
  <c r="O77" i="198" s="1"/>
  <c r="O119" i="198" s="1"/>
  <c r="O134" i="197"/>
  <c r="O163" i="197" s="1"/>
  <c r="O68" i="198" s="1"/>
  <c r="O109" i="198" s="1"/>
  <c r="U143" i="197"/>
  <c r="U172" i="197" s="1"/>
  <c r="U77" i="198" s="1"/>
  <c r="U119" i="198" s="1"/>
  <c r="U125" i="197"/>
  <c r="U154" i="197" s="1"/>
  <c r="U59" i="198" s="1"/>
  <c r="U99" i="198" s="1"/>
  <c r="U134" i="197"/>
  <c r="U163" i="197" s="1"/>
  <c r="U68" i="198" s="1"/>
  <c r="U109" i="198" s="1"/>
  <c r="R23" i="197"/>
  <c r="R78" i="196"/>
  <c r="R82" i="196" s="1"/>
  <c r="V23" i="197"/>
  <c r="V78" i="196"/>
  <c r="V82" i="196" s="1"/>
  <c r="AA143" i="197"/>
  <c r="AA172" i="197" s="1"/>
  <c r="AA77" i="198" s="1"/>
  <c r="AA119" i="198" s="1"/>
  <c r="AA125" i="197"/>
  <c r="AA154" i="197" s="1"/>
  <c r="AA59" i="198" s="1"/>
  <c r="AA99" i="198" s="1"/>
  <c r="AC23" i="197"/>
  <c r="AC78" i="196"/>
  <c r="AC82" i="196" s="1"/>
  <c r="W143" i="197"/>
  <c r="W172" i="197" s="1"/>
  <c r="W77" i="198" s="1"/>
  <c r="W119" i="198" s="1"/>
  <c r="W125" i="197"/>
  <c r="W154" i="197" s="1"/>
  <c r="W59" i="198" s="1"/>
  <c r="W99" i="198" s="1"/>
  <c r="AD125" i="197"/>
  <c r="AD154" i="197" s="1"/>
  <c r="AD59" i="198" s="1"/>
  <c r="AD99" i="198" s="1"/>
  <c r="AD143" i="197"/>
  <c r="AD172" i="197" s="1"/>
  <c r="AD77" i="198" s="1"/>
  <c r="AD119" i="198" s="1"/>
  <c r="AA78" i="196"/>
  <c r="AA82" i="196" s="1"/>
  <c r="AA23" i="197"/>
  <c r="O78" i="196"/>
  <c r="O82" i="196" s="1"/>
  <c r="O23" i="197"/>
  <c r="Z125" i="197"/>
  <c r="Z154" i="197" s="1"/>
  <c r="Z59" i="198" s="1"/>
  <c r="Z99" i="198" s="1"/>
  <c r="Z143" i="197"/>
  <c r="Z172" i="197" s="1"/>
  <c r="Z77" i="198" s="1"/>
  <c r="Z119" i="198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T78" i="196"/>
  <c r="T82" i="196" s="1"/>
  <c r="T23" i="197"/>
  <c r="U23" i="197"/>
  <c r="U78" i="196"/>
  <c r="U82" i="196" s="1"/>
  <c r="X125" i="197"/>
  <c r="X154" i="197" s="1"/>
  <c r="X59" i="198" s="1"/>
  <c r="X99" i="198" s="1"/>
  <c r="X143" i="197"/>
  <c r="X172" i="197" s="1"/>
  <c r="X77" i="198" s="1"/>
  <c r="X119" i="198" s="1"/>
  <c r="AE143" i="197"/>
  <c r="AE172" i="197" s="1"/>
  <c r="AE77" i="198" s="1"/>
  <c r="AE119" i="198" s="1"/>
  <c r="AE125" i="197"/>
  <c r="AE154" i="197" s="1"/>
  <c r="AE59" i="198" s="1"/>
  <c r="AE99" i="198" s="1"/>
  <c r="AD78" i="196"/>
  <c r="AD82" i="196" s="1"/>
  <c r="AD23" i="197"/>
  <c r="S134" i="197"/>
  <c r="S163" i="197" s="1"/>
  <c r="S68" i="198" s="1"/>
  <c r="S109" i="198" s="1"/>
  <c r="S125" i="197"/>
  <c r="S154" i="197" s="1"/>
  <c r="S59" i="198" s="1"/>
  <c r="S99" i="198" s="1"/>
  <c r="S143" i="197"/>
  <c r="S172" i="197" s="1"/>
  <c r="S77" i="198" s="1"/>
  <c r="S119" i="198" s="1"/>
  <c r="M134" i="197"/>
  <c r="M163" i="197" s="1"/>
  <c r="M68" i="198" s="1"/>
  <c r="M109" i="198" s="1"/>
  <c r="M143" i="197"/>
  <c r="M172" i="197" s="1"/>
  <c r="M77" i="198" s="1"/>
  <c r="M119" i="198" s="1"/>
  <c r="M125" i="197"/>
  <c r="M154" i="197" s="1"/>
  <c r="M59" i="198" s="1"/>
  <c r="M99" i="198" s="1"/>
  <c r="Y23" i="197"/>
  <c r="Y78" i="196"/>
  <c r="Y82" i="196" s="1"/>
  <c r="L23" i="197"/>
  <c r="L78" i="196"/>
  <c r="L82" i="196" s="1"/>
  <c r="AF143" i="197"/>
  <c r="AF172" i="197" s="1"/>
  <c r="AF77" i="198" s="1"/>
  <c r="AF119" i="198" s="1"/>
  <c r="AF125" i="197"/>
  <c r="AF154" i="197" s="1"/>
  <c r="AF59" i="198" s="1"/>
  <c r="AF99" i="198" s="1"/>
  <c r="T125" i="197"/>
  <c r="T154" i="197" s="1"/>
  <c r="T59" i="198" s="1"/>
  <c r="T99" i="198" s="1"/>
  <c r="T143" i="197"/>
  <c r="T172" i="197" s="1"/>
  <c r="T77" i="198" s="1"/>
  <c r="T119" i="198" s="1"/>
  <c r="T134" i="197"/>
  <c r="T163" i="197" s="1"/>
  <c r="T68" i="198" s="1"/>
  <c r="T109" i="198" s="1"/>
  <c r="AB143" i="197"/>
  <c r="AB172" i="197" s="1"/>
  <c r="AB77" i="198" s="1"/>
  <c r="AB119" i="198" s="1"/>
  <c r="AB125" i="197"/>
  <c r="AB154" i="197" s="1"/>
  <c r="AB59" i="198" s="1"/>
  <c r="AB99" i="198" s="1"/>
  <c r="X23" i="197"/>
  <c r="X78" i="196"/>
  <c r="X82" i="196" s="1"/>
  <c r="W78" i="196"/>
  <c r="W82" i="196" s="1"/>
  <c r="W23" i="197"/>
  <c r="P78" i="196"/>
  <c r="P82" i="196" s="1"/>
  <c r="P23" i="197"/>
  <c r="H99" i="198" l="1"/>
  <c r="H109" i="198"/>
  <c r="H119" i="198"/>
  <c r="H78" i="196"/>
  <c r="J82" i="196"/>
  <c r="H82" i="196" s="1"/>
  <c r="H85" i="198" l="1"/>
  <c r="H128" i="198" s="1"/>
  <c r="H84" i="196"/>
  <c r="AJ190" i="196" l="1"/>
  <c r="T190" i="196"/>
  <c r="T196" i="196" s="1"/>
  <c r="T198" i="196" s="1"/>
  <c r="R190" i="196"/>
  <c r="AB190" i="196"/>
  <c r="AC190" i="196"/>
  <c r="AC196" i="196" s="1"/>
  <c r="AC198" i="196" s="1"/>
  <c r="AK190" i="196"/>
  <c r="AE190" i="196"/>
  <c r="AE196" i="196" s="1"/>
  <c r="AE198" i="196" s="1"/>
  <c r="AD190" i="196"/>
  <c r="AD196" i="196" s="1"/>
  <c r="AD198" i="196" s="1"/>
  <c r="M190" i="196"/>
  <c r="M196" i="196" s="1"/>
  <c r="M198" i="196" s="1"/>
  <c r="U190" i="196"/>
  <c r="U196" i="196" s="1"/>
  <c r="U198" i="196" s="1"/>
  <c r="AN190" i="196"/>
  <c r="Q190" i="196"/>
  <c r="J190" i="196"/>
  <c r="J196" i="196" s="1"/>
  <c r="J198" i="196" s="1"/>
  <c r="AF190" i="196"/>
  <c r="AF196" i="196" s="1"/>
  <c r="AF198" i="196" s="1"/>
  <c r="AA190" i="196"/>
  <c r="AA196" i="196" s="1"/>
  <c r="AA198" i="196" s="1"/>
  <c r="X190" i="196"/>
  <c r="X196" i="196" s="1"/>
  <c r="X198" i="196" s="1"/>
  <c r="O190" i="196"/>
  <c r="O196" i="196" s="1"/>
  <c r="O198" i="196" s="1"/>
  <c r="Z190" i="196"/>
  <c r="Z196" i="196" s="1"/>
  <c r="Z198" i="196" s="1"/>
  <c r="AG190" i="196"/>
  <c r="AG205" i="196" s="1"/>
  <c r="AG207" i="196" s="1"/>
  <c r="S190" i="196"/>
  <c r="S196" i="196" s="1"/>
  <c r="S198" i="196" s="1"/>
  <c r="N190" i="196"/>
  <c r="N196" i="196" s="1"/>
  <c r="N198" i="196" s="1"/>
  <c r="AI190" i="196"/>
  <c r="Y190" i="196"/>
  <c r="Y196" i="196" s="1"/>
  <c r="Y198" i="196" s="1"/>
  <c r="L190" i="196"/>
  <c r="P190" i="196"/>
  <c r="P196" i="196" s="1"/>
  <c r="P198" i="196" s="1"/>
  <c r="AL190" i="196"/>
  <c r="AH190" i="196"/>
  <c r="V190" i="196"/>
  <c r="V196" i="196" s="1"/>
  <c r="V198" i="196" s="1"/>
  <c r="AM190" i="196"/>
  <c r="AO190" i="196"/>
  <c r="H88" i="198"/>
  <c r="H131" i="198" s="1"/>
  <c r="K190" i="196"/>
  <c r="W190" i="196"/>
  <c r="J1984" i="97"/>
  <c r="J164" i="178" l="1" a="1"/>
  <c r="H2138" i="97" a="1"/>
  <c r="H2138" i="97" s="1"/>
  <c r="H2140" i="97" s="1"/>
  <c r="A4" i="97" s="1"/>
  <c r="Y164" i="178" l="1"/>
  <c r="Y23" i="195" s="1"/>
  <c r="X164" i="178"/>
  <c r="X23" i="195" s="1"/>
  <c r="R164" i="178"/>
  <c r="R23" i="195" s="1"/>
  <c r="J164" i="178"/>
  <c r="L164" i="178"/>
  <c r="L23" i="195" s="1"/>
  <c r="T164" i="178"/>
  <c r="T23" i="195" s="1"/>
  <c r="U164" i="178"/>
  <c r="U23" i="195" s="1"/>
  <c r="Q164" i="178"/>
  <c r="Q23" i="195" s="1"/>
  <c r="V164" i="178"/>
  <c r="V23" i="195" s="1"/>
  <c r="S164" i="178"/>
  <c r="S23" i="195" s="1"/>
  <c r="N164" i="178"/>
  <c r="N23" i="195" s="1"/>
  <c r="M164" i="178"/>
  <c r="M23" i="195" s="1"/>
  <c r="W164" i="178"/>
  <c r="W23" i="195" s="1"/>
  <c r="K164" i="178"/>
  <c r="K23" i="195" s="1"/>
  <c r="P164" i="178"/>
  <c r="P23" i="195" s="1"/>
  <c r="O164" i="178"/>
  <c r="O23" i="195" s="1"/>
  <c r="M54" i="195" l="1"/>
  <c r="M60" i="195" s="1"/>
  <c r="M37" i="195"/>
  <c r="M36" i="195"/>
  <c r="P36" i="195"/>
  <c r="P37" i="195"/>
  <c r="N36" i="195"/>
  <c r="N37" i="195"/>
  <c r="U54" i="195"/>
  <c r="U60" i="195" s="1"/>
  <c r="U36" i="195"/>
  <c r="U37" i="195"/>
  <c r="R54" i="195"/>
  <c r="R60" i="195" s="1"/>
  <c r="R37" i="195"/>
  <c r="R36" i="195"/>
  <c r="O36" i="195"/>
  <c r="O37" i="195"/>
  <c r="J23" i="195"/>
  <c r="H214" i="178" a="1"/>
  <c r="H214" i="178" s="1"/>
  <c r="H216" i="178" s="1"/>
  <c r="K54" i="195"/>
  <c r="K60" i="195" s="1"/>
  <c r="K36" i="195"/>
  <c r="K37" i="195"/>
  <c r="S54" i="195"/>
  <c r="S60" i="195" s="1"/>
  <c r="S37" i="195"/>
  <c r="S36" i="195"/>
  <c r="T54" i="195"/>
  <c r="T60" i="195" s="1"/>
  <c r="T36" i="195"/>
  <c r="T37" i="195"/>
  <c r="X54" i="195"/>
  <c r="X60" i="195" s="1"/>
  <c r="X37" i="195"/>
  <c r="X36" i="195"/>
  <c r="Q54" i="195"/>
  <c r="Q60" i="195" s="1"/>
  <c r="Q36" i="195"/>
  <c r="Q37" i="195"/>
  <c r="W54" i="195"/>
  <c r="W60" i="195" s="1"/>
  <c r="W37" i="195"/>
  <c r="W36" i="195"/>
  <c r="V54" i="195"/>
  <c r="V60" i="195" s="1"/>
  <c r="V37" i="195"/>
  <c r="V36" i="195"/>
  <c r="L36" i="195"/>
  <c r="L37" i="195"/>
  <c r="Y54" i="195"/>
  <c r="Y60" i="195" s="1"/>
  <c r="Y37" i="195"/>
  <c r="Y36" i="195"/>
  <c r="J37" i="195" l="1"/>
  <c r="H41" i="195" s="1"/>
  <c r="J36" i="195"/>
  <c r="H40" i="195" s="1"/>
  <c r="J44" i="195" s="1"/>
  <c r="J38" i="55"/>
  <c r="A4" i="178"/>
  <c r="O45" i="195" l="1"/>
  <c r="O46" i="195" s="1"/>
  <c r="L45" i="195"/>
  <c r="L46" i="195" s="1"/>
  <c r="J45" i="195"/>
  <c r="J46" i="195" s="1"/>
  <c r="N45" i="195"/>
  <c r="N46" i="195" s="1"/>
  <c r="P45" i="195"/>
  <c r="P46" i="195" s="1"/>
  <c r="J50" i="195" l="1"/>
  <c r="J54" i="195"/>
  <c r="J29" i="196"/>
  <c r="J48" i="196" s="1"/>
  <c r="P50" i="195"/>
  <c r="P54" i="195"/>
  <c r="P29" i="196"/>
  <c r="O54" i="195"/>
  <c r="O29" i="196"/>
  <c r="O50" i="195"/>
  <c r="L50" i="195"/>
  <c r="L54" i="195"/>
  <c r="L29" i="196"/>
  <c r="N29" i="196"/>
  <c r="N54" i="195"/>
  <c r="N50" i="195"/>
  <c r="N60" i="195" l="1"/>
  <c r="P60" i="195"/>
  <c r="J47" i="197"/>
  <c r="L60" i="195"/>
  <c r="AC48" i="196"/>
  <c r="AC47" i="197" s="1"/>
  <c r="AF48" i="196"/>
  <c r="AF47" i="197" s="1"/>
  <c r="AE48" i="196"/>
  <c r="AE47" i="197" s="1"/>
  <c r="AB48" i="196"/>
  <c r="AB47" i="197" s="1"/>
  <c r="AD48" i="196"/>
  <c r="AD47" i="197" s="1"/>
  <c r="H56" i="195"/>
  <c r="H87" i="198" s="1"/>
  <c r="H130" i="198" s="1"/>
  <c r="O48" i="196"/>
  <c r="O47" i="197" s="1"/>
  <c r="L48" i="196"/>
  <c r="L47" i="197" s="1"/>
  <c r="P48" i="196"/>
  <c r="P47" i="197" s="1"/>
  <c r="M48" i="196"/>
  <c r="M47" i="197" s="1"/>
  <c r="N48" i="196"/>
  <c r="N47" i="197" s="1"/>
  <c r="AA48" i="196"/>
  <c r="AA47" i="197" s="1"/>
  <c r="Y48" i="196"/>
  <c r="Y47" i="197" s="1"/>
  <c r="X48" i="196"/>
  <c r="X47" i="197" s="1"/>
  <c r="W48" i="196"/>
  <c r="W47" i="197" s="1"/>
  <c r="Z48" i="196"/>
  <c r="Z47" i="197" s="1"/>
  <c r="V48" i="196"/>
  <c r="V47" i="197" s="1"/>
  <c r="T48" i="196"/>
  <c r="T47" i="197" s="1"/>
  <c r="U48" i="196"/>
  <c r="U47" i="197" s="1"/>
  <c r="R48" i="196"/>
  <c r="R47" i="197" s="1"/>
  <c r="S48" i="196"/>
  <c r="S47" i="197" s="1"/>
  <c r="O60" i="195"/>
  <c r="H52" i="195"/>
  <c r="J60" i="195"/>
  <c r="H62" i="195" l="1"/>
  <c r="H64" i="195" s="1"/>
  <c r="AL222" i="196" a="1"/>
  <c r="AL222" i="196" s="1"/>
  <c r="AL224" i="196" s="1"/>
  <c r="AF222" i="196" a="1"/>
  <c r="AF222" i="196" s="1"/>
  <c r="AF224" i="196" s="1"/>
  <c r="R222" i="196" a="1"/>
  <c r="R222" i="196" s="1"/>
  <c r="R224" i="196" s="1"/>
  <c r="Q222" i="196" a="1"/>
  <c r="Q222" i="196" s="1"/>
  <c r="Q224" i="196" s="1"/>
  <c r="AJ222" i="196" a="1"/>
  <c r="AJ222" i="196" s="1"/>
  <c r="AJ224" i="196" s="1"/>
  <c r="T222" i="196" a="1"/>
  <c r="T222" i="196" s="1"/>
  <c r="T224" i="196" s="1"/>
  <c r="AN222" i="196" a="1"/>
  <c r="AN222" i="196" s="1"/>
  <c r="AN224" i="196" s="1"/>
  <c r="P222" i="196" a="1"/>
  <c r="P222" i="196" s="1"/>
  <c r="P224" i="196" s="1"/>
  <c r="L222" i="196" a="1"/>
  <c r="L222" i="196" s="1"/>
  <c r="L224" i="196" s="1"/>
  <c r="Z222" i="196" a="1"/>
  <c r="Z222" i="196" s="1"/>
  <c r="Z224" i="196" s="1"/>
  <c r="AI222" i="196" a="1"/>
  <c r="AI222" i="196" s="1"/>
  <c r="AI224" i="196" s="1"/>
  <c r="J222" i="196" a="1"/>
  <c r="J222" i="196" s="1"/>
  <c r="J224" i="196" s="1"/>
  <c r="AH222" i="196" a="1"/>
  <c r="AH222" i="196" s="1"/>
  <c r="AH224" i="196" s="1"/>
  <c r="K222" i="196" a="1"/>
  <c r="K222" i="196" s="1"/>
  <c r="K224" i="196" s="1"/>
  <c r="S222" i="196" a="1"/>
  <c r="S222" i="196" s="1"/>
  <c r="S224" i="196" s="1"/>
  <c r="X222" i="196" a="1"/>
  <c r="X222" i="196" s="1"/>
  <c r="X224" i="196" s="1"/>
  <c r="AK222" i="196" a="1"/>
  <c r="AK222" i="196" s="1"/>
  <c r="AK224" i="196" s="1"/>
  <c r="M222" i="196" a="1"/>
  <c r="M222" i="196" s="1"/>
  <c r="M224" i="196" s="1"/>
  <c r="AB222" i="196" a="1"/>
  <c r="AB222" i="196" s="1"/>
  <c r="AB224" i="196" s="1"/>
  <c r="W222" i="196" a="1"/>
  <c r="W222" i="196" s="1"/>
  <c r="W224" i="196" s="1"/>
  <c r="AE222" i="196" a="1"/>
  <c r="AE222" i="196" s="1"/>
  <c r="AE224" i="196" s="1"/>
  <c r="AD222" i="196" a="1"/>
  <c r="AD222" i="196" s="1"/>
  <c r="AD224" i="196" s="1"/>
  <c r="AO222" i="196" a="1"/>
  <c r="AO222" i="196" s="1"/>
  <c r="AO224" i="196" s="1"/>
  <c r="H86" i="198"/>
  <c r="H129" i="198" s="1"/>
  <c r="H66" i="195" a="1"/>
  <c r="H66" i="195" s="1"/>
  <c r="V222" i="196" a="1"/>
  <c r="V222" i="196" s="1"/>
  <c r="V224" i="196" s="1"/>
  <c r="N222" i="196" a="1"/>
  <c r="N222" i="196" s="1"/>
  <c r="N224" i="196" s="1"/>
  <c r="Y222" i="196" a="1"/>
  <c r="Y222" i="196" s="1"/>
  <c r="Y224" i="196" s="1"/>
  <c r="O222" i="196" a="1"/>
  <c r="O222" i="196" s="1"/>
  <c r="O224" i="196" s="1"/>
  <c r="AA222" i="196" a="1"/>
  <c r="AA222" i="196" s="1"/>
  <c r="AA224" i="196" s="1"/>
  <c r="AM222" i="196" a="1"/>
  <c r="AM222" i="196" s="1"/>
  <c r="AM224" i="196" s="1"/>
  <c r="AG222" i="196" a="1"/>
  <c r="AG222" i="196" s="1"/>
  <c r="AG224" i="196" s="1"/>
  <c r="U222" i="196" a="1"/>
  <c r="U222" i="196" s="1"/>
  <c r="U224" i="196" s="1"/>
  <c r="AC222" i="196" a="1"/>
  <c r="AC222" i="196" s="1"/>
  <c r="AC224" i="196" s="1"/>
  <c r="AG415" i="196" l="1"/>
  <c r="AG35" i="197" s="1"/>
  <c r="AG113" i="197" s="1"/>
  <c r="AG226" i="196"/>
  <c r="AG228" i="196" s="1"/>
  <c r="Y415" i="196"/>
  <c r="Y35" i="197" s="1"/>
  <c r="Y113" i="197" s="1"/>
  <c r="Y226" i="196"/>
  <c r="Y228" i="196" s="1"/>
  <c r="W415" i="196"/>
  <c r="W35" i="197" s="1"/>
  <c r="W113" i="197" s="1"/>
  <c r="W226" i="196"/>
  <c r="W228" i="196" s="1"/>
  <c r="X415" i="196"/>
  <c r="X35" i="197" s="1"/>
  <c r="X113" i="197" s="1"/>
  <c r="X226" i="196"/>
  <c r="X228" i="196" s="1"/>
  <c r="AM226" i="196"/>
  <c r="AM228" i="196" s="1"/>
  <c r="AM415" i="196"/>
  <c r="AM35" i="197" s="1"/>
  <c r="AM113" i="197" s="1"/>
  <c r="AM124" i="197" s="1"/>
  <c r="AM153" i="197" s="1"/>
  <c r="AM58" i="198" s="1"/>
  <c r="AM98" i="198" s="1"/>
  <c r="N415" i="196"/>
  <c r="N35" i="197" s="1"/>
  <c r="N113" i="197" s="1"/>
  <c r="N226" i="196"/>
  <c r="N228" i="196" s="1"/>
  <c r="AO226" i="196"/>
  <c r="AO228" i="196" s="1"/>
  <c r="AO415" i="196"/>
  <c r="AO35" i="197" s="1"/>
  <c r="AO113" i="197" s="1"/>
  <c r="AO124" i="197" s="1"/>
  <c r="AO153" i="197" s="1"/>
  <c r="AO58" i="198" s="1"/>
  <c r="AO98" i="198" s="1"/>
  <c r="AB226" i="196"/>
  <c r="AB228" i="196" s="1"/>
  <c r="AB415" i="196"/>
  <c r="AB35" i="197" s="1"/>
  <c r="AB113" i="197" s="1"/>
  <c r="S415" i="196"/>
  <c r="S35" i="197" s="1"/>
  <c r="S113" i="197" s="1"/>
  <c r="S226" i="196"/>
  <c r="S228" i="196" s="1"/>
  <c r="J226" i="196"/>
  <c r="J228" i="196" s="1"/>
  <c r="J415" i="196"/>
  <c r="J35" i="197" s="1"/>
  <c r="J113" i="197" s="1"/>
  <c r="P415" i="196"/>
  <c r="P35" i="197" s="1"/>
  <c r="P113" i="197" s="1"/>
  <c r="P226" i="196"/>
  <c r="P228" i="196" s="1"/>
  <c r="Q415" i="196"/>
  <c r="Q35" i="197" s="1"/>
  <c r="Q113" i="197" s="1"/>
  <c r="Q226" i="196"/>
  <c r="Q228" i="196" s="1"/>
  <c r="AC415" i="196"/>
  <c r="AC35" i="197" s="1"/>
  <c r="AC113" i="197" s="1"/>
  <c r="AC226" i="196"/>
  <c r="AC228" i="196" s="1"/>
  <c r="AA415" i="196"/>
  <c r="AA35" i="197" s="1"/>
  <c r="AA113" i="197" s="1"/>
  <c r="AA226" i="196"/>
  <c r="AA228" i="196" s="1"/>
  <c r="V415" i="196"/>
  <c r="V35" i="197" s="1"/>
  <c r="V113" i="197" s="1"/>
  <c r="V226" i="196"/>
  <c r="V228" i="196" s="1"/>
  <c r="AD415" i="196"/>
  <c r="AD35" i="197" s="1"/>
  <c r="AD113" i="197" s="1"/>
  <c r="AD226" i="196"/>
  <c r="AD228" i="196" s="1"/>
  <c r="M415" i="196"/>
  <c r="M35" i="197" s="1"/>
  <c r="M113" i="197" s="1"/>
  <c r="M226" i="196"/>
  <c r="M228" i="196" s="1"/>
  <c r="K415" i="196"/>
  <c r="K35" i="197" s="1"/>
  <c r="K113" i="197" s="1"/>
  <c r="K226" i="196"/>
  <c r="K228" i="196" s="1"/>
  <c r="AI415" i="196"/>
  <c r="AI35" i="197" s="1"/>
  <c r="AI113" i="197" s="1"/>
  <c r="AI226" i="196"/>
  <c r="AI228" i="196" s="1"/>
  <c r="AN226" i="196"/>
  <c r="AN228" i="196" s="1"/>
  <c r="AN415" i="196"/>
  <c r="AN35" i="197" s="1"/>
  <c r="AN113" i="197" s="1"/>
  <c r="R415" i="196"/>
  <c r="R35" i="197" s="1"/>
  <c r="R113" i="197" s="1"/>
  <c r="R226" i="196"/>
  <c r="R228" i="196" s="1"/>
  <c r="U415" i="196"/>
  <c r="U35" i="197" s="1"/>
  <c r="U113" i="197" s="1"/>
  <c r="U226" i="196"/>
  <c r="U228" i="196" s="1"/>
  <c r="O415" i="196"/>
  <c r="O35" i="197" s="1"/>
  <c r="O113" i="197" s="1"/>
  <c r="O226" i="196"/>
  <c r="O228" i="196" s="1"/>
  <c r="A4" i="195"/>
  <c r="J55" i="55"/>
  <c r="AE415" i="196"/>
  <c r="AE35" i="197" s="1"/>
  <c r="AE113" i="197" s="1"/>
  <c r="AE226" i="196"/>
  <c r="AE228" i="196" s="1"/>
  <c r="AK226" i="196"/>
  <c r="AK228" i="196" s="1"/>
  <c r="AK415" i="196"/>
  <c r="AK35" i="197" s="1"/>
  <c r="AK113" i="197" s="1"/>
  <c r="AK124" i="197" s="1"/>
  <c r="AK153" i="197" s="1"/>
  <c r="AK58" i="198" s="1"/>
  <c r="AK98" i="198" s="1"/>
  <c r="AH415" i="196"/>
  <c r="AH35" i="197" s="1"/>
  <c r="AH113" i="197" s="1"/>
  <c r="AH226" i="196"/>
  <c r="AH228" i="196" s="1"/>
  <c r="Z415" i="196"/>
  <c r="Z35" i="197" s="1"/>
  <c r="Z113" i="197" s="1"/>
  <c r="Z226" i="196"/>
  <c r="Z228" i="196" s="1"/>
  <c r="T415" i="196"/>
  <c r="T35" i="197" s="1"/>
  <c r="T113" i="197" s="1"/>
  <c r="T226" i="196"/>
  <c r="T228" i="196" s="1"/>
  <c r="AF415" i="196"/>
  <c r="AF35" i="197" s="1"/>
  <c r="AF113" i="197" s="1"/>
  <c r="AF226" i="196"/>
  <c r="AF228" i="196" s="1"/>
  <c r="L415" i="196"/>
  <c r="L35" i="197" s="1"/>
  <c r="L113" i="197" s="1"/>
  <c r="L226" i="196"/>
  <c r="L228" i="196" s="1"/>
  <c r="AJ226" i="196"/>
  <c r="AJ228" i="196" s="1"/>
  <c r="AJ415" i="196"/>
  <c r="AJ35" i="197" s="1"/>
  <c r="AJ113" i="197" s="1"/>
  <c r="AL415" i="196"/>
  <c r="AL35" i="197" s="1"/>
  <c r="AL113" i="197" s="1"/>
  <c r="AL226" i="196"/>
  <c r="AL228" i="196" s="1"/>
  <c r="AJ124" i="197" l="1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AJ237" i="196"/>
  <c r="AJ424" i="196"/>
  <c r="AF237" i="196"/>
  <c r="AF424" i="196"/>
  <c r="AF293" i="196"/>
  <c r="AF295" i="196" s="1"/>
  <c r="Z237" i="196"/>
  <c r="Z424" i="196"/>
  <c r="U293" i="196"/>
  <c r="U295" i="196" s="1"/>
  <c r="Z293" i="196"/>
  <c r="Z295" i="196" s="1"/>
  <c r="U237" i="196"/>
  <c r="U424" i="196"/>
  <c r="AN142" i="197"/>
  <c r="AN171" i="197" s="1"/>
  <c r="AN76" i="198" s="1"/>
  <c r="AN118" i="198" s="1"/>
  <c r="AN124" i="197"/>
  <c r="AN153" i="197" s="1"/>
  <c r="AN58" i="198" s="1"/>
  <c r="AN98" i="198" s="1"/>
  <c r="AO293" i="196"/>
  <c r="AO295" i="196" s="1"/>
  <c r="AH293" i="196"/>
  <c r="AH295" i="196" s="1"/>
  <c r="L293" i="196"/>
  <c r="L295" i="196" s="1"/>
  <c r="AJ293" i="196"/>
  <c r="AJ295" i="196" s="1"/>
  <c r="Q293" i="196"/>
  <c r="Q295" i="196" s="1"/>
  <c r="K424" i="196"/>
  <c r="W293" i="196"/>
  <c r="W295" i="196" s="1"/>
  <c r="AK293" i="196"/>
  <c r="AK295" i="196" s="1"/>
  <c r="AN293" i="196"/>
  <c r="AN295" i="196" s="1"/>
  <c r="AL293" i="196"/>
  <c r="AL295" i="196" s="1"/>
  <c r="K237" i="196"/>
  <c r="K293" i="196"/>
  <c r="K295" i="196" s="1"/>
  <c r="R293" i="196"/>
  <c r="R295" i="196" s="1"/>
  <c r="AM293" i="196"/>
  <c r="AM295" i="196" s="1"/>
  <c r="AI293" i="196"/>
  <c r="AI295" i="196" s="1"/>
  <c r="AB293" i="196"/>
  <c r="AB295" i="196" s="1"/>
  <c r="AD424" i="196"/>
  <c r="AD293" i="196"/>
  <c r="AD295" i="196" s="1"/>
  <c r="AD237" i="196"/>
  <c r="AA424" i="196"/>
  <c r="AA237" i="196"/>
  <c r="Q424" i="196"/>
  <c r="Q237" i="196"/>
  <c r="J142" i="197"/>
  <c r="J171" i="197" s="1"/>
  <c r="J76" i="198" s="1"/>
  <c r="J118" i="198" s="1"/>
  <c r="J124" i="197"/>
  <c r="J153" i="197" s="1"/>
  <c r="J58" i="198" s="1"/>
  <c r="J98" i="198" s="1"/>
  <c r="J133" i="197"/>
  <c r="J162" i="197" s="1"/>
  <c r="J67" i="198" s="1"/>
  <c r="J108" i="198" s="1"/>
  <c r="AB124" i="197"/>
  <c r="AB153" i="197" s="1"/>
  <c r="AB58" i="198" s="1"/>
  <c r="AB98" i="198" s="1"/>
  <c r="AB142" i="197"/>
  <c r="AB171" i="197" s="1"/>
  <c r="AB76" i="198" s="1"/>
  <c r="AB118" i="198" s="1"/>
  <c r="N237" i="196"/>
  <c r="N424" i="196"/>
  <c r="N293" i="196"/>
  <c r="N295" i="196" s="1"/>
  <c r="S293" i="196"/>
  <c r="S295" i="196" s="1"/>
  <c r="X424" i="196"/>
  <c r="X237" i="196"/>
  <c r="Y424" i="196"/>
  <c r="Y237" i="196"/>
  <c r="AL424" i="196"/>
  <c r="AL237" i="196"/>
  <c r="L424" i="196"/>
  <c r="L237" i="196"/>
  <c r="AF142" i="197"/>
  <c r="AF171" i="197" s="1"/>
  <c r="AF76" i="198" s="1"/>
  <c r="AF118" i="198" s="1"/>
  <c r="AF124" i="197"/>
  <c r="AF153" i="197" s="1"/>
  <c r="AF58" i="198" s="1"/>
  <c r="AF98" i="198" s="1"/>
  <c r="Z124" i="197"/>
  <c r="Z153" i="197" s="1"/>
  <c r="Z58" i="198" s="1"/>
  <c r="Z98" i="198" s="1"/>
  <c r="Z142" i="197"/>
  <c r="Z171" i="197" s="1"/>
  <c r="Z76" i="198" s="1"/>
  <c r="Z118" i="198" s="1"/>
  <c r="AK424" i="196"/>
  <c r="AK237" i="196"/>
  <c r="U133" i="197"/>
  <c r="U162" i="197" s="1"/>
  <c r="U67" i="198" s="1"/>
  <c r="U108" i="198" s="1"/>
  <c r="U142" i="197"/>
  <c r="U171" i="197" s="1"/>
  <c r="U76" i="198" s="1"/>
  <c r="U118" i="198" s="1"/>
  <c r="U124" i="197"/>
  <c r="U153" i="197" s="1"/>
  <c r="U58" i="198" s="1"/>
  <c r="U98" i="198" s="1"/>
  <c r="AN237" i="196"/>
  <c r="AN424" i="196"/>
  <c r="K142" i="197"/>
  <c r="K171" i="197" s="1"/>
  <c r="K76" i="198" s="1"/>
  <c r="K118" i="198" s="1"/>
  <c r="K124" i="197"/>
  <c r="K153" i="197" s="1"/>
  <c r="K58" i="198" s="1"/>
  <c r="K98" i="198" s="1"/>
  <c r="K133" i="197"/>
  <c r="K162" i="197" s="1"/>
  <c r="K67" i="198" s="1"/>
  <c r="K108" i="198" s="1"/>
  <c r="AD142" i="197"/>
  <c r="AD171" i="197" s="1"/>
  <c r="AD76" i="198" s="1"/>
  <c r="AD118" i="198" s="1"/>
  <c r="AD124" i="197"/>
  <c r="AD153" i="197" s="1"/>
  <c r="AD58" i="198" s="1"/>
  <c r="AD98" i="198" s="1"/>
  <c r="AA124" i="197"/>
  <c r="AA153" i="197" s="1"/>
  <c r="AA58" i="198" s="1"/>
  <c r="AA98" i="198" s="1"/>
  <c r="AA142" i="197"/>
  <c r="AA171" i="197" s="1"/>
  <c r="AA76" i="198" s="1"/>
  <c r="AA118" i="198" s="1"/>
  <c r="Q124" i="197"/>
  <c r="Q153" i="197" s="1"/>
  <c r="Q58" i="198" s="1"/>
  <c r="Q98" i="198" s="1"/>
  <c r="Q133" i="197"/>
  <c r="Q162" i="197" s="1"/>
  <c r="Q67" i="198" s="1"/>
  <c r="Q108" i="198" s="1"/>
  <c r="Q142" i="197"/>
  <c r="Q171" i="197" s="1"/>
  <c r="Q76" i="198" s="1"/>
  <c r="Q118" i="198" s="1"/>
  <c r="H230" i="196"/>
  <c r="J424" i="196"/>
  <c r="J293" i="196"/>
  <c r="J295" i="196" s="1"/>
  <c r="J237" i="196"/>
  <c r="AB424" i="196"/>
  <c r="AB237" i="196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X124" i="197"/>
  <c r="X153" i="197" s="1"/>
  <c r="X58" i="198" s="1"/>
  <c r="X98" i="198" s="1"/>
  <c r="X142" i="197"/>
  <c r="X171" i="197" s="1"/>
  <c r="X76" i="198" s="1"/>
  <c r="X118" i="198" s="1"/>
  <c r="Y124" i="197"/>
  <c r="Y153" i="197" s="1"/>
  <c r="Y58" i="198" s="1"/>
  <c r="Y98" i="198" s="1"/>
  <c r="Y142" i="197"/>
  <c r="Y171" i="197" s="1"/>
  <c r="Y76" i="198" s="1"/>
  <c r="Y118" i="198" s="1"/>
  <c r="AL142" i="197"/>
  <c r="AL171" i="197" s="1"/>
  <c r="AL76" i="198" s="1"/>
  <c r="AL118" i="198" s="1"/>
  <c r="AL124" i="197"/>
  <c r="AL153" i="197" s="1"/>
  <c r="AL58" i="198" s="1"/>
  <c r="AL98" i="198" s="1"/>
  <c r="L133" i="197"/>
  <c r="L162" i="197" s="1"/>
  <c r="L67" i="198" s="1"/>
  <c r="L108" i="198" s="1"/>
  <c r="L142" i="197"/>
  <c r="L171" i="197" s="1"/>
  <c r="L76" i="198" s="1"/>
  <c r="L118" i="198" s="1"/>
  <c r="L124" i="197"/>
  <c r="L153" i="197" s="1"/>
  <c r="L58" i="198" s="1"/>
  <c r="L98" i="198" s="1"/>
  <c r="T424" i="196"/>
  <c r="T293" i="196"/>
  <c r="T295" i="196" s="1"/>
  <c r="Y293" i="196"/>
  <c r="Y295" i="196" s="1"/>
  <c r="T237" i="196"/>
  <c r="AH424" i="196"/>
  <c r="AH237" i="196"/>
  <c r="AE424" i="196"/>
  <c r="AE237" i="196"/>
  <c r="AE293" i="196"/>
  <c r="AE295" i="196" s="1"/>
  <c r="O237" i="196"/>
  <c r="O293" i="196"/>
  <c r="O295" i="196" s="1"/>
  <c r="O424" i="196"/>
  <c r="R237" i="196"/>
  <c r="R424" i="196"/>
  <c r="AI237" i="196"/>
  <c r="AI424" i="196"/>
  <c r="M237" i="196"/>
  <c r="M424" i="196"/>
  <c r="M293" i="196"/>
  <c r="M295" i="196" s="1"/>
  <c r="V293" i="196"/>
  <c r="V295" i="196" s="1"/>
  <c r="V237" i="196"/>
  <c r="V424" i="196"/>
  <c r="AA293" i="196"/>
  <c r="AA295" i="196" s="1"/>
  <c r="AC237" i="196"/>
  <c r="AC293" i="196"/>
  <c r="AC295" i="196" s="1"/>
  <c r="AC424" i="196"/>
  <c r="P293" i="196"/>
  <c r="P295" i="196" s="1"/>
  <c r="P424" i="196"/>
  <c r="P237" i="196"/>
  <c r="S237" i="196"/>
  <c r="S424" i="196"/>
  <c r="X293" i="196"/>
  <c r="X295" i="196" s="1"/>
  <c r="W424" i="196"/>
  <c r="W237" i="196"/>
  <c r="AG237" i="196"/>
  <c r="AG424" i="196"/>
  <c r="AG293" i="196"/>
  <c r="AG295" i="196" s="1"/>
  <c r="T124" i="197"/>
  <c r="T153" i="197" s="1"/>
  <c r="T58" i="198" s="1"/>
  <c r="T98" i="198" s="1"/>
  <c r="T142" i="197"/>
  <c r="T171" i="197" s="1"/>
  <c r="T76" i="198" s="1"/>
  <c r="T118" i="198" s="1"/>
  <c r="T133" i="197"/>
  <c r="T162" i="197" s="1"/>
  <c r="T67" i="198" s="1"/>
  <c r="T108" i="198" s="1"/>
  <c r="AH124" i="197"/>
  <c r="AH153" i="197" s="1"/>
  <c r="AH58" i="198" s="1"/>
  <c r="AH98" i="198" s="1"/>
  <c r="AH133" i="197"/>
  <c r="AH162" i="197" s="1"/>
  <c r="AH67" i="198" s="1"/>
  <c r="AH108" i="198" s="1"/>
  <c r="AH142" i="197"/>
  <c r="AH171" i="197" s="1"/>
  <c r="AH76" i="198" s="1"/>
  <c r="AH118" i="198" s="1"/>
  <c r="AE124" i="197"/>
  <c r="AE153" i="197" s="1"/>
  <c r="AE58" i="198" s="1"/>
  <c r="AE98" i="198" s="1"/>
  <c r="AE142" i="197"/>
  <c r="AE171" i="197" s="1"/>
  <c r="AE76" i="198" s="1"/>
  <c r="AE118" i="198" s="1"/>
  <c r="O124" i="197"/>
  <c r="O153" i="197" s="1"/>
  <c r="O58" i="198" s="1"/>
  <c r="O98" i="198" s="1"/>
  <c r="O142" i="197"/>
  <c r="O171" i="197" s="1"/>
  <c r="O76" i="198" s="1"/>
  <c r="O118" i="198" s="1"/>
  <c r="O133" i="197"/>
  <c r="O162" i="197" s="1"/>
  <c r="O67" i="198" s="1"/>
  <c r="O108" i="198" s="1"/>
  <c r="R124" i="197"/>
  <c r="R153" i="197" s="1"/>
  <c r="R58" i="198" s="1"/>
  <c r="R98" i="198" s="1"/>
  <c r="R133" i="197"/>
  <c r="R162" i="197" s="1"/>
  <c r="R67" i="198" s="1"/>
  <c r="R108" i="198" s="1"/>
  <c r="R142" i="197"/>
  <c r="R171" i="197" s="1"/>
  <c r="R76" i="198" s="1"/>
  <c r="R118" i="198" s="1"/>
  <c r="AI124" i="197"/>
  <c r="AI153" i="197" s="1"/>
  <c r="AI58" i="198" s="1"/>
  <c r="AI98" i="198" s="1"/>
  <c r="AI142" i="197"/>
  <c r="AI171" i="197" s="1"/>
  <c r="AI76" i="198" s="1"/>
  <c r="AI118" i="198" s="1"/>
  <c r="M133" i="197"/>
  <c r="M162" i="197" s="1"/>
  <c r="M67" i="198" s="1"/>
  <c r="M108" i="198" s="1"/>
  <c r="M142" i="197"/>
  <c r="M171" i="197" s="1"/>
  <c r="M76" i="198" s="1"/>
  <c r="M118" i="198" s="1"/>
  <c r="M124" i="197"/>
  <c r="M153" i="197" s="1"/>
  <c r="M58" i="198" s="1"/>
  <c r="M98" i="198" s="1"/>
  <c r="V124" i="197"/>
  <c r="V153" i="197" s="1"/>
  <c r="V58" i="198" s="1"/>
  <c r="V98" i="198" s="1"/>
  <c r="V133" i="197"/>
  <c r="V162" i="197" s="1"/>
  <c r="V67" i="198" s="1"/>
  <c r="V108" i="198" s="1"/>
  <c r="V142" i="197"/>
  <c r="V171" i="197" s="1"/>
  <c r="V76" i="198" s="1"/>
  <c r="V118" i="198" s="1"/>
  <c r="AC124" i="197"/>
  <c r="AC153" i="197" s="1"/>
  <c r="AC58" i="198" s="1"/>
  <c r="AC98" i="198" s="1"/>
  <c r="AC142" i="197"/>
  <c r="AC171" i="197" s="1"/>
  <c r="AC76" i="198" s="1"/>
  <c r="AC118" i="198" s="1"/>
  <c r="P133" i="197"/>
  <c r="P162" i="197" s="1"/>
  <c r="P67" i="198" s="1"/>
  <c r="P108" i="198" s="1"/>
  <c r="P142" i="197"/>
  <c r="P171" i="197" s="1"/>
  <c r="P76" i="198" s="1"/>
  <c r="P118" i="198" s="1"/>
  <c r="P124" i="197"/>
  <c r="P153" i="197" s="1"/>
  <c r="P58" i="198" s="1"/>
  <c r="P98" i="198" s="1"/>
  <c r="S133" i="197"/>
  <c r="S162" i="197" s="1"/>
  <c r="S67" i="198" s="1"/>
  <c r="S108" i="198" s="1"/>
  <c r="S142" i="197"/>
  <c r="S171" i="197" s="1"/>
  <c r="S76" i="198" s="1"/>
  <c r="S118" i="198" s="1"/>
  <c r="S124" i="197"/>
  <c r="S153" i="197" s="1"/>
  <c r="S58" i="198" s="1"/>
  <c r="S98" i="198" s="1"/>
  <c r="AO424" i="196"/>
  <c r="AO237" i="196"/>
  <c r="AM237" i="196"/>
  <c r="AM424" i="196"/>
  <c r="W142" i="197"/>
  <c r="W171" i="197" s="1"/>
  <c r="W76" i="198" s="1"/>
  <c r="W118" i="198" s="1"/>
  <c r="W124" i="197"/>
  <c r="W153" i="197" s="1"/>
  <c r="W58" i="198" s="1"/>
  <c r="W98" i="198" s="1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AN404" i="196" l="1"/>
  <c r="AN413" i="196" s="1"/>
  <c r="AN33" i="197" s="1"/>
  <c r="AN111" i="197" s="1"/>
  <c r="AN250" i="196"/>
  <c r="AN251" i="196"/>
  <c r="AN249" i="196"/>
  <c r="AN405" i="196"/>
  <c r="AN414" i="196" s="1"/>
  <c r="AN34" i="197" s="1"/>
  <c r="AN112" i="197" s="1"/>
  <c r="AN272" i="196"/>
  <c r="AN273" i="196"/>
  <c r="AN269" i="196"/>
  <c r="AN268" i="196"/>
  <c r="AN403" i="196"/>
  <c r="AN412" i="196" s="1"/>
  <c r="AN32" i="197" s="1"/>
  <c r="AN110" i="197" s="1"/>
  <c r="AN267" i="196"/>
  <c r="AN274" i="196"/>
  <c r="AK269" i="196"/>
  <c r="AK250" i="196"/>
  <c r="AK267" i="196"/>
  <c r="AK272" i="196"/>
  <c r="AK403" i="196"/>
  <c r="AK412" i="196" s="1"/>
  <c r="AK32" i="197" s="1"/>
  <c r="AK110" i="197" s="1"/>
  <c r="AK121" i="197" s="1"/>
  <c r="AK150" i="197" s="1"/>
  <c r="AK55" i="198" s="1"/>
  <c r="AK95" i="198" s="1"/>
  <c r="AK251" i="196"/>
  <c r="AK268" i="196"/>
  <c r="AK274" i="196"/>
  <c r="AK273" i="196"/>
  <c r="AK249" i="196"/>
  <c r="AK404" i="196"/>
  <c r="AK413" i="196" s="1"/>
  <c r="AK33" i="197" s="1"/>
  <c r="AK111" i="197" s="1"/>
  <c r="AK122" i="197" s="1"/>
  <c r="AK151" i="197" s="1"/>
  <c r="AK56" i="198" s="1"/>
  <c r="AK96" i="198" s="1"/>
  <c r="AK405" i="196"/>
  <c r="AK414" i="196" s="1"/>
  <c r="AK34" i="197" s="1"/>
  <c r="AK112" i="197" s="1"/>
  <c r="AK123" i="197" s="1"/>
  <c r="AK152" i="197" s="1"/>
  <c r="AK57" i="198" s="1"/>
  <c r="AK97" i="198" s="1"/>
  <c r="AL250" i="196"/>
  <c r="AL269" i="196"/>
  <c r="AL249" i="196"/>
  <c r="AL267" i="196"/>
  <c r="AL251" i="196"/>
  <c r="AL404" i="196"/>
  <c r="AL413" i="196" s="1"/>
  <c r="AL33" i="197" s="1"/>
  <c r="AL111" i="197" s="1"/>
  <c r="AL405" i="196"/>
  <c r="AL414" i="196" s="1"/>
  <c r="AL34" i="197" s="1"/>
  <c r="AL112" i="197" s="1"/>
  <c r="AL403" i="196"/>
  <c r="AL412" i="196" s="1"/>
  <c r="AL32" i="197" s="1"/>
  <c r="AL110" i="197" s="1"/>
  <c r="AL272" i="196"/>
  <c r="AL273" i="196"/>
  <c r="AL274" i="196"/>
  <c r="AL268" i="196"/>
  <c r="X268" i="196"/>
  <c r="X251" i="196"/>
  <c r="X272" i="196"/>
  <c r="X404" i="196"/>
  <c r="X413" i="196" s="1"/>
  <c r="X33" i="197" s="1"/>
  <c r="X111" i="197" s="1"/>
  <c r="X249" i="196"/>
  <c r="X267" i="196"/>
  <c r="X273" i="196"/>
  <c r="X274" i="196"/>
  <c r="X269" i="196"/>
  <c r="X250" i="196"/>
  <c r="X405" i="196"/>
  <c r="X414" i="196" s="1"/>
  <c r="X34" i="197" s="1"/>
  <c r="X112" i="197" s="1"/>
  <c r="X403" i="196"/>
  <c r="X412" i="196" s="1"/>
  <c r="X32" i="197" s="1"/>
  <c r="X110" i="197" s="1"/>
  <c r="H108" i="198"/>
  <c r="AF403" i="196"/>
  <c r="AF412" i="196" s="1"/>
  <c r="AF32" i="197" s="1"/>
  <c r="AF110" i="197" s="1"/>
  <c r="AF404" i="196"/>
  <c r="AF413" i="196" s="1"/>
  <c r="AF33" i="197" s="1"/>
  <c r="AF111" i="197" s="1"/>
  <c r="AF249" i="196"/>
  <c r="AF272" i="196"/>
  <c r="AF277" i="196" s="1"/>
  <c r="AF282" i="196" s="1"/>
  <c r="AF268" i="196"/>
  <c r="AF250" i="196"/>
  <c r="AF251" i="196"/>
  <c r="AF274" i="196"/>
  <c r="AF279" i="196" s="1"/>
  <c r="AF284" i="196" s="1"/>
  <c r="AF362" i="196" s="1"/>
  <c r="AF364" i="196" s="1"/>
  <c r="AF366" i="196" s="1"/>
  <c r="AF368" i="196" s="1"/>
  <c r="AF393" i="196" s="1"/>
  <c r="AF273" i="196"/>
  <c r="AF278" i="196" s="1"/>
  <c r="AF283" i="196" s="1"/>
  <c r="AF405" i="196"/>
  <c r="AF414" i="196" s="1"/>
  <c r="AF34" i="197" s="1"/>
  <c r="AF112" i="197" s="1"/>
  <c r="AF269" i="196"/>
  <c r="AF267" i="196"/>
  <c r="AI251" i="196"/>
  <c r="AI403" i="196"/>
  <c r="AI412" i="196" s="1"/>
  <c r="AI32" i="197" s="1"/>
  <c r="AI110" i="197" s="1"/>
  <c r="AI249" i="196"/>
  <c r="AI405" i="196"/>
  <c r="AI414" i="196" s="1"/>
  <c r="AI34" i="197" s="1"/>
  <c r="AI112" i="197" s="1"/>
  <c r="AI274" i="196"/>
  <c r="AI267" i="196"/>
  <c r="AI272" i="196"/>
  <c r="AI404" i="196"/>
  <c r="AI413" i="196" s="1"/>
  <c r="AI33" i="197" s="1"/>
  <c r="AI111" i="197" s="1"/>
  <c r="AI273" i="196"/>
  <c r="AI250" i="196"/>
  <c r="AI268" i="196"/>
  <c r="AI269" i="196"/>
  <c r="AM404" i="196"/>
  <c r="AM413" i="196" s="1"/>
  <c r="AM33" i="197" s="1"/>
  <c r="AM111" i="197" s="1"/>
  <c r="AM122" i="197" s="1"/>
  <c r="AM151" i="197" s="1"/>
  <c r="AM56" i="198" s="1"/>
  <c r="AM96" i="198" s="1"/>
  <c r="AM267" i="196"/>
  <c r="AM249" i="196"/>
  <c r="AM269" i="196"/>
  <c r="AM250" i="196"/>
  <c r="AM403" i="196"/>
  <c r="AM412" i="196" s="1"/>
  <c r="AM32" i="197" s="1"/>
  <c r="AM110" i="197" s="1"/>
  <c r="AM121" i="197" s="1"/>
  <c r="AM150" i="197" s="1"/>
  <c r="AM55" i="198" s="1"/>
  <c r="AM95" i="198" s="1"/>
  <c r="AM274" i="196"/>
  <c r="AM272" i="196"/>
  <c r="AM405" i="196"/>
  <c r="AM414" i="196" s="1"/>
  <c r="AM34" i="197" s="1"/>
  <c r="AM112" i="197" s="1"/>
  <c r="AM123" i="197" s="1"/>
  <c r="AM152" i="197" s="1"/>
  <c r="AM57" i="198" s="1"/>
  <c r="AM97" i="198" s="1"/>
  <c r="AM273" i="196"/>
  <c r="AM251" i="196"/>
  <c r="AM268" i="196"/>
  <c r="S251" i="196"/>
  <c r="S250" i="196"/>
  <c r="S274" i="196"/>
  <c r="S272" i="196"/>
  <c r="S249" i="196"/>
  <c r="S273" i="196"/>
  <c r="S403" i="196"/>
  <c r="S412" i="196" s="1"/>
  <c r="S32" i="197" s="1"/>
  <c r="S110" i="197" s="1"/>
  <c r="S267" i="196"/>
  <c r="S405" i="196"/>
  <c r="S414" i="196" s="1"/>
  <c r="S34" i="197" s="1"/>
  <c r="S112" i="197" s="1"/>
  <c r="S404" i="196"/>
  <c r="S413" i="196" s="1"/>
  <c r="S33" i="197" s="1"/>
  <c r="S111" i="197" s="1"/>
  <c r="S268" i="196"/>
  <c r="S269" i="196"/>
  <c r="O251" i="196"/>
  <c r="O250" i="196"/>
  <c r="O249" i="196"/>
  <c r="O272" i="196"/>
  <c r="O277" i="196" s="1"/>
  <c r="O282" i="196" s="1"/>
  <c r="O404" i="196"/>
  <c r="O413" i="196" s="1"/>
  <c r="O33" i="197" s="1"/>
  <c r="O111" i="197" s="1"/>
  <c r="O267" i="196"/>
  <c r="O403" i="196"/>
  <c r="O412" i="196" s="1"/>
  <c r="O32" i="197" s="1"/>
  <c r="O110" i="197" s="1"/>
  <c r="O268" i="196"/>
  <c r="O405" i="196"/>
  <c r="O414" i="196" s="1"/>
  <c r="O34" i="197" s="1"/>
  <c r="O112" i="197" s="1"/>
  <c r="O269" i="196"/>
  <c r="O274" i="196"/>
  <c r="O279" i="196" s="1"/>
  <c r="O284" i="196" s="1"/>
  <c r="O362" i="196" s="1"/>
  <c r="O364" i="196" s="1"/>
  <c r="O366" i="196" s="1"/>
  <c r="O368" i="196" s="1"/>
  <c r="O393" i="196" s="1"/>
  <c r="O273" i="196"/>
  <c r="O278" i="196" s="1"/>
  <c r="O283" i="196" s="1"/>
  <c r="AH268" i="196"/>
  <c r="AH269" i="196"/>
  <c r="AH272" i="196"/>
  <c r="AH249" i="196"/>
  <c r="AH251" i="196"/>
  <c r="AH404" i="196"/>
  <c r="AH413" i="196" s="1"/>
  <c r="AH33" i="197" s="1"/>
  <c r="AH111" i="197" s="1"/>
  <c r="AH405" i="196"/>
  <c r="AH414" i="196" s="1"/>
  <c r="AH34" i="197" s="1"/>
  <c r="AH112" i="197" s="1"/>
  <c r="AH250" i="196"/>
  <c r="AH403" i="196"/>
  <c r="AH412" i="196" s="1"/>
  <c r="AH32" i="197" s="1"/>
  <c r="AH110" i="197" s="1"/>
  <c r="AH267" i="196"/>
  <c r="AH273" i="196"/>
  <c r="AH274" i="196"/>
  <c r="J267" i="196"/>
  <c r="J272" i="196"/>
  <c r="J277" i="196" s="1"/>
  <c r="J282" i="196" s="1"/>
  <c r="J405" i="196"/>
  <c r="J414" i="196" s="1"/>
  <c r="J34" i="197" s="1"/>
  <c r="J112" i="197" s="1"/>
  <c r="J251" i="196"/>
  <c r="J268" i="196"/>
  <c r="J403" i="196"/>
  <c r="J412" i="196" s="1"/>
  <c r="J32" i="197" s="1"/>
  <c r="J274" i="196"/>
  <c r="J279" i="196" s="1"/>
  <c r="J284" i="196" s="1"/>
  <c r="J362" i="196" s="1"/>
  <c r="J364" i="196" s="1"/>
  <c r="J366" i="196" s="1"/>
  <c r="J368" i="196" s="1"/>
  <c r="J393" i="196" s="1"/>
  <c r="J273" i="196"/>
  <c r="J278" i="196" s="1"/>
  <c r="J283" i="196" s="1"/>
  <c r="J404" i="196"/>
  <c r="J413" i="196" s="1"/>
  <c r="J33" i="197" s="1"/>
  <c r="J111" i="197" s="1"/>
  <c r="J269" i="196"/>
  <c r="J250" i="196"/>
  <c r="J249" i="196"/>
  <c r="N249" i="196"/>
  <c r="N272" i="196"/>
  <c r="N277" i="196" s="1"/>
  <c r="N282" i="196" s="1"/>
  <c r="N267" i="196"/>
  <c r="N273" i="196"/>
  <c r="N278" i="196" s="1"/>
  <c r="N283" i="196" s="1"/>
  <c r="N269" i="196"/>
  <c r="N403" i="196"/>
  <c r="N412" i="196" s="1"/>
  <c r="N32" i="197" s="1"/>
  <c r="N110" i="197" s="1"/>
  <c r="N250" i="196"/>
  <c r="N405" i="196"/>
  <c r="N414" i="196" s="1"/>
  <c r="N34" i="197" s="1"/>
  <c r="N112" i="197" s="1"/>
  <c r="N268" i="196"/>
  <c r="N274" i="196"/>
  <c r="N279" i="196" s="1"/>
  <c r="N284" i="196" s="1"/>
  <c r="N362" i="196" s="1"/>
  <c r="N364" i="196" s="1"/>
  <c r="N366" i="196" s="1"/>
  <c r="N368" i="196" s="1"/>
  <c r="N393" i="196" s="1"/>
  <c r="N404" i="196"/>
  <c r="N413" i="196" s="1"/>
  <c r="N33" i="197" s="1"/>
  <c r="N111" i="197" s="1"/>
  <c r="N251" i="196"/>
  <c r="H98" i="198"/>
  <c r="AA249" i="196"/>
  <c r="AA269" i="196"/>
  <c r="AA272" i="196"/>
  <c r="AA405" i="196"/>
  <c r="AA414" i="196" s="1"/>
  <c r="AA34" i="197" s="1"/>
  <c r="AA112" i="197" s="1"/>
  <c r="AA403" i="196"/>
  <c r="AA412" i="196" s="1"/>
  <c r="AA32" i="197" s="1"/>
  <c r="AA110" i="197" s="1"/>
  <c r="AA250" i="196"/>
  <c r="AA267" i="196"/>
  <c r="AA273" i="196"/>
  <c r="AA274" i="196"/>
  <c r="AA251" i="196"/>
  <c r="AA268" i="196"/>
  <c r="AA404" i="196"/>
  <c r="AA413" i="196" s="1"/>
  <c r="AA33" i="197" s="1"/>
  <c r="AA111" i="197" s="1"/>
  <c r="U403" i="196"/>
  <c r="U412" i="196" s="1"/>
  <c r="U32" i="197" s="1"/>
  <c r="U110" i="197" s="1"/>
  <c r="U251" i="196"/>
  <c r="U274" i="196"/>
  <c r="U404" i="196"/>
  <c r="U413" i="196" s="1"/>
  <c r="U33" i="197" s="1"/>
  <c r="U111" i="197" s="1"/>
  <c r="U269" i="196"/>
  <c r="U250" i="196"/>
  <c r="U249" i="196"/>
  <c r="U268" i="196"/>
  <c r="U405" i="196"/>
  <c r="U414" i="196" s="1"/>
  <c r="U34" i="197" s="1"/>
  <c r="U112" i="197" s="1"/>
  <c r="U267" i="196"/>
  <c r="U273" i="196"/>
  <c r="U272" i="196"/>
  <c r="Z269" i="196"/>
  <c r="Z251" i="196"/>
  <c r="Z250" i="196"/>
  <c r="Z272" i="196"/>
  <c r="Z277" i="196" s="1"/>
  <c r="Z282" i="196" s="1"/>
  <c r="Z249" i="196"/>
  <c r="Z267" i="196"/>
  <c r="Z274" i="196"/>
  <c r="Z279" i="196" s="1"/>
  <c r="Z284" i="196" s="1"/>
  <c r="Z362" i="196" s="1"/>
  <c r="Z273" i="196"/>
  <c r="Z268" i="196"/>
  <c r="Z405" i="196"/>
  <c r="Z414" i="196" s="1"/>
  <c r="Z34" i="197" s="1"/>
  <c r="Z112" i="197" s="1"/>
  <c r="Z403" i="196"/>
  <c r="Z412" i="196" s="1"/>
  <c r="Z32" i="197" s="1"/>
  <c r="Z110" i="197" s="1"/>
  <c r="Z404" i="196"/>
  <c r="Z413" i="196" s="1"/>
  <c r="Z33" i="197" s="1"/>
  <c r="Z111" i="197" s="1"/>
  <c r="AG403" i="196"/>
  <c r="AG412" i="196" s="1"/>
  <c r="AG32" i="197" s="1"/>
  <c r="AG110" i="197" s="1"/>
  <c r="AG249" i="196"/>
  <c r="AG272" i="196"/>
  <c r="AG277" i="196" s="1"/>
  <c r="AG282" i="196" s="1"/>
  <c r="AG274" i="196"/>
  <c r="AG279" i="196" s="1"/>
  <c r="AG284" i="196" s="1"/>
  <c r="AG362" i="196" s="1"/>
  <c r="AG364" i="196" s="1"/>
  <c r="AG366" i="196" s="1"/>
  <c r="AG368" i="196" s="1"/>
  <c r="AG393" i="196" s="1"/>
  <c r="AG273" i="196"/>
  <c r="AG278" i="196" s="1"/>
  <c r="AG283" i="196" s="1"/>
  <c r="AG268" i="196"/>
  <c r="AG251" i="196"/>
  <c r="AG267" i="196"/>
  <c r="AG250" i="196"/>
  <c r="AG404" i="196"/>
  <c r="AG413" i="196" s="1"/>
  <c r="AG33" i="197" s="1"/>
  <c r="AG111" i="197" s="1"/>
  <c r="AG269" i="196"/>
  <c r="AG405" i="196"/>
  <c r="AG414" i="196" s="1"/>
  <c r="AG34" i="197" s="1"/>
  <c r="AG112" i="197" s="1"/>
  <c r="AO273" i="196"/>
  <c r="AO405" i="196"/>
  <c r="AO414" i="196" s="1"/>
  <c r="AO34" i="197" s="1"/>
  <c r="AO112" i="197" s="1"/>
  <c r="AO123" i="197" s="1"/>
  <c r="AO152" i="197" s="1"/>
  <c r="AO57" i="198" s="1"/>
  <c r="AO97" i="198" s="1"/>
  <c r="AO250" i="196"/>
  <c r="AO249" i="196"/>
  <c r="AO404" i="196"/>
  <c r="AO413" i="196" s="1"/>
  <c r="AO33" i="197" s="1"/>
  <c r="AO111" i="197" s="1"/>
  <c r="AO122" i="197" s="1"/>
  <c r="AO151" i="197" s="1"/>
  <c r="AO56" i="198" s="1"/>
  <c r="AO96" i="198" s="1"/>
  <c r="AO268" i="196"/>
  <c r="AO267" i="196"/>
  <c r="AO251" i="196"/>
  <c r="AO274" i="196"/>
  <c r="AO403" i="196"/>
  <c r="AO412" i="196" s="1"/>
  <c r="AO32" i="197" s="1"/>
  <c r="AO110" i="197" s="1"/>
  <c r="AO121" i="197" s="1"/>
  <c r="AO150" i="197" s="1"/>
  <c r="AO55" i="198" s="1"/>
  <c r="AO95" i="198" s="1"/>
  <c r="AO272" i="196"/>
  <c r="AO269" i="196"/>
  <c r="P273" i="196"/>
  <c r="P278" i="196" s="1"/>
  <c r="P283" i="196" s="1"/>
  <c r="P269" i="196"/>
  <c r="P251" i="196"/>
  <c r="P404" i="196"/>
  <c r="P413" i="196" s="1"/>
  <c r="P33" i="197" s="1"/>
  <c r="P111" i="197" s="1"/>
  <c r="P274" i="196"/>
  <c r="P279" i="196" s="1"/>
  <c r="P284" i="196" s="1"/>
  <c r="P362" i="196" s="1"/>
  <c r="P364" i="196" s="1"/>
  <c r="P366" i="196" s="1"/>
  <c r="P368" i="196" s="1"/>
  <c r="P393" i="196" s="1"/>
  <c r="P268" i="196"/>
  <c r="P405" i="196"/>
  <c r="P414" i="196" s="1"/>
  <c r="P34" i="197" s="1"/>
  <c r="P112" i="197" s="1"/>
  <c r="P250" i="196"/>
  <c r="P272" i="196"/>
  <c r="P277" i="196" s="1"/>
  <c r="P282" i="196" s="1"/>
  <c r="P298" i="196" s="1"/>
  <c r="P249" i="196"/>
  <c r="P267" i="196"/>
  <c r="P403" i="196"/>
  <c r="P412" i="196" s="1"/>
  <c r="P32" i="197" s="1"/>
  <c r="P110" i="197" s="1"/>
  <c r="V267" i="196"/>
  <c r="V251" i="196"/>
  <c r="V269" i="196"/>
  <c r="V268" i="196"/>
  <c r="V403" i="196"/>
  <c r="V412" i="196" s="1"/>
  <c r="V32" i="197" s="1"/>
  <c r="V110" i="197" s="1"/>
  <c r="V404" i="196"/>
  <c r="V413" i="196" s="1"/>
  <c r="V33" i="197" s="1"/>
  <c r="V111" i="197" s="1"/>
  <c r="V273" i="196"/>
  <c r="V272" i="196"/>
  <c r="V250" i="196"/>
  <c r="V274" i="196"/>
  <c r="V249" i="196"/>
  <c r="V405" i="196"/>
  <c r="V414" i="196" s="1"/>
  <c r="V34" i="197" s="1"/>
  <c r="V112" i="197" s="1"/>
  <c r="M403" i="196"/>
  <c r="M412" i="196" s="1"/>
  <c r="M32" i="197" s="1"/>
  <c r="M110" i="197" s="1"/>
  <c r="M249" i="196"/>
  <c r="M269" i="196"/>
  <c r="M268" i="196"/>
  <c r="M267" i="196"/>
  <c r="M273" i="196"/>
  <c r="M278" i="196" s="1"/>
  <c r="M283" i="196" s="1"/>
  <c r="M272" i="196"/>
  <c r="M277" i="196" s="1"/>
  <c r="M282" i="196" s="1"/>
  <c r="M405" i="196"/>
  <c r="M414" i="196" s="1"/>
  <c r="M34" i="197" s="1"/>
  <c r="M112" i="197" s="1"/>
  <c r="M404" i="196"/>
  <c r="M413" i="196" s="1"/>
  <c r="M33" i="197" s="1"/>
  <c r="M111" i="197" s="1"/>
  <c r="M251" i="196"/>
  <c r="M250" i="196"/>
  <c r="M274" i="196"/>
  <c r="M279" i="196" s="1"/>
  <c r="M284" i="196" s="1"/>
  <c r="M362" i="196" s="1"/>
  <c r="M364" i="196" s="1"/>
  <c r="M366" i="196" s="1"/>
  <c r="M368" i="196" s="1"/>
  <c r="M393" i="196" s="1"/>
  <c r="R268" i="196"/>
  <c r="R273" i="196"/>
  <c r="R274" i="196"/>
  <c r="R404" i="196"/>
  <c r="R413" i="196" s="1"/>
  <c r="R33" i="197" s="1"/>
  <c r="R111" i="197" s="1"/>
  <c r="R405" i="196"/>
  <c r="R414" i="196" s="1"/>
  <c r="R34" i="197" s="1"/>
  <c r="R112" i="197" s="1"/>
  <c r="R249" i="196"/>
  <c r="R272" i="196"/>
  <c r="R250" i="196"/>
  <c r="R269" i="196"/>
  <c r="R403" i="196"/>
  <c r="R412" i="196" s="1"/>
  <c r="R32" i="197" s="1"/>
  <c r="R110" i="197" s="1"/>
  <c r="R267" i="196"/>
  <c r="R251" i="196"/>
  <c r="L251" i="196"/>
  <c r="L274" i="196"/>
  <c r="L404" i="196"/>
  <c r="L413" i="196" s="1"/>
  <c r="L33" i="197" s="1"/>
  <c r="L111" i="197" s="1"/>
  <c r="L273" i="196"/>
  <c r="L250" i="196"/>
  <c r="L405" i="196"/>
  <c r="L414" i="196" s="1"/>
  <c r="L34" i="197" s="1"/>
  <c r="L112" i="197" s="1"/>
  <c r="L403" i="196"/>
  <c r="L412" i="196" s="1"/>
  <c r="L32" i="197" s="1"/>
  <c r="L110" i="197" s="1"/>
  <c r="L268" i="196"/>
  <c r="L269" i="196"/>
  <c r="L267" i="196"/>
  <c r="L249" i="196"/>
  <c r="L272" i="196"/>
  <c r="Y250" i="196"/>
  <c r="Y268" i="196"/>
  <c r="Y403" i="196"/>
  <c r="Y412" i="196" s="1"/>
  <c r="Y32" i="197" s="1"/>
  <c r="Y110" i="197" s="1"/>
  <c r="Y267" i="196"/>
  <c r="Y249" i="196"/>
  <c r="Y269" i="196"/>
  <c r="Y405" i="196"/>
  <c r="Y414" i="196" s="1"/>
  <c r="Y34" i="197" s="1"/>
  <c r="Y112" i="197" s="1"/>
  <c r="Y251" i="196"/>
  <c r="Y272" i="196"/>
  <c r="Y273" i="196"/>
  <c r="Y404" i="196"/>
  <c r="Y413" i="196" s="1"/>
  <c r="Y33" i="197" s="1"/>
  <c r="Y111" i="197" s="1"/>
  <c r="Y274" i="196"/>
  <c r="H118" i="198"/>
  <c r="AJ274" i="196"/>
  <c r="AJ250" i="196"/>
  <c r="AJ273" i="196"/>
  <c r="AJ405" i="196"/>
  <c r="AJ414" i="196" s="1"/>
  <c r="AJ34" i="197" s="1"/>
  <c r="AJ112" i="197" s="1"/>
  <c r="AJ249" i="196"/>
  <c r="AJ404" i="196"/>
  <c r="AJ413" i="196" s="1"/>
  <c r="AJ33" i="197" s="1"/>
  <c r="AJ111" i="197" s="1"/>
  <c r="AJ268" i="196"/>
  <c r="AJ272" i="196"/>
  <c r="AJ251" i="196"/>
  <c r="AJ267" i="196"/>
  <c r="AJ403" i="196"/>
  <c r="AJ412" i="196" s="1"/>
  <c r="AJ32" i="197" s="1"/>
  <c r="AJ110" i="197" s="1"/>
  <c r="AJ269" i="196"/>
  <c r="W405" i="196"/>
  <c r="W414" i="196" s="1"/>
  <c r="W34" i="197" s="1"/>
  <c r="W112" i="197" s="1"/>
  <c r="W272" i="196"/>
  <c r="W269" i="196"/>
  <c r="W268" i="196"/>
  <c r="W403" i="196"/>
  <c r="W412" i="196" s="1"/>
  <c r="W32" i="197" s="1"/>
  <c r="W110" i="197" s="1"/>
  <c r="W273" i="196"/>
  <c r="W250" i="196"/>
  <c r="W404" i="196"/>
  <c r="W413" i="196" s="1"/>
  <c r="W33" i="197" s="1"/>
  <c r="W111" i="197" s="1"/>
  <c r="W274" i="196"/>
  <c r="W267" i="196"/>
  <c r="W251" i="196"/>
  <c r="W249" i="196"/>
  <c r="AC404" i="196"/>
  <c r="AC413" i="196" s="1"/>
  <c r="AC33" i="197" s="1"/>
  <c r="AC111" i="197" s="1"/>
  <c r="AC273" i="196"/>
  <c r="AC278" i="196" s="1"/>
  <c r="AC283" i="196" s="1"/>
  <c r="AC268" i="196"/>
  <c r="AC405" i="196"/>
  <c r="AC414" i="196" s="1"/>
  <c r="AC34" i="197" s="1"/>
  <c r="AC112" i="197" s="1"/>
  <c r="AC251" i="196"/>
  <c r="AC269" i="196"/>
  <c r="AC250" i="196"/>
  <c r="AC274" i="196"/>
  <c r="AC279" i="196" s="1"/>
  <c r="AC284" i="196" s="1"/>
  <c r="AC362" i="196" s="1"/>
  <c r="AC364" i="196" s="1"/>
  <c r="AC366" i="196" s="1"/>
  <c r="AC368" i="196" s="1"/>
  <c r="AC393" i="196" s="1"/>
  <c r="AC267" i="196"/>
  <c r="AC272" i="196"/>
  <c r="AC277" i="196" s="1"/>
  <c r="AC282" i="196" s="1"/>
  <c r="AC403" i="196"/>
  <c r="AC412" i="196" s="1"/>
  <c r="AC32" i="197" s="1"/>
  <c r="AC110" i="197" s="1"/>
  <c r="AC249" i="196"/>
  <c r="AE269" i="196"/>
  <c r="AE267" i="196"/>
  <c r="AE405" i="196"/>
  <c r="AE414" i="196" s="1"/>
  <c r="AE34" i="197" s="1"/>
  <c r="AE112" i="197" s="1"/>
  <c r="AE273" i="196"/>
  <c r="AE278" i="196" s="1"/>
  <c r="AE283" i="196" s="1"/>
  <c r="AE249" i="196"/>
  <c r="AE272" i="196"/>
  <c r="AE277" i="196" s="1"/>
  <c r="AE282" i="196" s="1"/>
  <c r="AE268" i="196"/>
  <c r="AE404" i="196"/>
  <c r="AE413" i="196" s="1"/>
  <c r="AE33" i="197" s="1"/>
  <c r="AE111" i="197" s="1"/>
  <c r="AE250" i="196"/>
  <c r="AE403" i="196"/>
  <c r="AE412" i="196" s="1"/>
  <c r="AE32" i="197" s="1"/>
  <c r="AE110" i="197" s="1"/>
  <c r="AE274" i="196"/>
  <c r="AE279" i="196" s="1"/>
  <c r="AE284" i="196" s="1"/>
  <c r="AE362" i="196" s="1"/>
  <c r="AE364" i="196" s="1"/>
  <c r="AE366" i="196" s="1"/>
  <c r="AE368" i="196" s="1"/>
  <c r="AE393" i="196" s="1"/>
  <c r="AE251" i="196"/>
  <c r="T268" i="196"/>
  <c r="T272" i="196"/>
  <c r="T251" i="196"/>
  <c r="T405" i="196"/>
  <c r="T414" i="196" s="1"/>
  <c r="T34" i="197" s="1"/>
  <c r="T112" i="197" s="1"/>
  <c r="T267" i="196"/>
  <c r="T403" i="196"/>
  <c r="T412" i="196" s="1"/>
  <c r="T32" i="197" s="1"/>
  <c r="T110" i="197" s="1"/>
  <c r="T274" i="196"/>
  <c r="T269" i="196"/>
  <c r="T273" i="196"/>
  <c r="T250" i="196"/>
  <c r="T249" i="196"/>
  <c r="T404" i="196"/>
  <c r="T413" i="196" s="1"/>
  <c r="T33" i="197" s="1"/>
  <c r="T111" i="197" s="1"/>
  <c r="AB250" i="196"/>
  <c r="AB272" i="196"/>
  <c r="AB268" i="196"/>
  <c r="AB267" i="196"/>
  <c r="AB273" i="196"/>
  <c r="AB251" i="196"/>
  <c r="AB249" i="196"/>
  <c r="AB404" i="196"/>
  <c r="AB413" i="196" s="1"/>
  <c r="AB33" i="197" s="1"/>
  <c r="AB111" i="197" s="1"/>
  <c r="AB274" i="196"/>
  <c r="AB269" i="196"/>
  <c r="AB403" i="196"/>
  <c r="AB412" i="196" s="1"/>
  <c r="AB32" i="197" s="1"/>
  <c r="AB110" i="197" s="1"/>
  <c r="AB405" i="196"/>
  <c r="AB414" i="196" s="1"/>
  <c r="AB34" i="197" s="1"/>
  <c r="AB112" i="197" s="1"/>
  <c r="H424" i="196"/>
  <c r="Q405" i="196"/>
  <c r="Q414" i="196" s="1"/>
  <c r="Q34" i="197" s="1"/>
  <c r="Q112" i="197" s="1"/>
  <c r="Q269" i="196"/>
  <c r="Q267" i="196"/>
  <c r="Q403" i="196"/>
  <c r="Q412" i="196" s="1"/>
  <c r="Q32" i="197" s="1"/>
  <c r="Q110" i="197" s="1"/>
  <c r="Q274" i="196"/>
  <c r="Q250" i="196"/>
  <c r="Q404" i="196"/>
  <c r="Q413" i="196" s="1"/>
  <c r="Q33" i="197" s="1"/>
  <c r="Q111" i="197" s="1"/>
  <c r="Q251" i="196"/>
  <c r="Q268" i="196"/>
  <c r="Q272" i="196"/>
  <c r="Q273" i="196"/>
  <c r="Q249" i="196"/>
  <c r="AD403" i="196"/>
  <c r="AD412" i="196" s="1"/>
  <c r="AD32" i="197" s="1"/>
  <c r="AD110" i="197" s="1"/>
  <c r="AD267" i="196"/>
  <c r="AD249" i="196"/>
  <c r="AD405" i="196"/>
  <c r="AD414" i="196" s="1"/>
  <c r="AD34" i="197" s="1"/>
  <c r="AD112" i="197" s="1"/>
  <c r="AD272" i="196"/>
  <c r="AD277" i="196" s="1"/>
  <c r="AD282" i="196" s="1"/>
  <c r="AD250" i="196"/>
  <c r="AD269" i="196"/>
  <c r="AD404" i="196"/>
  <c r="AD413" i="196" s="1"/>
  <c r="AD33" i="197" s="1"/>
  <c r="AD111" i="197" s="1"/>
  <c r="AD273" i="196"/>
  <c r="AD278" i="196" s="1"/>
  <c r="AD283" i="196" s="1"/>
  <c r="AD251" i="196"/>
  <c r="AD274" i="196"/>
  <c r="AD279" i="196" s="1"/>
  <c r="AD284" i="196" s="1"/>
  <c r="AD362" i="196" s="1"/>
  <c r="AD364" i="196" s="1"/>
  <c r="AD366" i="196" s="1"/>
  <c r="AD368" i="196" s="1"/>
  <c r="AD393" i="196" s="1"/>
  <c r="AD268" i="196"/>
  <c r="K251" i="196"/>
  <c r="K272" i="196"/>
  <c r="K268" i="196"/>
  <c r="K274" i="196"/>
  <c r="K405" i="196"/>
  <c r="K414" i="196" s="1"/>
  <c r="K34" i="197" s="1"/>
  <c r="K112" i="197" s="1"/>
  <c r="K267" i="196"/>
  <c r="K403" i="196"/>
  <c r="K412" i="196" s="1"/>
  <c r="K32" i="197" s="1"/>
  <c r="K110" i="197" s="1"/>
  <c r="K269" i="196"/>
  <c r="K273" i="196"/>
  <c r="K250" i="196"/>
  <c r="K249" i="196"/>
  <c r="K404" i="196"/>
  <c r="K413" i="196" s="1"/>
  <c r="K33" i="197" s="1"/>
  <c r="K111" i="197" s="1"/>
  <c r="O330" i="196" l="1"/>
  <c r="O332" i="196" s="1"/>
  <c r="O334" i="196" s="1"/>
  <c r="O336" i="196" s="1"/>
  <c r="O392" i="196" s="1"/>
  <c r="J330" i="196"/>
  <c r="J332" i="196" s="1"/>
  <c r="J334" i="196" s="1"/>
  <c r="J336" i="196" s="1"/>
  <c r="J392" i="196" s="1"/>
  <c r="J298" i="196"/>
  <c r="U277" i="196"/>
  <c r="U282" i="196" s="1"/>
  <c r="AN277" i="196"/>
  <c r="AN282" i="196" s="1"/>
  <c r="AI277" i="196"/>
  <c r="AI282" i="196" s="1"/>
  <c r="Q277" i="196"/>
  <c r="Q282" i="196" s="1"/>
  <c r="AB277" i="196"/>
  <c r="AB282" i="196" s="1"/>
  <c r="AL277" i="196"/>
  <c r="AL282" i="196" s="1"/>
  <c r="AK277" i="196"/>
  <c r="AK282" i="196" s="1"/>
  <c r="AM277" i="196"/>
  <c r="AM282" i="196" s="1"/>
  <c r="AO277" i="196"/>
  <c r="AO282" i="196" s="1"/>
  <c r="W277" i="196"/>
  <c r="W282" i="196" s="1"/>
  <c r="R277" i="196"/>
  <c r="R282" i="196" s="1"/>
  <c r="K277" i="196"/>
  <c r="K282" i="196" s="1"/>
  <c r="AH277" i="196"/>
  <c r="AH282" i="196" s="1"/>
  <c r="L277" i="196"/>
  <c r="L282" i="196" s="1"/>
  <c r="AJ277" i="196"/>
  <c r="AJ282" i="196" s="1"/>
  <c r="AB139" i="197"/>
  <c r="AB168" i="197" s="1"/>
  <c r="AB73" i="198" s="1"/>
  <c r="AB115" i="198" s="1"/>
  <c r="AB121" i="197"/>
  <c r="AB150" i="197" s="1"/>
  <c r="AB55" i="198" s="1"/>
  <c r="AB95" i="198" s="1"/>
  <c r="Y279" i="196"/>
  <c r="Y284" i="196" s="1"/>
  <c r="Y362" i="196" s="1"/>
  <c r="T279" i="196"/>
  <c r="T284" i="196" s="1"/>
  <c r="T362" i="196" s="1"/>
  <c r="AA122" i="197"/>
  <c r="AA151" i="197" s="1"/>
  <c r="AA56" i="198" s="1"/>
  <c r="AA96" i="198" s="1"/>
  <c r="AA140" i="197"/>
  <c r="AA169" i="197" s="1"/>
  <c r="AA74" i="198" s="1"/>
  <c r="AA116" i="198" s="1"/>
  <c r="AH139" i="197"/>
  <c r="AH168" i="197" s="1"/>
  <c r="AH73" i="198" s="1"/>
  <c r="AH115" i="198" s="1"/>
  <c r="AH130" i="197"/>
  <c r="AH159" i="197" s="1"/>
  <c r="AH64" i="198" s="1"/>
  <c r="AH105" i="198" s="1"/>
  <c r="AH121" i="197"/>
  <c r="AH150" i="197" s="1"/>
  <c r="AH55" i="198" s="1"/>
  <c r="AH95" i="198" s="1"/>
  <c r="O131" i="197"/>
  <c r="O160" i="197" s="1"/>
  <c r="O65" i="198" s="1"/>
  <c r="O106" i="198" s="1"/>
  <c r="O122" i="197"/>
  <c r="O151" i="197" s="1"/>
  <c r="O56" i="198" s="1"/>
  <c r="O96" i="198" s="1"/>
  <c r="O140" i="197"/>
  <c r="O169" i="197" s="1"/>
  <c r="O74" i="198" s="1"/>
  <c r="O116" i="198" s="1"/>
  <c r="X139" i="197"/>
  <c r="X168" i="197" s="1"/>
  <c r="X73" i="198" s="1"/>
  <c r="X115" i="198" s="1"/>
  <c r="X121" i="197"/>
  <c r="X150" i="197" s="1"/>
  <c r="X55" i="198" s="1"/>
  <c r="X95" i="198" s="1"/>
  <c r="X140" i="197"/>
  <c r="X169" i="197" s="1"/>
  <c r="X74" i="198" s="1"/>
  <c r="X116" i="198" s="1"/>
  <c r="X122" i="197"/>
  <c r="X151" i="197" s="1"/>
  <c r="X56" i="198" s="1"/>
  <c r="X96" i="198" s="1"/>
  <c r="AL121" i="197"/>
  <c r="AL150" i="197" s="1"/>
  <c r="AL55" i="198" s="1"/>
  <c r="AL95" i="198" s="1"/>
  <c r="AL139" i="197"/>
  <c r="AL168" i="197" s="1"/>
  <c r="AL73" i="198" s="1"/>
  <c r="AL115" i="198" s="1"/>
  <c r="AK278" i="196"/>
  <c r="AK283" i="196" s="1"/>
  <c r="AL278" i="196"/>
  <c r="AL283" i="196" s="1"/>
  <c r="Q278" i="196"/>
  <c r="Q283" i="196" s="1"/>
  <c r="AH278" i="196"/>
  <c r="AH283" i="196" s="1"/>
  <c r="AN278" i="196"/>
  <c r="AN283" i="196" s="1"/>
  <c r="K278" i="196"/>
  <c r="K283" i="196" s="1"/>
  <c r="AJ278" i="196"/>
  <c r="AJ283" i="196" s="1"/>
  <c r="L278" i="196"/>
  <c r="L283" i="196" s="1"/>
  <c r="R278" i="196"/>
  <c r="R283" i="196" s="1"/>
  <c r="W278" i="196"/>
  <c r="W283" i="196" s="1"/>
  <c r="AI278" i="196"/>
  <c r="AI283" i="196" s="1"/>
  <c r="AO278" i="196"/>
  <c r="AO283" i="196" s="1"/>
  <c r="AM278" i="196"/>
  <c r="AM283" i="196" s="1"/>
  <c r="AB278" i="196"/>
  <c r="AB283" i="196" s="1"/>
  <c r="K123" i="197"/>
  <c r="K152" i="197" s="1"/>
  <c r="K57" i="198" s="1"/>
  <c r="K97" i="198" s="1"/>
  <c r="K132" i="197"/>
  <c r="K161" i="197" s="1"/>
  <c r="K66" i="198" s="1"/>
  <c r="K107" i="198" s="1"/>
  <c r="K141" i="197"/>
  <c r="K170" i="197" s="1"/>
  <c r="K75" i="198" s="1"/>
  <c r="K117" i="198" s="1"/>
  <c r="AD330" i="196"/>
  <c r="AD332" i="196" s="1"/>
  <c r="AD334" i="196" s="1"/>
  <c r="AD336" i="196" s="1"/>
  <c r="AD392" i="196" s="1"/>
  <c r="AD298" i="196"/>
  <c r="AD121" i="197"/>
  <c r="AD150" i="197" s="1"/>
  <c r="AD55" i="198" s="1"/>
  <c r="AD95" i="198" s="1"/>
  <c r="AD139" i="197"/>
  <c r="AD168" i="197" s="1"/>
  <c r="AD73" i="198" s="1"/>
  <c r="AD115" i="198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T139" i="197"/>
  <c r="T168" i="197" s="1"/>
  <c r="T73" i="198" s="1"/>
  <c r="T115" i="198" s="1"/>
  <c r="T130" i="197"/>
  <c r="T159" i="197" s="1"/>
  <c r="T64" i="198" s="1"/>
  <c r="T105" i="198" s="1"/>
  <c r="T121" i="197"/>
  <c r="T150" i="197" s="1"/>
  <c r="T55" i="198" s="1"/>
  <c r="T95" i="198" s="1"/>
  <c r="Y277" i="196"/>
  <c r="Y282" i="196" s="1"/>
  <c r="T277" i="196"/>
  <c r="T282" i="196" s="1"/>
  <c r="AE121" i="197"/>
  <c r="AE150" i="197" s="1"/>
  <c r="AE55" i="198" s="1"/>
  <c r="AE95" i="198" s="1"/>
  <c r="AE139" i="197"/>
  <c r="AE168" i="197" s="1"/>
  <c r="AE73" i="198" s="1"/>
  <c r="AE115" i="198" s="1"/>
  <c r="AE298" i="196"/>
  <c r="AC298" i="196"/>
  <c r="AC330" i="196"/>
  <c r="AC332" i="196" s="1"/>
  <c r="AC334" i="196" s="1"/>
  <c r="AC336" i="196" s="1"/>
  <c r="AC392" i="196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Y122" i="197"/>
  <c r="Y151" i="197" s="1"/>
  <c r="Y56" i="198" s="1"/>
  <c r="Y96" i="198" s="1"/>
  <c r="Y140" i="197"/>
  <c r="Y169" i="197" s="1"/>
  <c r="Y74" i="198" s="1"/>
  <c r="Y116" i="198" s="1"/>
  <c r="Y123" i="197"/>
  <c r="Y152" i="197" s="1"/>
  <c r="Y57" i="198" s="1"/>
  <c r="Y97" i="198" s="1"/>
  <c r="Y141" i="197"/>
  <c r="Y170" i="197" s="1"/>
  <c r="Y75" i="198" s="1"/>
  <c r="Y117" i="198" s="1"/>
  <c r="Y121" i="197"/>
  <c r="Y150" i="197" s="1"/>
  <c r="Y55" i="198" s="1"/>
  <c r="Y95" i="198" s="1"/>
  <c r="Y139" i="197"/>
  <c r="Y168" i="197" s="1"/>
  <c r="Y73" i="198" s="1"/>
  <c r="Y115" i="198" s="1"/>
  <c r="L139" i="197"/>
  <c r="L168" i="197" s="1"/>
  <c r="L73" i="198" s="1"/>
  <c r="L115" i="198" s="1"/>
  <c r="L121" i="197"/>
  <c r="L150" i="197" s="1"/>
  <c r="L55" i="198" s="1"/>
  <c r="L95" i="198" s="1"/>
  <c r="L130" i="197"/>
  <c r="L159" i="197" s="1"/>
  <c r="L64" i="198" s="1"/>
  <c r="L105" i="198" s="1"/>
  <c r="L131" i="197"/>
  <c r="L160" i="197" s="1"/>
  <c r="L65" i="198" s="1"/>
  <c r="L106" i="198" s="1"/>
  <c r="L140" i="197"/>
  <c r="L169" i="197" s="1"/>
  <c r="L74" i="198" s="1"/>
  <c r="L116" i="198" s="1"/>
  <c r="L122" i="197"/>
  <c r="L151" i="197" s="1"/>
  <c r="L56" i="198" s="1"/>
  <c r="L96" i="198" s="1"/>
  <c r="M298" i="196"/>
  <c r="V278" i="196"/>
  <c r="V283" i="196" s="1"/>
  <c r="AA278" i="196"/>
  <c r="AA283" i="196" s="1"/>
  <c r="P123" i="197"/>
  <c r="P152" i="197" s="1"/>
  <c r="P57" i="198" s="1"/>
  <c r="P97" i="198" s="1"/>
  <c r="P132" i="197"/>
  <c r="P161" i="197" s="1"/>
  <c r="P66" i="198" s="1"/>
  <c r="P107" i="198" s="1"/>
  <c r="P141" i="197"/>
  <c r="P170" i="197" s="1"/>
  <c r="P75" i="198" s="1"/>
  <c r="P117" i="198" s="1"/>
  <c r="AG298" i="196"/>
  <c r="Z121" i="197"/>
  <c r="Z150" i="197" s="1"/>
  <c r="Z55" i="198" s="1"/>
  <c r="Z95" i="198" s="1"/>
  <c r="Z139" i="197"/>
  <c r="Z168" i="197" s="1"/>
  <c r="Z73" i="198" s="1"/>
  <c r="Z115" i="198" s="1"/>
  <c r="Z278" i="196"/>
  <c r="Z283" i="196" s="1"/>
  <c r="U278" i="196"/>
  <c r="U283" i="196" s="1"/>
  <c r="U279" i="196"/>
  <c r="U284" i="196" s="1"/>
  <c r="U362" i="196" s="1"/>
  <c r="N141" i="197"/>
  <c r="N170" i="197" s="1"/>
  <c r="N75" i="198" s="1"/>
  <c r="N117" i="198" s="1"/>
  <c r="N123" i="197"/>
  <c r="N152" i="197" s="1"/>
  <c r="N57" i="198" s="1"/>
  <c r="N97" i="198" s="1"/>
  <c r="N132" i="197"/>
  <c r="N161" i="197" s="1"/>
  <c r="N66" i="198" s="1"/>
  <c r="N107" i="198" s="1"/>
  <c r="N330" i="196"/>
  <c r="N332" i="196" s="1"/>
  <c r="N334" i="196" s="1"/>
  <c r="N336" i="196" s="1"/>
  <c r="N392" i="196" s="1"/>
  <c r="AO257" i="196" a="1"/>
  <c r="AO257" i="196" s="1"/>
  <c r="AO262" i="196" s="1"/>
  <c r="L257" i="196" a="1"/>
  <c r="L257" i="196" s="1"/>
  <c r="L262" i="196" s="1"/>
  <c r="AB257" i="196" a="1"/>
  <c r="AB257" i="196" s="1"/>
  <c r="AB262" i="196" s="1"/>
  <c r="R257" i="196" a="1"/>
  <c r="R257" i="196" s="1"/>
  <c r="R262" i="196" s="1"/>
  <c r="M257" i="196" a="1"/>
  <c r="M257" i="196" s="1"/>
  <c r="M262" i="196" s="1"/>
  <c r="Q257" i="196" a="1"/>
  <c r="Q257" i="196" s="1"/>
  <c r="Q262" i="196" s="1"/>
  <c r="Z257" i="196" a="1"/>
  <c r="Z257" i="196" s="1"/>
  <c r="Z262" i="196" s="1"/>
  <c r="AI257" i="196" a="1"/>
  <c r="AI257" i="196" s="1"/>
  <c r="AI262" i="196" s="1"/>
  <c r="W257" i="196" a="1"/>
  <c r="W257" i="196" s="1"/>
  <c r="W262" i="196" s="1"/>
  <c r="AG257" i="196" a="1"/>
  <c r="AG257" i="196" s="1"/>
  <c r="AG262" i="196" s="1"/>
  <c r="AK257" i="196" a="1"/>
  <c r="AK257" i="196" s="1"/>
  <c r="AK262" i="196" s="1"/>
  <c r="N257" i="196" a="1"/>
  <c r="N257" i="196" s="1"/>
  <c r="N262" i="196" s="1"/>
  <c r="X257" i="196" a="1"/>
  <c r="X257" i="196" s="1"/>
  <c r="X262" i="196" s="1"/>
  <c r="AH257" i="196" a="1"/>
  <c r="AH257" i="196" s="1"/>
  <c r="AH262" i="196" s="1"/>
  <c r="AA257" i="196" a="1"/>
  <c r="AA257" i="196" s="1"/>
  <c r="AA262" i="196" s="1"/>
  <c r="J257" i="196" a="1"/>
  <c r="J257" i="196" s="1"/>
  <c r="J262" i="196" s="1"/>
  <c r="AJ257" i="196" a="1"/>
  <c r="AJ257" i="196" s="1"/>
  <c r="AJ262" i="196" s="1"/>
  <c r="Y257" i="196" a="1"/>
  <c r="Y257" i="196" s="1"/>
  <c r="Y262" i="196" s="1"/>
  <c r="K257" i="196" a="1"/>
  <c r="K257" i="196" s="1"/>
  <c r="K262" i="196" s="1"/>
  <c r="AC257" i="196" a="1"/>
  <c r="AC257" i="196" s="1"/>
  <c r="AC262" i="196" s="1"/>
  <c r="AD257" i="196" a="1"/>
  <c r="AD257" i="196" s="1"/>
  <c r="AD262" i="196" s="1"/>
  <c r="P257" i="196" a="1"/>
  <c r="P257" i="196" s="1"/>
  <c r="P262" i="196" s="1"/>
  <c r="U257" i="196" a="1"/>
  <c r="U257" i="196" s="1"/>
  <c r="U262" i="196" s="1"/>
  <c r="S257" i="196" a="1"/>
  <c r="S257" i="196" s="1"/>
  <c r="S262" i="196" s="1"/>
  <c r="AN257" i="196" a="1"/>
  <c r="AN257" i="196" s="1"/>
  <c r="AN262" i="196" s="1"/>
  <c r="AM257" i="196" a="1"/>
  <c r="AM257" i="196" s="1"/>
  <c r="AM262" i="196" s="1"/>
  <c r="AF257" i="196" a="1"/>
  <c r="AF257" i="196" s="1"/>
  <c r="AF262" i="196" s="1"/>
  <c r="AE257" i="196" a="1"/>
  <c r="AE257" i="196" s="1"/>
  <c r="AE262" i="196" s="1"/>
  <c r="O257" i="196" a="1"/>
  <c r="O257" i="196" s="1"/>
  <c r="O262" i="196" s="1"/>
  <c r="AL257" i="196" a="1"/>
  <c r="AL257" i="196" s="1"/>
  <c r="AL262" i="196" s="1"/>
  <c r="T257" i="196" a="1"/>
  <c r="T257" i="196" s="1"/>
  <c r="T262" i="196" s="1"/>
  <c r="V257" i="196" a="1"/>
  <c r="V257" i="196" s="1"/>
  <c r="V262" i="196" s="1"/>
  <c r="AB259" i="196" a="1"/>
  <c r="AB259" i="196" s="1"/>
  <c r="AB264" i="196" s="1"/>
  <c r="AK259" i="196" a="1"/>
  <c r="AK259" i="196" s="1"/>
  <c r="AK264" i="196" s="1"/>
  <c r="AE259" i="196" a="1"/>
  <c r="AE259" i="196" s="1"/>
  <c r="AE264" i="196" s="1"/>
  <c r="J259" i="196" a="1"/>
  <c r="J259" i="196" s="1"/>
  <c r="J264" i="196" s="1"/>
  <c r="U259" i="196" a="1"/>
  <c r="U259" i="196" s="1"/>
  <c r="U264" i="196" s="1"/>
  <c r="Y259" i="196" a="1"/>
  <c r="Y259" i="196" s="1"/>
  <c r="Y264" i="196" s="1"/>
  <c r="N259" i="196" a="1"/>
  <c r="N259" i="196" s="1"/>
  <c r="N264" i="196" s="1"/>
  <c r="AN259" i="196" a="1"/>
  <c r="AN259" i="196" s="1"/>
  <c r="AN264" i="196" s="1"/>
  <c r="AO259" i="196" a="1"/>
  <c r="AO259" i="196" s="1"/>
  <c r="AO264" i="196" s="1"/>
  <c r="P259" i="196" a="1"/>
  <c r="P259" i="196" s="1"/>
  <c r="P264" i="196" s="1"/>
  <c r="Q259" i="196" a="1"/>
  <c r="Q259" i="196" s="1"/>
  <c r="Q264" i="196" s="1"/>
  <c r="AL259" i="196" a="1"/>
  <c r="AL259" i="196" s="1"/>
  <c r="AL264" i="196" s="1"/>
  <c r="K259" i="196" a="1"/>
  <c r="K259" i="196" s="1"/>
  <c r="K264" i="196" s="1"/>
  <c r="S259" i="196" a="1"/>
  <c r="S259" i="196" s="1"/>
  <c r="S264" i="196" s="1"/>
  <c r="AF259" i="196" a="1"/>
  <c r="AF259" i="196" s="1"/>
  <c r="AF264" i="196" s="1"/>
  <c r="AG259" i="196" a="1"/>
  <c r="AG259" i="196" s="1"/>
  <c r="AG264" i="196" s="1"/>
  <c r="AC259" i="196" a="1"/>
  <c r="AC259" i="196" s="1"/>
  <c r="AC264" i="196" s="1"/>
  <c r="L259" i="196" a="1"/>
  <c r="L259" i="196" s="1"/>
  <c r="L264" i="196" s="1"/>
  <c r="R259" i="196" a="1"/>
  <c r="R259" i="196" s="1"/>
  <c r="R264" i="196" s="1"/>
  <c r="AJ259" i="196" a="1"/>
  <c r="AJ259" i="196" s="1"/>
  <c r="AJ264" i="196" s="1"/>
  <c r="AI259" i="196" a="1"/>
  <c r="AI259" i="196" s="1"/>
  <c r="AI264" i="196" s="1"/>
  <c r="T259" i="196" a="1"/>
  <c r="T259" i="196" s="1"/>
  <c r="T264" i="196" s="1"/>
  <c r="X259" i="196" a="1"/>
  <c r="X259" i="196" s="1"/>
  <c r="X264" i="196" s="1"/>
  <c r="W259" i="196" a="1"/>
  <c r="W259" i="196" s="1"/>
  <c r="W264" i="196" s="1"/>
  <c r="AM259" i="196" a="1"/>
  <c r="AM259" i="196" s="1"/>
  <c r="AM264" i="196" s="1"/>
  <c r="M259" i="196" a="1"/>
  <c r="M259" i="196" s="1"/>
  <c r="M264" i="196" s="1"/>
  <c r="V259" i="196" a="1"/>
  <c r="V259" i="196" s="1"/>
  <c r="V264" i="196" s="1"/>
  <c r="AD259" i="196" a="1"/>
  <c r="AD259" i="196" s="1"/>
  <c r="AD264" i="196" s="1"/>
  <c r="Z259" i="196" a="1"/>
  <c r="Z259" i="196" s="1"/>
  <c r="Z264" i="196" s="1"/>
  <c r="O259" i="196" a="1"/>
  <c r="O259" i="196" s="1"/>
  <c r="O264" i="196" s="1"/>
  <c r="AA259" i="196" a="1"/>
  <c r="AA259" i="196" s="1"/>
  <c r="AA264" i="196" s="1"/>
  <c r="AH259" i="196" a="1"/>
  <c r="AH259" i="196" s="1"/>
  <c r="AH264" i="196" s="1"/>
  <c r="O298" i="196"/>
  <c r="S277" i="196"/>
  <c r="S282" i="196" s="1"/>
  <c r="X277" i="196"/>
  <c r="X282" i="196" s="1"/>
  <c r="AI140" i="197"/>
  <c r="AI169" i="197" s="1"/>
  <c r="AI74" i="198" s="1"/>
  <c r="AI116" i="198" s="1"/>
  <c r="AI122" i="197"/>
  <c r="AI151" i="197" s="1"/>
  <c r="AI56" i="198" s="1"/>
  <c r="AI96" i="198" s="1"/>
  <c r="AI141" i="197"/>
  <c r="AI170" i="197" s="1"/>
  <c r="AI75" i="198" s="1"/>
  <c r="AI117" i="198" s="1"/>
  <c r="AI123" i="197"/>
  <c r="AI152" i="197" s="1"/>
  <c r="AI57" i="198" s="1"/>
  <c r="AI97" i="198" s="1"/>
  <c r="AF141" i="197"/>
  <c r="AF170" i="197" s="1"/>
  <c r="AF75" i="198" s="1"/>
  <c r="AF117" i="198" s="1"/>
  <c r="AF123" i="197"/>
  <c r="AF152" i="197" s="1"/>
  <c r="AF57" i="198" s="1"/>
  <c r="AF97" i="198" s="1"/>
  <c r="AF122" i="197"/>
  <c r="AF151" i="197" s="1"/>
  <c r="AF56" i="198" s="1"/>
  <c r="AF96" i="198" s="1"/>
  <c r="AF140" i="197"/>
  <c r="AF169" i="197" s="1"/>
  <c r="AF74" i="198" s="1"/>
  <c r="AF116" i="198" s="1"/>
  <c r="X141" i="197"/>
  <c r="X170" i="197" s="1"/>
  <c r="X75" i="198" s="1"/>
  <c r="X117" i="198" s="1"/>
  <c r="X123" i="197"/>
  <c r="X152" i="197" s="1"/>
  <c r="X57" i="198" s="1"/>
  <c r="X97" i="198" s="1"/>
  <c r="AL123" i="197"/>
  <c r="AL152" i="197" s="1"/>
  <c r="AL57" i="198" s="1"/>
  <c r="AL97" i="198" s="1"/>
  <c r="AL141" i="197"/>
  <c r="AL170" i="197" s="1"/>
  <c r="AL75" i="198" s="1"/>
  <c r="AL117" i="198" s="1"/>
  <c r="AE141" i="197"/>
  <c r="AE170" i="197" s="1"/>
  <c r="AE75" i="198" s="1"/>
  <c r="AE117" i="198" s="1"/>
  <c r="AE123" i="197"/>
  <c r="AE152" i="197" s="1"/>
  <c r="AE57" i="198" s="1"/>
  <c r="AE97" i="198" s="1"/>
  <c r="AC121" i="197"/>
  <c r="AC150" i="197" s="1"/>
  <c r="AC55" i="198" s="1"/>
  <c r="AC95" i="198" s="1"/>
  <c r="AC139" i="197"/>
  <c r="AC168" i="197" s="1"/>
  <c r="AC73" i="198" s="1"/>
  <c r="AC115" i="198" s="1"/>
  <c r="AJ139" i="197"/>
  <c r="AJ168" i="197" s="1"/>
  <c r="AJ73" i="198" s="1"/>
  <c r="AJ115" i="198" s="1"/>
  <c r="AJ121" i="197"/>
  <c r="AJ150" i="197" s="1"/>
  <c r="AJ55" i="198" s="1"/>
  <c r="AJ95" i="198" s="1"/>
  <c r="AJ130" i="197"/>
  <c r="AJ159" i="197" s="1"/>
  <c r="AJ64" i="198" s="1"/>
  <c r="AJ105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M132" i="197"/>
  <c r="M161" i="197" s="1"/>
  <c r="M66" i="198" s="1"/>
  <c r="M107" i="198" s="1"/>
  <c r="M141" i="197"/>
  <c r="M170" i="197" s="1"/>
  <c r="M75" i="198" s="1"/>
  <c r="M117" i="198" s="1"/>
  <c r="M123" i="197"/>
  <c r="M152" i="197" s="1"/>
  <c r="M57" i="198" s="1"/>
  <c r="M97" i="198" s="1"/>
  <c r="V132" i="197"/>
  <c r="V161" i="197" s="1"/>
  <c r="V66" i="198" s="1"/>
  <c r="V107" i="198" s="1"/>
  <c r="V123" i="197"/>
  <c r="V152" i="197" s="1"/>
  <c r="V57" i="198" s="1"/>
  <c r="V97" i="198" s="1"/>
  <c r="V141" i="197"/>
  <c r="V170" i="197" s="1"/>
  <c r="V75" i="198" s="1"/>
  <c r="V117" i="198" s="1"/>
  <c r="AA277" i="196"/>
  <c r="AA282" i="196" s="1"/>
  <c r="V277" i="196"/>
  <c r="V282" i="196" s="1"/>
  <c r="P121" i="197"/>
  <c r="P150" i="197" s="1"/>
  <c r="P55" i="198" s="1"/>
  <c r="P95" i="198" s="1"/>
  <c r="P130" i="197"/>
  <c r="P159" i="197" s="1"/>
  <c r="P64" i="198" s="1"/>
  <c r="P105" i="198" s="1"/>
  <c r="P139" i="197"/>
  <c r="P168" i="197" s="1"/>
  <c r="P73" i="198" s="1"/>
  <c r="P115" i="198" s="1"/>
  <c r="P140" i="197"/>
  <c r="P169" i="197" s="1"/>
  <c r="P74" i="198" s="1"/>
  <c r="P116" i="198" s="1"/>
  <c r="P131" i="197"/>
  <c r="P160" i="197" s="1"/>
  <c r="P65" i="198" s="1"/>
  <c r="P106" i="198" s="1"/>
  <c r="P122" i="197"/>
  <c r="P151" i="197" s="1"/>
  <c r="P56" i="198" s="1"/>
  <c r="P96" i="198" s="1"/>
  <c r="AG141" i="197"/>
  <c r="AG170" i="197" s="1"/>
  <c r="AG75" i="198" s="1"/>
  <c r="AG117" i="198" s="1"/>
  <c r="AG132" i="197"/>
  <c r="AG161" i="197" s="1"/>
  <c r="AG66" i="198" s="1"/>
  <c r="AG107" i="198" s="1"/>
  <c r="AG123" i="197"/>
  <c r="AG152" i="197" s="1"/>
  <c r="AG57" i="198" s="1"/>
  <c r="AG97" i="198" s="1"/>
  <c r="Z122" i="197"/>
  <c r="Z151" i="197" s="1"/>
  <c r="Z56" i="198" s="1"/>
  <c r="Z96" i="198" s="1"/>
  <c r="Z140" i="197"/>
  <c r="Z169" i="197" s="1"/>
  <c r="Z74" i="198" s="1"/>
  <c r="Z116" i="198" s="1"/>
  <c r="U140" i="197"/>
  <c r="U169" i="197" s="1"/>
  <c r="U74" i="198" s="1"/>
  <c r="U116" i="198" s="1"/>
  <c r="U122" i="197"/>
  <c r="U151" i="197" s="1"/>
  <c r="U56" i="198" s="1"/>
  <c r="U96" i="198" s="1"/>
  <c r="U131" i="197"/>
  <c r="U160" i="197" s="1"/>
  <c r="U65" i="198" s="1"/>
  <c r="U106" i="198" s="1"/>
  <c r="AA141" i="197"/>
  <c r="AA170" i="197" s="1"/>
  <c r="AA75" i="198" s="1"/>
  <c r="AA117" i="198" s="1"/>
  <c r="AA123" i="197"/>
  <c r="AA152" i="197" s="1"/>
  <c r="AA57" i="198" s="1"/>
  <c r="AA97" i="198" s="1"/>
  <c r="J122" i="197"/>
  <c r="J151" i="197" s="1"/>
  <c r="J56" i="198" s="1"/>
  <c r="J96" i="198" s="1"/>
  <c r="J140" i="197"/>
  <c r="J169" i="197" s="1"/>
  <c r="J74" i="198" s="1"/>
  <c r="J116" i="198" s="1"/>
  <c r="J131" i="197"/>
  <c r="J160" i="197" s="1"/>
  <c r="J65" i="198" s="1"/>
  <c r="J106" i="198" s="1"/>
  <c r="O141" i="197"/>
  <c r="O170" i="197" s="1"/>
  <c r="O75" i="198" s="1"/>
  <c r="O117" i="198" s="1"/>
  <c r="O132" i="197"/>
  <c r="O161" i="197" s="1"/>
  <c r="O66" i="198" s="1"/>
  <c r="O107" i="198" s="1"/>
  <c r="O123" i="197"/>
  <c r="O152" i="197" s="1"/>
  <c r="O57" i="198" s="1"/>
  <c r="O97" i="198" s="1"/>
  <c r="S123" i="197"/>
  <c r="S152" i="197" s="1"/>
  <c r="S57" i="198" s="1"/>
  <c r="S97" i="198" s="1"/>
  <c r="S132" i="197"/>
  <c r="S161" i="197" s="1"/>
  <c r="S66" i="198" s="1"/>
  <c r="S107" i="198" s="1"/>
  <c r="S141" i="197"/>
  <c r="S170" i="197" s="1"/>
  <c r="S75" i="198" s="1"/>
  <c r="S117" i="198" s="1"/>
  <c r="K122" i="197"/>
  <c r="K151" i="197" s="1"/>
  <c r="K56" i="198" s="1"/>
  <c r="K96" i="198" s="1"/>
  <c r="K140" i="197"/>
  <c r="K169" i="197" s="1"/>
  <c r="K74" i="198" s="1"/>
  <c r="K116" i="198" s="1"/>
  <c r="K131" i="197"/>
  <c r="K160" i="197" s="1"/>
  <c r="K65" i="198" s="1"/>
  <c r="K106" i="198" s="1"/>
  <c r="R279" i="196"/>
  <c r="R284" i="196" s="1"/>
  <c r="R362" i="196" s="1"/>
  <c r="W279" i="196"/>
  <c r="W284" i="196" s="1"/>
  <c r="W362" i="196" s="1"/>
  <c r="L279" i="196"/>
  <c r="L284" i="196" s="1"/>
  <c r="L362" i="196" s="1"/>
  <c r="AJ279" i="196"/>
  <c r="AJ284" i="196" s="1"/>
  <c r="AJ362" i="196" s="1"/>
  <c r="AL279" i="196"/>
  <c r="AL284" i="196" s="1"/>
  <c r="AL362" i="196" s="1"/>
  <c r="AN279" i="196"/>
  <c r="AN284" i="196" s="1"/>
  <c r="AN362" i="196" s="1"/>
  <c r="AK279" i="196"/>
  <c r="AK284" i="196" s="1"/>
  <c r="AK362" i="196" s="1"/>
  <c r="AM279" i="196"/>
  <c r="AM284" i="196" s="1"/>
  <c r="AM362" i="196" s="1"/>
  <c r="AB279" i="196"/>
  <c r="AB284" i="196" s="1"/>
  <c r="AB362" i="196" s="1"/>
  <c r="K279" i="196"/>
  <c r="K284" i="196" s="1"/>
  <c r="K362" i="196" s="1"/>
  <c r="AI279" i="196"/>
  <c r="AI284" i="196" s="1"/>
  <c r="AI362" i="196" s="1"/>
  <c r="AO279" i="196"/>
  <c r="AO284" i="196" s="1"/>
  <c r="AO362" i="196" s="1"/>
  <c r="Q279" i="196"/>
  <c r="Q284" i="196" s="1"/>
  <c r="Q362" i="196" s="1"/>
  <c r="AH279" i="196"/>
  <c r="AH284" i="196" s="1"/>
  <c r="AH362" i="196" s="1"/>
  <c r="AD122" i="197"/>
  <c r="AD151" i="197" s="1"/>
  <c r="AD56" i="198" s="1"/>
  <c r="AD96" i="198" s="1"/>
  <c r="AD140" i="197"/>
  <c r="AD169" i="197" s="1"/>
  <c r="AD74" i="198" s="1"/>
  <c r="AD116" i="198" s="1"/>
  <c r="AD123" i="197"/>
  <c r="AD152" i="197" s="1"/>
  <c r="AD57" i="198" s="1"/>
  <c r="AD97" i="198" s="1"/>
  <c r="AD141" i="197"/>
  <c r="AD170" i="197" s="1"/>
  <c r="AD75" i="198" s="1"/>
  <c r="AD117" i="198" s="1"/>
  <c r="Q121" i="197"/>
  <c r="Q150" i="197" s="1"/>
  <c r="Q55" i="198" s="1"/>
  <c r="Q95" i="198" s="1"/>
  <c r="Q139" i="197"/>
  <c r="Q168" i="197" s="1"/>
  <c r="Q73" i="198" s="1"/>
  <c r="Q115" i="198" s="1"/>
  <c r="Q130" i="197"/>
  <c r="Q159" i="197" s="1"/>
  <c r="Q64" i="198" s="1"/>
  <c r="Q105" i="198" s="1"/>
  <c r="T278" i="196"/>
  <c r="T283" i="196" s="1"/>
  <c r="Y278" i="196"/>
  <c r="Y283" i="196" s="1"/>
  <c r="Y330" i="196" s="1"/>
  <c r="AC122" i="197"/>
  <c r="AC151" i="197" s="1"/>
  <c r="AC56" i="198" s="1"/>
  <c r="AC96" i="198" s="1"/>
  <c r="AC140" i="197"/>
  <c r="AC169" i="197" s="1"/>
  <c r="AC74" i="198" s="1"/>
  <c r="AC116" i="198" s="1"/>
  <c r="W121" i="197"/>
  <c r="W150" i="197" s="1"/>
  <c r="W55" i="198" s="1"/>
  <c r="W95" i="198" s="1"/>
  <c r="W139" i="197"/>
  <c r="W168" i="197" s="1"/>
  <c r="W73" i="198" s="1"/>
  <c r="W115" i="198" s="1"/>
  <c r="W141" i="197"/>
  <c r="W170" i="197" s="1"/>
  <c r="W75" i="198" s="1"/>
  <c r="W117" i="198" s="1"/>
  <c r="W123" i="197"/>
  <c r="W152" i="197" s="1"/>
  <c r="W57" i="198" s="1"/>
  <c r="W97" i="198" s="1"/>
  <c r="L123" i="197"/>
  <c r="L152" i="197" s="1"/>
  <c r="L57" i="198" s="1"/>
  <c r="L97" i="198" s="1"/>
  <c r="L141" i="197"/>
  <c r="L170" i="197" s="1"/>
  <c r="L75" i="198" s="1"/>
  <c r="L117" i="198" s="1"/>
  <c r="L132" i="197"/>
  <c r="L161" i="197" s="1"/>
  <c r="L66" i="198" s="1"/>
  <c r="L107" i="198" s="1"/>
  <c r="R130" i="197"/>
  <c r="R159" i="197" s="1"/>
  <c r="R64" i="198" s="1"/>
  <c r="R105" i="198" s="1"/>
  <c r="R139" i="197"/>
  <c r="R168" i="197" s="1"/>
  <c r="R73" i="198" s="1"/>
  <c r="R115" i="198" s="1"/>
  <c r="R121" i="197"/>
  <c r="R150" i="197" s="1"/>
  <c r="R55" i="198" s="1"/>
  <c r="R95" i="198" s="1"/>
  <c r="M330" i="196"/>
  <c r="M332" i="196" s="1"/>
  <c r="M334" i="196" s="1"/>
  <c r="M336" i="196" s="1"/>
  <c r="M392" i="196" s="1"/>
  <c r="AA279" i="196"/>
  <c r="AA284" i="196" s="1"/>
  <c r="AA362" i="196" s="1"/>
  <c r="V279" i="196"/>
  <c r="V284" i="196" s="1"/>
  <c r="V362" i="196" s="1"/>
  <c r="V140" i="197"/>
  <c r="V169" i="197" s="1"/>
  <c r="V74" i="198" s="1"/>
  <c r="V116" i="198" s="1"/>
  <c r="V131" i="197"/>
  <c r="V160" i="197" s="1"/>
  <c r="V65" i="198" s="1"/>
  <c r="V106" i="198" s="1"/>
  <c r="V122" i="197"/>
  <c r="V151" i="197" s="1"/>
  <c r="V56" i="198" s="1"/>
  <c r="V96" i="198" s="1"/>
  <c r="AO102" i="198"/>
  <c r="AG131" i="197"/>
  <c r="AG160" i="197" s="1"/>
  <c r="AG65" i="198" s="1"/>
  <c r="AG106" i="198" s="1"/>
  <c r="AG140" i="197"/>
  <c r="AG169" i="197" s="1"/>
  <c r="AG74" i="198" s="1"/>
  <c r="AG116" i="198" s="1"/>
  <c r="AG122" i="197"/>
  <c r="AG151" i="197" s="1"/>
  <c r="AG56" i="198" s="1"/>
  <c r="AG96" i="198" s="1"/>
  <c r="Z123" i="197"/>
  <c r="Z152" i="197" s="1"/>
  <c r="Z57" i="198" s="1"/>
  <c r="Z97" i="198" s="1"/>
  <c r="Z141" i="197"/>
  <c r="Z170" i="197" s="1"/>
  <c r="Z75" i="198" s="1"/>
  <c r="Z11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AK258" i="196" a="1"/>
  <c r="AK258" i="196" s="1"/>
  <c r="AK263" i="196" s="1"/>
  <c r="R258" i="196" a="1"/>
  <c r="R258" i="196" s="1"/>
  <c r="R263" i="196" s="1"/>
  <c r="O258" i="196" a="1"/>
  <c r="O258" i="196" s="1"/>
  <c r="O263" i="196" s="1"/>
  <c r="AE258" i="196" a="1"/>
  <c r="AE258" i="196" s="1"/>
  <c r="AE263" i="196" s="1"/>
  <c r="AD258" i="196" a="1"/>
  <c r="AD258" i="196" s="1"/>
  <c r="AD263" i="196" s="1"/>
  <c r="P258" i="196" a="1"/>
  <c r="P258" i="196" s="1"/>
  <c r="P263" i="196" s="1"/>
  <c r="V258" i="196" a="1"/>
  <c r="V258" i="196" s="1"/>
  <c r="V263" i="196" s="1"/>
  <c r="M258" i="196" a="1"/>
  <c r="M258" i="196" s="1"/>
  <c r="M263" i="196" s="1"/>
  <c r="AO258" i="196" a="1"/>
  <c r="AO258" i="196" s="1"/>
  <c r="AO263" i="196" s="1"/>
  <c r="Q258" i="196" a="1"/>
  <c r="Q258" i="196" s="1"/>
  <c r="Q263" i="196" s="1"/>
  <c r="AG258" i="196" a="1"/>
  <c r="AG258" i="196" s="1"/>
  <c r="AG263" i="196" s="1"/>
  <c r="W258" i="196" a="1"/>
  <c r="W258" i="196" s="1"/>
  <c r="W263" i="196" s="1"/>
  <c r="Z258" i="196" a="1"/>
  <c r="Z258" i="196" s="1"/>
  <c r="Z263" i="196" s="1"/>
  <c r="AB258" i="196" a="1"/>
  <c r="AB258" i="196" s="1"/>
  <c r="AB263" i="196" s="1"/>
  <c r="AF258" i="196" a="1"/>
  <c r="AF258" i="196" s="1"/>
  <c r="AF263" i="196" s="1"/>
  <c r="S258" i="196" a="1"/>
  <c r="S258" i="196" s="1"/>
  <c r="S263" i="196" s="1"/>
  <c r="AA258" i="196" a="1"/>
  <c r="AA258" i="196" s="1"/>
  <c r="AA263" i="196" s="1"/>
  <c r="X258" i="196" a="1"/>
  <c r="X258" i="196" s="1"/>
  <c r="X263" i="196" s="1"/>
  <c r="AN258" i="196" a="1"/>
  <c r="AN258" i="196" s="1"/>
  <c r="AN263" i="196" s="1"/>
  <c r="AM258" i="196" a="1"/>
  <c r="AM258" i="196" s="1"/>
  <c r="AM263" i="196" s="1"/>
  <c r="N258" i="196" a="1"/>
  <c r="N258" i="196" s="1"/>
  <c r="N263" i="196" s="1"/>
  <c r="K258" i="196" a="1"/>
  <c r="K258" i="196" s="1"/>
  <c r="K263" i="196" s="1"/>
  <c r="AC258" i="196" a="1"/>
  <c r="AC258" i="196" s="1"/>
  <c r="AC263" i="196" s="1"/>
  <c r="J258" i="196" a="1"/>
  <c r="J258" i="196" s="1"/>
  <c r="J263" i="196" s="1"/>
  <c r="U258" i="196" a="1"/>
  <c r="U258" i="196" s="1"/>
  <c r="U263" i="196" s="1"/>
  <c r="AJ258" i="196" a="1"/>
  <c r="AJ258" i="196" s="1"/>
  <c r="AJ263" i="196" s="1"/>
  <c r="L258" i="196" a="1"/>
  <c r="L258" i="196" s="1"/>
  <c r="L263" i="196" s="1"/>
  <c r="Y258" i="196" a="1"/>
  <c r="Y258" i="196" s="1"/>
  <c r="Y263" i="196" s="1"/>
  <c r="AL258" i="196" a="1"/>
  <c r="AL258" i="196" s="1"/>
  <c r="AL263" i="196" s="1"/>
  <c r="AI258" i="196" a="1"/>
  <c r="AI258" i="196" s="1"/>
  <c r="AI263" i="196" s="1"/>
  <c r="T258" i="196" a="1"/>
  <c r="T258" i="196" s="1"/>
  <c r="T263" i="196" s="1"/>
  <c r="AH258" i="196" a="1"/>
  <c r="AH258" i="196" s="1"/>
  <c r="AH263" i="196" s="1"/>
  <c r="J141" i="197"/>
  <c r="J170" i="197" s="1"/>
  <c r="J75" i="198" s="1"/>
  <c r="J117" i="198" s="1"/>
  <c r="J132" i="197"/>
  <c r="J161" i="197" s="1"/>
  <c r="J66" i="198" s="1"/>
  <c r="J107" i="198" s="1"/>
  <c r="J123" i="197"/>
  <c r="J152" i="197" s="1"/>
  <c r="J57" i="198" s="1"/>
  <c r="J97" i="198" s="1"/>
  <c r="AH132" i="197"/>
  <c r="AH161" i="197" s="1"/>
  <c r="AH66" i="198" s="1"/>
  <c r="AH107" i="198" s="1"/>
  <c r="AH141" i="197"/>
  <c r="AH170" i="197" s="1"/>
  <c r="AH75" i="198" s="1"/>
  <c r="AH117" i="198" s="1"/>
  <c r="AH123" i="197"/>
  <c r="AH152" i="197" s="1"/>
  <c r="AH57" i="198" s="1"/>
  <c r="AH97" i="198" s="1"/>
  <c r="O139" i="197"/>
  <c r="O168" i="197" s="1"/>
  <c r="O73" i="198" s="1"/>
  <c r="O115" i="198" s="1"/>
  <c r="O130" i="197"/>
  <c r="O159" i="197" s="1"/>
  <c r="O64" i="198" s="1"/>
  <c r="O105" i="198" s="1"/>
  <c r="O121" i="197"/>
  <c r="O150" i="197" s="1"/>
  <c r="O55" i="198" s="1"/>
  <c r="O95" i="198" s="1"/>
  <c r="S121" i="197"/>
  <c r="S150" i="197" s="1"/>
  <c r="S55" i="198" s="1"/>
  <c r="S95" i="198" s="1"/>
  <c r="S130" i="197"/>
  <c r="S159" i="197" s="1"/>
  <c r="S64" i="198" s="1"/>
  <c r="S105" i="198" s="1"/>
  <c r="S139" i="197"/>
  <c r="S168" i="197" s="1"/>
  <c r="S73" i="198" s="1"/>
  <c r="S115" i="198" s="1"/>
  <c r="S279" i="196"/>
  <c r="S284" i="196" s="1"/>
  <c r="S362" i="196" s="1"/>
  <c r="X279" i="196"/>
  <c r="X284" i="196" s="1"/>
  <c r="X362" i="196" s="1"/>
  <c r="AF330" i="196"/>
  <c r="AF332" i="196" s="1"/>
  <c r="AF334" i="196" s="1"/>
  <c r="AF336" i="196" s="1"/>
  <c r="AF392" i="196" s="1"/>
  <c r="AF121" i="197"/>
  <c r="AF150" i="197" s="1"/>
  <c r="AF55" i="198" s="1"/>
  <c r="AF95" i="198" s="1"/>
  <c r="AF139" i="197"/>
  <c r="AF168" i="197" s="1"/>
  <c r="AF73" i="198" s="1"/>
  <c r="AF115" i="198" s="1"/>
  <c r="AL140" i="197"/>
  <c r="AL169" i="197" s="1"/>
  <c r="AL74" i="198" s="1"/>
  <c r="AL116" i="198" s="1"/>
  <c r="AL122" i="197"/>
  <c r="AL151" i="197" s="1"/>
  <c r="AL56" i="198" s="1"/>
  <c r="AL96" i="198" s="1"/>
  <c r="AN139" i="197"/>
  <c r="AN168" i="197" s="1"/>
  <c r="AN73" i="198" s="1"/>
  <c r="AN115" i="198" s="1"/>
  <c r="AN121" i="197"/>
  <c r="AN150" i="197" s="1"/>
  <c r="AN55" i="198" s="1"/>
  <c r="AN95" i="198" s="1"/>
  <c r="K139" i="197"/>
  <c r="K168" i="197" s="1"/>
  <c r="K73" i="198" s="1"/>
  <c r="K115" i="198" s="1"/>
  <c r="K130" i="197"/>
  <c r="K159" i="197" s="1"/>
  <c r="K64" i="198" s="1"/>
  <c r="K105" i="198" s="1"/>
  <c r="K121" i="197"/>
  <c r="K150" i="197" s="1"/>
  <c r="K55" i="198" s="1"/>
  <c r="K95" i="198" s="1"/>
  <c r="Q122" i="197"/>
  <c r="Q151" i="197" s="1"/>
  <c r="Q56" i="198" s="1"/>
  <c r="Q96" i="198" s="1"/>
  <c r="Q131" i="197"/>
  <c r="Q160" i="197" s="1"/>
  <c r="Q65" i="198" s="1"/>
  <c r="Q106" i="198" s="1"/>
  <c r="Q140" i="197"/>
  <c r="Q169" i="197" s="1"/>
  <c r="Q74" i="198" s="1"/>
  <c r="Q116" i="198" s="1"/>
  <c r="AB141" i="197"/>
  <c r="AB170" i="197" s="1"/>
  <c r="AB75" i="198" s="1"/>
  <c r="AB117" i="198" s="1"/>
  <c r="AB123" i="197"/>
  <c r="AB152" i="197" s="1"/>
  <c r="AB57" i="198" s="1"/>
  <c r="AB97" i="198" s="1"/>
  <c r="AB122" i="197"/>
  <c r="AB151" i="197" s="1"/>
  <c r="AB56" i="198" s="1"/>
  <c r="AB96" i="198" s="1"/>
  <c r="AB140" i="197"/>
  <c r="AB169" i="197" s="1"/>
  <c r="AB74" i="198" s="1"/>
  <c r="AB116" i="198" s="1"/>
  <c r="T122" i="197"/>
  <c r="T151" i="197" s="1"/>
  <c r="T56" i="198" s="1"/>
  <c r="T96" i="198" s="1"/>
  <c r="T140" i="197"/>
  <c r="T169" i="197" s="1"/>
  <c r="T74" i="198" s="1"/>
  <c r="T116" i="198" s="1"/>
  <c r="T131" i="197"/>
  <c r="T160" i="197" s="1"/>
  <c r="T65" i="198" s="1"/>
  <c r="T106" i="198" s="1"/>
  <c r="T132" i="197"/>
  <c r="T161" i="197" s="1"/>
  <c r="T66" i="198" s="1"/>
  <c r="T107" i="198" s="1"/>
  <c r="T141" i="197"/>
  <c r="T170" i="197" s="1"/>
  <c r="T75" i="198" s="1"/>
  <c r="T117" i="198" s="1"/>
  <c r="T123" i="197"/>
  <c r="T152" i="197" s="1"/>
  <c r="T57" i="198" s="1"/>
  <c r="T97" i="198" s="1"/>
  <c r="AE140" i="197"/>
  <c r="AE169" i="197" s="1"/>
  <c r="AE74" i="198" s="1"/>
  <c r="AE116" i="198" s="1"/>
  <c r="AE122" i="197"/>
  <c r="AE151" i="197" s="1"/>
  <c r="AE56" i="198" s="1"/>
  <c r="AE96" i="198" s="1"/>
  <c r="AE330" i="196"/>
  <c r="AE332" i="196" s="1"/>
  <c r="AE334" i="196" s="1"/>
  <c r="AE336" i="196" s="1"/>
  <c r="AE392" i="196" s="1"/>
  <c r="AC123" i="197"/>
  <c r="AC152" i="197" s="1"/>
  <c r="AC57" i="198" s="1"/>
  <c r="AC97" i="198" s="1"/>
  <c r="AC141" i="197"/>
  <c r="AC170" i="197" s="1"/>
  <c r="AC75" i="198" s="1"/>
  <c r="AC117" i="198" s="1"/>
  <c r="W122" i="197"/>
  <c r="W151" i="197" s="1"/>
  <c r="W56" i="198" s="1"/>
  <c r="W96" i="198" s="1"/>
  <c r="W140" i="197"/>
  <c r="W169" i="197" s="1"/>
  <c r="W74" i="198" s="1"/>
  <c r="W116" i="198" s="1"/>
  <c r="AJ132" i="197"/>
  <c r="AJ161" i="197" s="1"/>
  <c r="AJ66" i="198" s="1"/>
  <c r="AJ107" i="198" s="1"/>
  <c r="AJ123" i="197"/>
  <c r="AJ152" i="197" s="1"/>
  <c r="AJ57" i="198" s="1"/>
  <c r="AJ97" i="198" s="1"/>
  <c r="AJ141" i="197"/>
  <c r="AJ170" i="197" s="1"/>
  <c r="AJ75" i="198" s="1"/>
  <c r="AJ117" i="198" s="1"/>
  <c r="R123" i="197"/>
  <c r="R152" i="197" s="1"/>
  <c r="R57" i="198" s="1"/>
  <c r="R97" i="198" s="1"/>
  <c r="R141" i="197"/>
  <c r="R170" i="197" s="1"/>
  <c r="R75" i="198" s="1"/>
  <c r="R117" i="198" s="1"/>
  <c r="R132" i="197"/>
  <c r="R161" i="197" s="1"/>
  <c r="R66" i="198" s="1"/>
  <c r="R107" i="198" s="1"/>
  <c r="M140" i="197"/>
  <c r="M169" i="197" s="1"/>
  <c r="M74" i="198" s="1"/>
  <c r="M116" i="198" s="1"/>
  <c r="M122" i="197"/>
  <c r="M151" i="197" s="1"/>
  <c r="M56" i="198" s="1"/>
  <c r="M96" i="198" s="1"/>
  <c r="M131" i="197"/>
  <c r="M160" i="197" s="1"/>
  <c r="M65" i="198" s="1"/>
  <c r="M106" i="198" s="1"/>
  <c r="M121" i="197"/>
  <c r="M150" i="197" s="1"/>
  <c r="M55" i="198" s="1"/>
  <c r="M95" i="198" s="1"/>
  <c r="M130" i="197"/>
  <c r="M159" i="197" s="1"/>
  <c r="M64" i="198" s="1"/>
  <c r="M105" i="198" s="1"/>
  <c r="M139" i="197"/>
  <c r="M168" i="197" s="1"/>
  <c r="M73" i="198" s="1"/>
  <c r="M115" i="198" s="1"/>
  <c r="V121" i="197"/>
  <c r="V150" i="197" s="1"/>
  <c r="V55" i="198" s="1"/>
  <c r="V95" i="198" s="1"/>
  <c r="V130" i="197"/>
  <c r="V159" i="197" s="1"/>
  <c r="V64" i="198" s="1"/>
  <c r="V105" i="198" s="1"/>
  <c r="V112" i="198" s="1"/>
  <c r="V141" i="198" s="1"/>
  <c r="V139" i="197"/>
  <c r="V168" i="197" s="1"/>
  <c r="V73" i="198" s="1"/>
  <c r="V115" i="198" s="1"/>
  <c r="P300" i="196"/>
  <c r="P302" i="196" s="1"/>
  <c r="P304" i="196"/>
  <c r="P391" i="196" s="1"/>
  <c r="P330" i="196"/>
  <c r="P332" i="196" s="1"/>
  <c r="P334" i="196" s="1"/>
  <c r="P336" i="196" s="1"/>
  <c r="P392" i="196" s="1"/>
  <c r="AG330" i="196"/>
  <c r="AG332" i="196" s="1"/>
  <c r="AG334" i="196" s="1"/>
  <c r="AG336" i="196" s="1"/>
  <c r="AG392" i="196" s="1"/>
  <c r="AG121" i="197"/>
  <c r="AG150" i="197" s="1"/>
  <c r="AG55" i="198" s="1"/>
  <c r="AG95" i="198" s="1"/>
  <c r="AG130" i="197"/>
  <c r="AG159" i="197" s="1"/>
  <c r="AG64" i="198" s="1"/>
  <c r="AG105" i="198" s="1"/>
  <c r="AG139" i="197"/>
  <c r="AG168" i="197" s="1"/>
  <c r="AG73" i="198" s="1"/>
  <c r="AG115" i="198" s="1"/>
  <c r="U123" i="197"/>
  <c r="U152" i="197" s="1"/>
  <c r="U57" i="198" s="1"/>
  <c r="U97" i="198" s="1"/>
  <c r="U141" i="197"/>
  <c r="U170" i="197" s="1"/>
  <c r="U75" i="198" s="1"/>
  <c r="U117" i="198" s="1"/>
  <c r="U132" i="197"/>
  <c r="U161" i="197" s="1"/>
  <c r="U66" i="198" s="1"/>
  <c r="U107" i="198" s="1"/>
  <c r="U121" i="197"/>
  <c r="U150" i="197" s="1"/>
  <c r="U55" i="198" s="1"/>
  <c r="U95" i="198" s="1"/>
  <c r="U139" i="197"/>
  <c r="U168" i="197" s="1"/>
  <c r="U73" i="198" s="1"/>
  <c r="U115" i="198" s="1"/>
  <c r="U130" i="197"/>
  <c r="U159" i="197" s="1"/>
  <c r="U64" i="198" s="1"/>
  <c r="U105" i="198" s="1"/>
  <c r="AA121" i="197"/>
  <c r="AA150" i="197" s="1"/>
  <c r="AA55" i="198" s="1"/>
  <c r="AA95" i="198" s="1"/>
  <c r="AA139" i="197"/>
  <c r="AA168" i="197" s="1"/>
  <c r="AA73" i="198" s="1"/>
  <c r="AA115" i="198" s="1"/>
  <c r="N139" i="197"/>
  <c r="N168" i="197" s="1"/>
  <c r="N73" i="198" s="1"/>
  <c r="N115" i="198" s="1"/>
  <c r="N130" i="197"/>
  <c r="N159" i="197" s="1"/>
  <c r="N64" i="198" s="1"/>
  <c r="N105" i="198" s="1"/>
  <c r="N121" i="197"/>
  <c r="N150" i="197" s="1"/>
  <c r="N55" i="198" s="1"/>
  <c r="N95" i="198" s="1"/>
  <c r="N298" i="196"/>
  <c r="J110" i="197"/>
  <c r="J304" i="196"/>
  <c r="J391" i="196" s="1"/>
  <c r="J300" i="196"/>
  <c r="J302" i="196" s="1"/>
  <c r="AH140" i="197"/>
  <c r="AH169" i="197" s="1"/>
  <c r="AH74" i="198" s="1"/>
  <c r="AH116" i="198" s="1"/>
  <c r="AH122" i="197"/>
  <c r="AH151" i="197" s="1"/>
  <c r="AH56" i="198" s="1"/>
  <c r="AH96" i="198" s="1"/>
  <c r="AH131" i="197"/>
  <c r="AH160" i="197" s="1"/>
  <c r="AH65" i="198" s="1"/>
  <c r="AH106" i="198" s="1"/>
  <c r="S140" i="197"/>
  <c r="S169" i="197" s="1"/>
  <c r="S74" i="198" s="1"/>
  <c r="S116" i="198" s="1"/>
  <c r="S122" i="197"/>
  <c r="S151" i="197" s="1"/>
  <c r="S56" i="198" s="1"/>
  <c r="S96" i="198" s="1"/>
  <c r="S131" i="197"/>
  <c r="S160" i="197" s="1"/>
  <c r="S65" i="198" s="1"/>
  <c r="S106" i="198" s="1"/>
  <c r="S278" i="196"/>
  <c r="S283" i="196" s="1"/>
  <c r="X278" i="196"/>
  <c r="X283" i="196" s="1"/>
  <c r="AM102" i="198"/>
  <c r="AI139" i="197"/>
  <c r="AI168" i="197" s="1"/>
  <c r="AI73" i="198" s="1"/>
  <c r="AI115" i="198" s="1"/>
  <c r="AI121" i="197"/>
  <c r="AI150" i="197" s="1"/>
  <c r="AI55" i="198" s="1"/>
  <c r="AI95" i="198" s="1"/>
  <c r="AF298" i="196"/>
  <c r="AK102" i="198"/>
  <c r="AN123" i="197"/>
  <c r="AN152" i="197" s="1"/>
  <c r="AN57" i="198" s="1"/>
  <c r="AN97" i="198" s="1"/>
  <c r="AN141" i="197"/>
  <c r="AN170" i="197" s="1"/>
  <c r="AN75" i="198" s="1"/>
  <c r="AN117" i="198" s="1"/>
  <c r="AN122" i="197"/>
  <c r="AN151" i="197" s="1"/>
  <c r="AN56" i="198" s="1"/>
  <c r="AN96" i="198" s="1"/>
  <c r="AN140" i="197"/>
  <c r="AN169" i="197" s="1"/>
  <c r="AN74" i="198" s="1"/>
  <c r="AN116" i="198" s="1"/>
  <c r="O102" i="198" l="1"/>
  <c r="O140" i="198" s="1"/>
  <c r="AG122" i="198"/>
  <c r="AG142" i="198" s="1"/>
  <c r="K122" i="198"/>
  <c r="K142" i="198" s="1"/>
  <c r="X330" i="196"/>
  <c r="AG112" i="198"/>
  <c r="AG141" i="198" s="1"/>
  <c r="S330" i="196"/>
  <c r="U112" i="198"/>
  <c r="U141" i="198" s="1"/>
  <c r="T330" i="196"/>
  <c r="Y332" i="196" s="1"/>
  <c r="Y334" i="196" s="1"/>
  <c r="Y336" i="196" s="1"/>
  <c r="Y392" i="196" s="1"/>
  <c r="AI122" i="198"/>
  <c r="N122" i="198"/>
  <c r="N142" i="198" s="1"/>
  <c r="U122" i="198"/>
  <c r="U142" i="198" s="1"/>
  <c r="V122" i="198"/>
  <c r="V142" i="198" s="1"/>
  <c r="M112" i="198"/>
  <c r="M141" i="198" s="1"/>
  <c r="K112" i="198"/>
  <c r="K141" i="198" s="1"/>
  <c r="O122" i="198"/>
  <c r="O142" i="198" s="1"/>
  <c r="S112" i="198"/>
  <c r="S141" i="198" s="1"/>
  <c r="R112" i="198"/>
  <c r="R141" i="198" s="1"/>
  <c r="Q112" i="198"/>
  <c r="S298" i="196"/>
  <c r="S304" i="196" s="1"/>
  <c r="V330" i="196"/>
  <c r="Y122" i="198"/>
  <c r="Y142" i="198" s="1"/>
  <c r="T102" i="198"/>
  <c r="T140" i="198" s="1"/>
  <c r="AI330" i="196"/>
  <c r="X122" i="198"/>
  <c r="X142" i="198" s="1"/>
  <c r="K298" i="196"/>
  <c r="K304" i="196" s="1"/>
  <c r="K391" i="196" s="1"/>
  <c r="K395" i="196" s="1"/>
  <c r="K398" i="196" s="1"/>
  <c r="M102" i="198"/>
  <c r="M140" i="198" s="1"/>
  <c r="P112" i="198"/>
  <c r="P141" i="198" s="1"/>
  <c r="X298" i="196"/>
  <c r="X304" i="196" s="1"/>
  <c r="X391" i="196" s="1"/>
  <c r="U330" i="196"/>
  <c r="Y298" i="196"/>
  <c r="Y304" i="196" s="1"/>
  <c r="Y391" i="196" s="1"/>
  <c r="AO330" i="196"/>
  <c r="L330" i="196"/>
  <c r="AH330" i="196"/>
  <c r="X102" i="198"/>
  <c r="X140" i="198" s="1"/>
  <c r="AB102" i="198"/>
  <c r="H97" i="198"/>
  <c r="AG340" i="196"/>
  <c r="O340" i="196"/>
  <c r="AC122" i="198"/>
  <c r="AC142" i="198" s="1"/>
  <c r="AE373" i="196"/>
  <c r="AE375" i="196" s="1"/>
  <c r="AE386" i="196" s="1"/>
  <c r="AE341" i="196"/>
  <c r="T321" i="196"/>
  <c r="T323" i="196" s="1"/>
  <c r="T353" i="196"/>
  <c r="T355" i="196" s="1"/>
  <c r="U321" i="196"/>
  <c r="U323" i="196" s="1"/>
  <c r="U353" i="196"/>
  <c r="U355" i="196" s="1"/>
  <c r="K353" i="196"/>
  <c r="K355" i="196" s="1"/>
  <c r="K321" i="196"/>
  <c r="K323" i="196" s="1"/>
  <c r="AA321" i="196"/>
  <c r="AA323" i="196" s="1"/>
  <c r="AA353" i="196"/>
  <c r="AA355" i="196" s="1"/>
  <c r="AK353" i="196"/>
  <c r="AK355" i="196" s="1"/>
  <c r="AK321" i="196"/>
  <c r="AK323" i="196" s="1"/>
  <c r="Z321" i="196"/>
  <c r="Z323" i="196" s="1"/>
  <c r="Z353" i="196"/>
  <c r="Z355" i="196" s="1"/>
  <c r="AB353" i="196"/>
  <c r="AB355" i="196" s="1"/>
  <c r="AB321" i="196"/>
  <c r="AB323" i="196" s="1"/>
  <c r="AG304" i="196"/>
  <c r="AG391" i="196" s="1"/>
  <c r="AG300" i="196"/>
  <c r="AG302" i="196" s="1"/>
  <c r="AA330" i="196"/>
  <c r="V332" i="196" s="1"/>
  <c r="V334" i="196" s="1"/>
  <c r="V336" i="196" s="1"/>
  <c r="V392" i="196" s="1"/>
  <c r="L122" i="198"/>
  <c r="AE300" i="196"/>
  <c r="AE302" i="196" s="1"/>
  <c r="AE304" i="196"/>
  <c r="AE391" i="196" s="1"/>
  <c r="AD102" i="198"/>
  <c r="AD140" i="198" s="1"/>
  <c r="AL122" i="198"/>
  <c r="AH298" i="196"/>
  <c r="AH304" i="196" s="1"/>
  <c r="AH391" i="196" s="1"/>
  <c r="AH395" i="196" s="1"/>
  <c r="AH398" i="196" s="1"/>
  <c r="AO298" i="196"/>
  <c r="AO304" i="196" s="1"/>
  <c r="AO391" i="196" s="1"/>
  <c r="AO395" i="196" s="1"/>
  <c r="AO398" i="196" s="1"/>
  <c r="AB298" i="196"/>
  <c r="AB304" i="196" s="1"/>
  <c r="AB391" i="196" s="1"/>
  <c r="AB395" i="196" s="1"/>
  <c r="AB398" i="196" s="1"/>
  <c r="AF300" i="196"/>
  <c r="AF302" i="196" s="1"/>
  <c r="AF304" i="196"/>
  <c r="AF391" i="196" s="1"/>
  <c r="N304" i="196"/>
  <c r="N391" i="196" s="1"/>
  <c r="N300" i="196"/>
  <c r="N302" i="196" s="1"/>
  <c r="AA122" i="198"/>
  <c r="AA142" i="198" s="1"/>
  <c r="U102" i="198"/>
  <c r="U140" i="198" s="1"/>
  <c r="S102" i="198"/>
  <c r="S140" i="198" s="1"/>
  <c r="H107" i="198"/>
  <c r="P340" i="196"/>
  <c r="P308" i="196"/>
  <c r="Q122" i="198"/>
  <c r="P102" i="198"/>
  <c r="P140" i="198" s="1"/>
  <c r="AJ112" i="198"/>
  <c r="AJ141" i="198" s="1"/>
  <c r="AC102" i="198"/>
  <c r="AC140" i="198" s="1"/>
  <c r="O373" i="196"/>
  <c r="O375" i="196" s="1"/>
  <c r="O386" i="196" s="1"/>
  <c r="O341" i="196"/>
  <c r="M373" i="196"/>
  <c r="M375" i="196" s="1"/>
  <c r="M386" i="196" s="1"/>
  <c r="M341" i="196"/>
  <c r="P341" i="196"/>
  <c r="P373" i="196"/>
  <c r="P375" i="196" s="1"/>
  <c r="P386" i="196" s="1"/>
  <c r="P309" i="196"/>
  <c r="AL353" i="196"/>
  <c r="AL355" i="196" s="1"/>
  <c r="AL321" i="196"/>
  <c r="AL323" i="196" s="1"/>
  <c r="AM321" i="196"/>
  <c r="AM323" i="196" s="1"/>
  <c r="AM353" i="196"/>
  <c r="AM355" i="196" s="1"/>
  <c r="P353" i="196"/>
  <c r="P355" i="196" s="1"/>
  <c r="P357" i="196" s="1"/>
  <c r="P359" i="196" s="1"/>
  <c r="P321" i="196"/>
  <c r="P323" i="196" s="1"/>
  <c r="P325" i="196" s="1"/>
  <c r="P327" i="196" s="1"/>
  <c r="P307" i="196"/>
  <c r="Y353" i="196"/>
  <c r="Y355" i="196" s="1"/>
  <c r="Y321" i="196"/>
  <c r="Y323" i="196" s="1"/>
  <c r="AH353" i="196"/>
  <c r="AH355" i="196" s="1"/>
  <c r="AH321" i="196"/>
  <c r="AH323" i="196" s="1"/>
  <c r="AG321" i="196"/>
  <c r="AG323" i="196" s="1"/>
  <c r="AG325" i="196" s="1"/>
  <c r="AG327" i="196" s="1"/>
  <c r="AG353" i="196"/>
  <c r="AG355" i="196" s="1"/>
  <c r="AG357" i="196" s="1"/>
  <c r="AG359" i="196" s="1"/>
  <c r="Q321" i="196"/>
  <c r="Q323" i="196" s="1"/>
  <c r="Q353" i="196"/>
  <c r="Q355" i="196" s="1"/>
  <c r="L321" i="196"/>
  <c r="L323" i="196" s="1"/>
  <c r="L353" i="196"/>
  <c r="L355" i="196" s="1"/>
  <c r="Z298" i="196"/>
  <c r="Z304" i="196" s="1"/>
  <c r="Z391" i="196" s="1"/>
  <c r="Z330" i="196"/>
  <c r="AE122" i="198"/>
  <c r="AE142" i="198" s="1"/>
  <c r="AD300" i="196"/>
  <c r="AD302" i="196" s="1"/>
  <c r="AD304" i="196"/>
  <c r="AD391" i="196" s="1"/>
  <c r="AJ330" i="196"/>
  <c r="Q330" i="196"/>
  <c r="AL102" i="198"/>
  <c r="AL140" i="198" s="1"/>
  <c r="AH102" i="198"/>
  <c r="AH140" i="198" s="1"/>
  <c r="AB122" i="198"/>
  <c r="AB142" i="198" s="1"/>
  <c r="AM298" i="196"/>
  <c r="AM304" i="196" s="1"/>
  <c r="AM391" i="196" s="1"/>
  <c r="AM395" i="196" s="1"/>
  <c r="AM398" i="196" s="1"/>
  <c r="Q298" i="196"/>
  <c r="Q304" i="196" s="1"/>
  <c r="Q391" i="196" s="1"/>
  <c r="Q395" i="196" s="1"/>
  <c r="Q398" i="196" s="1"/>
  <c r="AI102" i="198"/>
  <c r="AI140" i="198" s="1"/>
  <c r="N102" i="198"/>
  <c r="N140" i="198" s="1"/>
  <c r="AA102" i="198"/>
  <c r="AA140" i="198" s="1"/>
  <c r="V102" i="198"/>
  <c r="V140" i="198" s="1"/>
  <c r="AN102" i="198"/>
  <c r="AN140" i="198" s="1"/>
  <c r="AF122" i="198"/>
  <c r="AF142" i="198" s="1"/>
  <c r="S364" i="196"/>
  <c r="S366" i="196" s="1"/>
  <c r="S368" i="196" s="1"/>
  <c r="S393" i="196" s="1"/>
  <c r="X364" i="196"/>
  <c r="X366" i="196" s="1"/>
  <c r="X368" i="196" s="1"/>
  <c r="X393" i="196" s="1"/>
  <c r="H117" i="198"/>
  <c r="N340" i="196"/>
  <c r="AD340" i="196"/>
  <c r="R102" i="198"/>
  <c r="W122" i="198"/>
  <c r="W142" i="198" s="1"/>
  <c r="T332" i="196"/>
  <c r="T334" i="196" s="1"/>
  <c r="T336" i="196" s="1"/>
  <c r="T392" i="196" s="1"/>
  <c r="Q102" i="198"/>
  <c r="Q140" i="198" s="1"/>
  <c r="H106" i="198"/>
  <c r="U298" i="196"/>
  <c r="V298" i="196"/>
  <c r="AJ102" i="198"/>
  <c r="AJ140" i="198" s="1"/>
  <c r="O304" i="196"/>
  <c r="O391" i="196" s="1"/>
  <c r="O300" i="196"/>
  <c r="O302" i="196" s="1"/>
  <c r="AC341" i="196"/>
  <c r="AC373" i="196"/>
  <c r="AC375" i="196" s="1"/>
  <c r="AC386" i="196" s="1"/>
  <c r="O321" i="196"/>
  <c r="O323" i="196" s="1"/>
  <c r="O325" i="196" s="1"/>
  <c r="O327" i="196" s="1"/>
  <c r="O353" i="196"/>
  <c r="O355" i="196" s="1"/>
  <c r="O357" i="196" s="1"/>
  <c r="O359" i="196" s="1"/>
  <c r="AN353" i="196"/>
  <c r="AN355" i="196" s="1"/>
  <c r="AN321" i="196"/>
  <c r="AN323" i="196" s="1"/>
  <c r="AD353" i="196"/>
  <c r="AD355" i="196" s="1"/>
  <c r="AD357" i="196" s="1"/>
  <c r="AD359" i="196" s="1"/>
  <c r="AD321" i="196"/>
  <c r="AD323" i="196" s="1"/>
  <c r="AD325" i="196" s="1"/>
  <c r="AD327" i="196" s="1"/>
  <c r="AJ353" i="196"/>
  <c r="AJ355" i="196" s="1"/>
  <c r="AJ321" i="196"/>
  <c r="AJ323" i="196" s="1"/>
  <c r="X353" i="196"/>
  <c r="X355" i="196" s="1"/>
  <c r="X307" i="196"/>
  <c r="X321" i="196"/>
  <c r="X323" i="196" s="1"/>
  <c r="W321" i="196"/>
  <c r="W323" i="196" s="1"/>
  <c r="W353" i="196"/>
  <c r="W355" i="196" s="1"/>
  <c r="M353" i="196"/>
  <c r="M355" i="196" s="1"/>
  <c r="M357" i="196" s="1"/>
  <c r="M359" i="196" s="1"/>
  <c r="M321" i="196"/>
  <c r="M323" i="196" s="1"/>
  <c r="M325" i="196" s="1"/>
  <c r="M327" i="196" s="1"/>
  <c r="AO353" i="196"/>
  <c r="AO355" i="196" s="1"/>
  <c r="AO321" i="196"/>
  <c r="AO323" i="196" s="1"/>
  <c r="Z122" i="198"/>
  <c r="Z142" i="198" s="1"/>
  <c r="M304" i="196"/>
  <c r="M391" i="196" s="1"/>
  <c r="M300" i="196"/>
  <c r="M302" i="196" s="1"/>
  <c r="L112" i="198"/>
  <c r="Y102" i="198"/>
  <c r="Y140" i="198" s="1"/>
  <c r="AE102" i="198"/>
  <c r="AE140" i="198" s="1"/>
  <c r="T112" i="198"/>
  <c r="T141" i="198" s="1"/>
  <c r="AB330" i="196"/>
  <c r="W330" i="196"/>
  <c r="K330" i="196"/>
  <c r="AL330" i="196"/>
  <c r="AH112" i="198"/>
  <c r="AH141" i="198" s="1"/>
  <c r="T364" i="196"/>
  <c r="T366" i="196" s="1"/>
  <c r="T368" i="196" s="1"/>
  <c r="T393" i="196" s="1"/>
  <c r="Y364" i="196"/>
  <c r="Y366" i="196" s="1"/>
  <c r="Y368" i="196" s="1"/>
  <c r="Y393" i="196" s="1"/>
  <c r="AJ298" i="196"/>
  <c r="AJ304" i="196" s="1"/>
  <c r="AJ391" i="196" s="1"/>
  <c r="AJ395" i="196" s="1"/>
  <c r="AJ398" i="196" s="1"/>
  <c r="R298" i="196"/>
  <c r="R304" i="196" s="1"/>
  <c r="R391" i="196" s="1"/>
  <c r="R395" i="196" s="1"/>
  <c r="R398" i="196" s="1"/>
  <c r="AK298" i="196"/>
  <c r="AK304" i="196" s="1"/>
  <c r="AK391" i="196" s="1"/>
  <c r="AK395" i="196" s="1"/>
  <c r="AK398" i="196" s="1"/>
  <c r="AI298" i="196"/>
  <c r="AI304" i="196" s="1"/>
  <c r="AI391" i="196" s="1"/>
  <c r="AI395" i="196" s="1"/>
  <c r="AI398" i="196" s="1"/>
  <c r="J139" i="197"/>
  <c r="J168" i="197" s="1"/>
  <c r="J130" i="197"/>
  <c r="J159" i="197" s="1"/>
  <c r="J121" i="197"/>
  <c r="J150" i="197" s="1"/>
  <c r="AC340" i="196"/>
  <c r="AF340" i="196"/>
  <c r="H96" i="198"/>
  <c r="AF341" i="196"/>
  <c r="AF373" i="196"/>
  <c r="AF375" i="196" s="1"/>
  <c r="AF386" i="196" s="1"/>
  <c r="N373" i="196"/>
  <c r="N375" i="196" s="1"/>
  <c r="N386" i="196" s="1"/>
  <c r="N341" i="196"/>
  <c r="AF353" i="196"/>
  <c r="AF355" i="196" s="1"/>
  <c r="AF357" i="196" s="1"/>
  <c r="AF359" i="196" s="1"/>
  <c r="AF321" i="196"/>
  <c r="AF323" i="196" s="1"/>
  <c r="AF325" i="196" s="1"/>
  <c r="AF327" i="196" s="1"/>
  <c r="N112" i="198"/>
  <c r="N141" i="198" s="1"/>
  <c r="AG102" i="198"/>
  <c r="AG140" i="198" s="1"/>
  <c r="M122" i="198"/>
  <c r="M142" i="198" s="1"/>
  <c r="K102" i="198"/>
  <c r="K140" i="198" s="1"/>
  <c r="AN122" i="198"/>
  <c r="AF102" i="198"/>
  <c r="AF140" i="198" s="1"/>
  <c r="S122" i="198"/>
  <c r="S142" i="198" s="1"/>
  <c r="O112" i="198"/>
  <c r="O141" i="198" s="1"/>
  <c r="AH399" i="196"/>
  <c r="Y340" i="196"/>
  <c r="J340" i="196"/>
  <c r="J308" i="196"/>
  <c r="M340" i="196"/>
  <c r="AE340" i="196"/>
  <c r="AA364" i="196"/>
  <c r="AA366" i="196" s="1"/>
  <c r="AA368" i="196" s="1"/>
  <c r="AA393" i="196" s="1"/>
  <c r="V364" i="196"/>
  <c r="V366" i="196" s="1"/>
  <c r="V368" i="196" s="1"/>
  <c r="V393" i="196" s="1"/>
  <c r="R122" i="198"/>
  <c r="R142" i="198" s="1"/>
  <c r="W102" i="198"/>
  <c r="AK364" i="196"/>
  <c r="AK366" i="196" s="1"/>
  <c r="AK368" i="196" s="1"/>
  <c r="AK393" i="196" s="1"/>
  <c r="AB364" i="196"/>
  <c r="AB366" i="196" s="1"/>
  <c r="AB368" i="196" s="1"/>
  <c r="AB393" i="196" s="1"/>
  <c r="Q364" i="196"/>
  <c r="Q366" i="196" s="1"/>
  <c r="Q368" i="196" s="1"/>
  <c r="Q393" i="196" s="1"/>
  <c r="AM364" i="196"/>
  <c r="AM366" i="196" s="1"/>
  <c r="AM368" i="196" s="1"/>
  <c r="AM393" i="196" s="1"/>
  <c r="AJ364" i="196"/>
  <c r="AJ366" i="196" s="1"/>
  <c r="AJ368" i="196" s="1"/>
  <c r="AJ393" i="196" s="1"/>
  <c r="AI364" i="196"/>
  <c r="AI366" i="196" s="1"/>
  <c r="AI368" i="196" s="1"/>
  <c r="AI393" i="196" s="1"/>
  <c r="R364" i="196"/>
  <c r="R366" i="196" s="1"/>
  <c r="R368" i="196" s="1"/>
  <c r="R393" i="196" s="1"/>
  <c r="AL364" i="196"/>
  <c r="AL366" i="196" s="1"/>
  <c r="AL368" i="196" s="1"/>
  <c r="AL393" i="196" s="1"/>
  <c r="AO364" i="196"/>
  <c r="AO366" i="196" s="1"/>
  <c r="AO368" i="196" s="1"/>
  <c r="AO393" i="196" s="1"/>
  <c r="L364" i="196"/>
  <c r="L366" i="196" s="1"/>
  <c r="L368" i="196" s="1"/>
  <c r="L393" i="196" s="1"/>
  <c r="AN364" i="196"/>
  <c r="AN366" i="196" s="1"/>
  <c r="AN368" i="196" s="1"/>
  <c r="AN393" i="196" s="1"/>
  <c r="K364" i="196"/>
  <c r="K366" i="196" s="1"/>
  <c r="K368" i="196" s="1"/>
  <c r="K393" i="196" s="1"/>
  <c r="W364" i="196"/>
  <c r="W366" i="196" s="1"/>
  <c r="W368" i="196" s="1"/>
  <c r="W393" i="196" s="1"/>
  <c r="AH364" i="196"/>
  <c r="AH366" i="196" s="1"/>
  <c r="AH368" i="196" s="1"/>
  <c r="AH393" i="196" s="1"/>
  <c r="H116" i="198"/>
  <c r="P122" i="198"/>
  <c r="P142" i="198" s="1"/>
  <c r="AA298" i="196"/>
  <c r="AA304" i="196" s="1"/>
  <c r="AA391" i="196" s="1"/>
  <c r="AJ122" i="198"/>
  <c r="AJ142" i="198" s="1"/>
  <c r="AH400" i="196"/>
  <c r="AD373" i="196"/>
  <c r="AD375" i="196" s="1"/>
  <c r="AD386" i="196" s="1"/>
  <c r="AD341" i="196"/>
  <c r="AG373" i="196"/>
  <c r="AG375" i="196" s="1"/>
  <c r="AG386" i="196" s="1"/>
  <c r="AG309" i="196"/>
  <c r="AG341" i="196"/>
  <c r="J373" i="196"/>
  <c r="J375" i="196" s="1"/>
  <c r="J341" i="196"/>
  <c r="J309" i="196"/>
  <c r="V321" i="196"/>
  <c r="V323" i="196" s="1"/>
  <c r="V353" i="196"/>
  <c r="V355" i="196" s="1"/>
  <c r="AE321" i="196"/>
  <c r="AE323" i="196" s="1"/>
  <c r="AE325" i="196" s="1"/>
  <c r="AE327" i="196" s="1"/>
  <c r="AE353" i="196"/>
  <c r="AE355" i="196" s="1"/>
  <c r="AE357" i="196" s="1"/>
  <c r="AE359" i="196" s="1"/>
  <c r="S321" i="196"/>
  <c r="S323" i="196" s="1"/>
  <c r="S353" i="196"/>
  <c r="S355" i="196" s="1"/>
  <c r="AC353" i="196"/>
  <c r="AC355" i="196" s="1"/>
  <c r="AC357" i="196" s="1"/>
  <c r="AC359" i="196" s="1"/>
  <c r="AC321" i="196"/>
  <c r="AC323" i="196" s="1"/>
  <c r="AC325" i="196" s="1"/>
  <c r="AC327" i="196" s="1"/>
  <c r="J353" i="196"/>
  <c r="J355" i="196" s="1"/>
  <c r="J357" i="196" s="1"/>
  <c r="J359" i="196" s="1"/>
  <c r="J321" i="196"/>
  <c r="J323" i="196" s="1"/>
  <c r="J325" i="196" s="1"/>
  <c r="J327" i="196" s="1"/>
  <c r="J307" i="196"/>
  <c r="N353" i="196"/>
  <c r="N355" i="196" s="1"/>
  <c r="N357" i="196" s="1"/>
  <c r="N359" i="196" s="1"/>
  <c r="N321" i="196"/>
  <c r="N323" i="196" s="1"/>
  <c r="N325" i="196" s="1"/>
  <c r="N327" i="196" s="1"/>
  <c r="AI321" i="196"/>
  <c r="AI323" i="196" s="1"/>
  <c r="AI353" i="196"/>
  <c r="AI355" i="196" s="1"/>
  <c r="R353" i="196"/>
  <c r="R355" i="196" s="1"/>
  <c r="R321" i="196"/>
  <c r="R323" i="196" s="1"/>
  <c r="U364" i="196"/>
  <c r="U366" i="196" s="1"/>
  <c r="U368" i="196" s="1"/>
  <c r="U393" i="196" s="1"/>
  <c r="Z364" i="196"/>
  <c r="Z366" i="196" s="1"/>
  <c r="Z368" i="196" s="1"/>
  <c r="Z393" i="196" s="1"/>
  <c r="Z102" i="198"/>
  <c r="Z140" i="198" s="1"/>
  <c r="L102" i="198"/>
  <c r="AC304" i="196"/>
  <c r="AC391" i="196" s="1"/>
  <c r="AC300" i="196"/>
  <c r="AC302" i="196" s="1"/>
  <c r="T298" i="196"/>
  <c r="T122" i="198"/>
  <c r="T142" i="198" s="1"/>
  <c r="AD122" i="198"/>
  <c r="AD142" i="198" s="1"/>
  <c r="AM330" i="196"/>
  <c r="R330" i="196"/>
  <c r="AN330" i="196"/>
  <c r="AK330" i="196"/>
  <c r="AH122" i="198"/>
  <c r="AH142" i="198" s="1"/>
  <c r="L298" i="196"/>
  <c r="L304" i="196" s="1"/>
  <c r="L391" i="196" s="1"/>
  <c r="L395" i="196" s="1"/>
  <c r="L398" i="196" s="1"/>
  <c r="W298" i="196"/>
  <c r="W304" i="196" s="1"/>
  <c r="W391" i="196" s="1"/>
  <c r="W395" i="196" s="1"/>
  <c r="W398" i="196" s="1"/>
  <c r="AL298" i="196"/>
  <c r="AL304" i="196" s="1"/>
  <c r="AL391" i="196" s="1"/>
  <c r="AL395" i="196" s="1"/>
  <c r="AL398" i="196" s="1"/>
  <c r="AN298" i="196"/>
  <c r="AN304" i="196" s="1"/>
  <c r="AN391" i="196" s="1"/>
  <c r="AN395" i="196" s="1"/>
  <c r="AN398" i="196" s="1"/>
  <c r="AE307" i="196" l="1"/>
  <c r="AO399" i="196"/>
  <c r="AF307" i="196"/>
  <c r="X309" i="196"/>
  <c r="AG307" i="196"/>
  <c r="AF309" i="196"/>
  <c r="AF308" i="196"/>
  <c r="X308" i="196"/>
  <c r="X311" i="196" s="1"/>
  <c r="X384" i="196" s="1"/>
  <c r="X332" i="196"/>
  <c r="X334" i="196" s="1"/>
  <c r="X336" i="196" s="1"/>
  <c r="X341" i="196" s="1"/>
  <c r="AD307" i="196"/>
  <c r="Y309" i="196"/>
  <c r="S300" i="196"/>
  <c r="S302" i="196" s="1"/>
  <c r="X392" i="196"/>
  <c r="AJ400" i="196"/>
  <c r="N309" i="196"/>
  <c r="AO400" i="196"/>
  <c r="AD309" i="196"/>
  <c r="AE343" i="196"/>
  <c r="AE385" i="196" s="1"/>
  <c r="AB400" i="196"/>
  <c r="M343" i="196"/>
  <c r="M385" i="196" s="1"/>
  <c r="M308" i="196"/>
  <c r="AM400" i="196"/>
  <c r="N307" i="196"/>
  <c r="AE308" i="196"/>
  <c r="AM399" i="196"/>
  <c r="Y308" i="196"/>
  <c r="X373" i="196"/>
  <c r="X375" i="196" s="1"/>
  <c r="X386" i="196" s="1"/>
  <c r="O307" i="196"/>
  <c r="K400" i="196"/>
  <c r="N308" i="196"/>
  <c r="Z332" i="196"/>
  <c r="Z334" i="196" s="1"/>
  <c r="Z336" i="196" s="1"/>
  <c r="Z392" i="196" s="1"/>
  <c r="Y307" i="196"/>
  <c r="AB399" i="196"/>
  <c r="S332" i="196"/>
  <c r="S334" i="196" s="1"/>
  <c r="S336" i="196" s="1"/>
  <c r="S341" i="196" s="1"/>
  <c r="S391" i="196"/>
  <c r="S307" i="196"/>
  <c r="S308" i="196"/>
  <c r="Y341" i="196"/>
  <c r="Y343" i="196" s="1"/>
  <c r="Y385" i="196" s="1"/>
  <c r="AA332" i="196"/>
  <c r="AA334" i="196" s="1"/>
  <c r="AA336" i="196" s="1"/>
  <c r="J311" i="196"/>
  <c r="J384" i="196" s="1"/>
  <c r="V340" i="196"/>
  <c r="T340" i="196"/>
  <c r="X300" i="196"/>
  <c r="X302" i="196" s="1"/>
  <c r="AD308" i="196"/>
  <c r="W400" i="196"/>
  <c r="M307" i="196"/>
  <c r="AL399" i="196"/>
  <c r="P311" i="196"/>
  <c r="P384" i="196" s="1"/>
  <c r="AE309" i="196"/>
  <c r="AC308" i="196"/>
  <c r="AK399" i="196"/>
  <c r="AK400" i="196"/>
  <c r="AI399" i="196"/>
  <c r="U332" i="196"/>
  <c r="U334" i="196" s="1"/>
  <c r="U336" i="196" s="1"/>
  <c r="U392" i="196" s="1"/>
  <c r="Z373" i="196"/>
  <c r="Z375" i="196" s="1"/>
  <c r="Z386" i="196" s="1"/>
  <c r="M309" i="196"/>
  <c r="AG308" i="196"/>
  <c r="AG311" i="196" s="1"/>
  <c r="AG384" i="196" s="1"/>
  <c r="AN400" i="196"/>
  <c r="AF343" i="196"/>
  <c r="AF385" i="196" s="1"/>
  <c r="S373" i="196"/>
  <c r="S375" i="196" s="1"/>
  <c r="S386" i="196" s="1"/>
  <c r="X340" i="196"/>
  <c r="AN300" i="196"/>
  <c r="AN302" i="196" s="1"/>
  <c r="AM300" i="196"/>
  <c r="AM302" i="196" s="1"/>
  <c r="W300" i="196"/>
  <c r="W302" i="196" s="1"/>
  <c r="Q300" i="196"/>
  <c r="Q302" i="196" s="1"/>
  <c r="Q325" i="196"/>
  <c r="Q327" i="196" s="1"/>
  <c r="AK325" i="196"/>
  <c r="AK327" i="196" s="1"/>
  <c r="AO325" i="196"/>
  <c r="AO327" i="196" s="1"/>
  <c r="L325" i="196"/>
  <c r="L327" i="196" s="1"/>
  <c r="AH325" i="196"/>
  <c r="AH327" i="196" s="1"/>
  <c r="AN325" i="196"/>
  <c r="AN327" i="196" s="1"/>
  <c r="AB325" i="196"/>
  <c r="AB327" i="196" s="1"/>
  <c r="R325" i="196"/>
  <c r="R327" i="196" s="1"/>
  <c r="K325" i="196"/>
  <c r="K327" i="196" s="1"/>
  <c r="W325" i="196"/>
  <c r="W327" i="196" s="1"/>
  <c r="AI325" i="196"/>
  <c r="AI327" i="196" s="1"/>
  <c r="AM325" i="196"/>
  <c r="AM327" i="196" s="1"/>
  <c r="AL325" i="196"/>
  <c r="AL327" i="196" s="1"/>
  <c r="AJ325" i="196"/>
  <c r="AJ327" i="196" s="1"/>
  <c r="Z325" i="196"/>
  <c r="Z327" i="196" s="1"/>
  <c r="U325" i="196"/>
  <c r="U327" i="196" s="1"/>
  <c r="R400" i="196"/>
  <c r="AC307" i="196"/>
  <c r="S357" i="196"/>
  <c r="S359" i="196" s="1"/>
  <c r="X357" i="196"/>
  <c r="X359" i="196" s="1"/>
  <c r="AL400" i="196"/>
  <c r="W399" i="196"/>
  <c r="AA309" i="196"/>
  <c r="J73" i="198"/>
  <c r="J115" i="198" s="1"/>
  <c r="J86" i="106" a="1"/>
  <c r="AI400" i="196"/>
  <c r="Z309" i="196"/>
  <c r="AA300" i="196"/>
  <c r="AA302" i="196" s="1"/>
  <c r="V300" i="196"/>
  <c r="V302" i="196" s="1"/>
  <c r="V304" i="196"/>
  <c r="Z308" i="196"/>
  <c r="N343" i="196"/>
  <c r="N385" i="196" s="1"/>
  <c r="AJ300" i="196"/>
  <c r="AJ302" i="196" s="1"/>
  <c r="AH300" i="196"/>
  <c r="AH302" i="196" s="1"/>
  <c r="AO300" i="196"/>
  <c r="AO302" i="196" s="1"/>
  <c r="T373" i="196"/>
  <c r="T375" i="196" s="1"/>
  <c r="T386" i="196" s="1"/>
  <c r="P343" i="196"/>
  <c r="P385" i="196" s="1"/>
  <c r="AA307" i="196"/>
  <c r="AO357" i="196"/>
  <c r="AO359" i="196" s="1"/>
  <c r="AK357" i="196"/>
  <c r="AK359" i="196" s="1"/>
  <c r="AL357" i="196"/>
  <c r="AL359" i="196" s="1"/>
  <c r="W357" i="196"/>
  <c r="W359" i="196" s="1"/>
  <c r="K357" i="196"/>
  <c r="K359" i="196" s="1"/>
  <c r="AI357" i="196"/>
  <c r="AI359" i="196" s="1"/>
  <c r="L357" i="196"/>
  <c r="L359" i="196" s="1"/>
  <c r="Q357" i="196"/>
  <c r="Q359" i="196" s="1"/>
  <c r="AM357" i="196"/>
  <c r="AM359" i="196" s="1"/>
  <c r="R357" i="196"/>
  <c r="R359" i="196" s="1"/>
  <c r="AB357" i="196"/>
  <c r="AB359" i="196" s="1"/>
  <c r="AN357" i="196"/>
  <c r="AN359" i="196" s="1"/>
  <c r="AJ357" i="196"/>
  <c r="AJ359" i="196" s="1"/>
  <c r="AH357" i="196"/>
  <c r="AH359" i="196" s="1"/>
  <c r="V341" i="196"/>
  <c r="O343" i="196"/>
  <c r="O385" i="196" s="1"/>
  <c r="AN399" i="196"/>
  <c r="H178" i="197" a="1"/>
  <c r="H178" i="197" s="1"/>
  <c r="AI332" i="196"/>
  <c r="AI334" i="196" s="1"/>
  <c r="AI336" i="196" s="1"/>
  <c r="AI392" i="196" s="1"/>
  <c r="R332" i="196"/>
  <c r="R334" i="196" s="1"/>
  <c r="R336" i="196" s="1"/>
  <c r="R392" i="196" s="1"/>
  <c r="W332" i="196"/>
  <c r="W334" i="196" s="1"/>
  <c r="W336" i="196" s="1"/>
  <c r="W392" i="196" s="1"/>
  <c r="K332" i="196"/>
  <c r="K334" i="196" s="1"/>
  <c r="K336" i="196" s="1"/>
  <c r="K392" i="196" s="1"/>
  <c r="Q332" i="196"/>
  <c r="Q334" i="196" s="1"/>
  <c r="Q336" i="196" s="1"/>
  <c r="Q392" i="196" s="1"/>
  <c r="AJ332" i="196"/>
  <c r="AJ334" i="196" s="1"/>
  <c r="AJ336" i="196" s="1"/>
  <c r="AJ392" i="196" s="1"/>
  <c r="AB332" i="196"/>
  <c r="AB334" i="196" s="1"/>
  <c r="AB336" i="196" s="1"/>
  <c r="AB392" i="196" s="1"/>
  <c r="AH332" i="196"/>
  <c r="AH334" i="196" s="1"/>
  <c r="AH336" i="196" s="1"/>
  <c r="AH392" i="196" s="1"/>
  <c r="AM332" i="196"/>
  <c r="AM334" i="196" s="1"/>
  <c r="AM336" i="196" s="1"/>
  <c r="AM392" i="196" s="1"/>
  <c r="L332" i="196"/>
  <c r="L334" i="196" s="1"/>
  <c r="L336" i="196" s="1"/>
  <c r="L392" i="196" s="1"/>
  <c r="AK332" i="196"/>
  <c r="AK334" i="196" s="1"/>
  <c r="AK336" i="196" s="1"/>
  <c r="AK392" i="196" s="1"/>
  <c r="AO332" i="196"/>
  <c r="AO334" i="196" s="1"/>
  <c r="AO336" i="196" s="1"/>
  <c r="AO392" i="196" s="1"/>
  <c r="AL332" i="196"/>
  <c r="AL334" i="196" s="1"/>
  <c r="AL336" i="196" s="1"/>
  <c r="AL392" i="196" s="1"/>
  <c r="U373" i="196"/>
  <c r="U375" i="196" s="1"/>
  <c r="U386" i="196" s="1"/>
  <c r="U300" i="196"/>
  <c r="U302" i="196" s="1"/>
  <c r="U304" i="196"/>
  <c r="Z300" i="196"/>
  <c r="Z302" i="196" s="1"/>
  <c r="AD343" i="196"/>
  <c r="AD385" i="196" s="1"/>
  <c r="AB300" i="196"/>
  <c r="AB302" i="196" s="1"/>
  <c r="L300" i="196"/>
  <c r="L302" i="196" s="1"/>
  <c r="R300" i="196"/>
  <c r="R302" i="196" s="1"/>
  <c r="AN332" i="196"/>
  <c r="AN334" i="196" s="1"/>
  <c r="AN336" i="196" s="1"/>
  <c r="AN392" i="196" s="1"/>
  <c r="Y373" i="196"/>
  <c r="Y375" i="196" s="1"/>
  <c r="Y386" i="196" s="1"/>
  <c r="L400" i="196"/>
  <c r="O309" i="196"/>
  <c r="Q399" i="196"/>
  <c r="K399" i="196"/>
  <c r="AO422" i="196"/>
  <c r="AO426" i="196" s="1"/>
  <c r="Z307" i="196"/>
  <c r="Y357" i="196"/>
  <c r="Y359" i="196" s="1"/>
  <c r="T357" i="196"/>
  <c r="T359" i="196" s="1"/>
  <c r="O308" i="196"/>
  <c r="L399" i="196"/>
  <c r="Y300" i="196"/>
  <c r="Y302" i="196" s="1"/>
  <c r="T300" i="196"/>
  <c r="T302" i="196" s="1"/>
  <c r="T304" i="196"/>
  <c r="V325" i="196"/>
  <c r="V327" i="196" s="1"/>
  <c r="AA325" i="196"/>
  <c r="AA327" i="196" s="1"/>
  <c r="AA373" i="196"/>
  <c r="AA375" i="196" s="1"/>
  <c r="AA386" i="196" s="1"/>
  <c r="J64" i="198"/>
  <c r="J105" i="198" s="1"/>
  <c r="J52" i="106" a="1"/>
  <c r="S325" i="196"/>
  <c r="S327" i="196" s="1"/>
  <c r="X325" i="196"/>
  <c r="X327" i="196" s="1"/>
  <c r="J343" i="196"/>
  <c r="J385" i="196" s="1"/>
  <c r="AA357" i="196"/>
  <c r="AA359" i="196" s="1"/>
  <c r="V357" i="196"/>
  <c r="V359" i="196" s="1"/>
  <c r="J386" i="196"/>
  <c r="AC343" i="196"/>
  <c r="AC385" i="196" s="1"/>
  <c r="J18" i="106" a="1"/>
  <c r="J55" i="198"/>
  <c r="J95" i="198" s="1"/>
  <c r="AC309" i="196"/>
  <c r="AA308" i="196"/>
  <c r="AL300" i="196"/>
  <c r="AL302" i="196" s="1"/>
  <c r="AK300" i="196"/>
  <c r="AK302" i="196" s="1"/>
  <c r="K300" i="196"/>
  <c r="AI300" i="196"/>
  <c r="AI302" i="196" s="1"/>
  <c r="S309" i="196"/>
  <c r="T341" i="196"/>
  <c r="R399" i="196"/>
  <c r="AJ399" i="196"/>
  <c r="AH422" i="196"/>
  <c r="AH426" i="196" s="1"/>
  <c r="U357" i="196"/>
  <c r="U359" i="196" s="1"/>
  <c r="Z357" i="196"/>
  <c r="Z359" i="196" s="1"/>
  <c r="Y325" i="196"/>
  <c r="Y327" i="196" s="1"/>
  <c r="T325" i="196"/>
  <c r="T327" i="196" s="1"/>
  <c r="Q400" i="196"/>
  <c r="V373" i="196"/>
  <c r="V375" i="196" s="1"/>
  <c r="V386" i="196" s="1"/>
  <c r="AG343" i="196"/>
  <c r="AG385" i="196" s="1"/>
  <c r="AF311" i="196" l="1"/>
  <c r="AF384" i="196" s="1"/>
  <c r="AF388" i="196" s="1"/>
  <c r="AF395" i="196" s="1"/>
  <c r="T343" i="196"/>
  <c r="T385" i="196" s="1"/>
  <c r="U340" i="196"/>
  <c r="AN422" i="196"/>
  <c r="AN426" i="196" s="1"/>
  <c r="U341" i="196"/>
  <c r="U343" i="196" s="1"/>
  <c r="U385" i="196" s="1"/>
  <c r="AE311" i="196"/>
  <c r="AE384" i="196" s="1"/>
  <c r="AE388" i="196" s="1"/>
  <c r="AE395" i="196" s="1"/>
  <c r="N311" i="196"/>
  <c r="N384" i="196" s="1"/>
  <c r="N388" i="196" s="1"/>
  <c r="N395" i="196" s="1"/>
  <c r="Y311" i="196"/>
  <c r="Y384" i="196" s="1"/>
  <c r="Y388" i="196" s="1"/>
  <c r="Y395" i="196" s="1"/>
  <c r="S392" i="196"/>
  <c r="S311" i="196"/>
  <c r="S384" i="196" s="1"/>
  <c r="AJ422" i="196"/>
  <c r="AJ426" i="196" s="1"/>
  <c r="P388" i="196"/>
  <c r="P395" i="196" s="1"/>
  <c r="P398" i="196" s="1"/>
  <c r="X343" i="196"/>
  <c r="X385" i="196" s="1"/>
  <c r="X388" i="196" s="1"/>
  <c r="X395" i="196" s="1"/>
  <c r="X398" i="196" s="1"/>
  <c r="W422" i="196"/>
  <c r="W426" i="196" s="1"/>
  <c r="S340" i="196"/>
  <c r="S343" i="196" s="1"/>
  <c r="S385" i="196" s="1"/>
  <c r="L422" i="196"/>
  <c r="L426" i="196" s="1"/>
  <c r="O311" i="196"/>
  <c r="O384" i="196" s="1"/>
  <c r="O388" i="196" s="1"/>
  <c r="O395" i="196" s="1"/>
  <c r="O400" i="196" s="1"/>
  <c r="AK422" i="196"/>
  <c r="AK426" i="196" s="1"/>
  <c r="AD311" i="196"/>
  <c r="AD384" i="196" s="1"/>
  <c r="AD388" i="196" s="1"/>
  <c r="AD395" i="196" s="1"/>
  <c r="AM422" i="196"/>
  <c r="AM426" i="196" s="1"/>
  <c r="AB422" i="196"/>
  <c r="AB426" i="196" s="1"/>
  <c r="AI422" i="196"/>
  <c r="AI426" i="196" s="1"/>
  <c r="V343" i="196"/>
  <c r="V385" i="196" s="1"/>
  <c r="Z340" i="196"/>
  <c r="M311" i="196"/>
  <c r="M384" i="196" s="1"/>
  <c r="M388" i="196" s="1"/>
  <c r="M395" i="196" s="1"/>
  <c r="Z311" i="196"/>
  <c r="Z384" i="196" s="1"/>
  <c r="Z341" i="196"/>
  <c r="AL422" i="196"/>
  <c r="AL426" i="196" s="1"/>
  <c r="K422" i="196"/>
  <c r="K426" i="196" s="1"/>
  <c r="AA392" i="196"/>
  <c r="AA341" i="196"/>
  <c r="AA340" i="196"/>
  <c r="R422" i="196"/>
  <c r="R426" i="196" s="1"/>
  <c r="J388" i="196"/>
  <c r="J395" i="196" s="1"/>
  <c r="J399" i="196" s="1"/>
  <c r="Q422" i="196"/>
  <c r="Q426" i="196" s="1"/>
  <c r="AG388" i="196"/>
  <c r="AG395" i="196" s="1"/>
  <c r="AG399" i="196" s="1"/>
  <c r="O399" i="196"/>
  <c r="M25" i="106"/>
  <c r="N32" i="106"/>
  <c r="L38" i="106"/>
  <c r="N40" i="106"/>
  <c r="J36" i="106"/>
  <c r="M47" i="106"/>
  <c r="O43" i="106"/>
  <c r="N41" i="106"/>
  <c r="M22" i="106"/>
  <c r="J28" i="106"/>
  <c r="L43" i="106"/>
  <c r="N30" i="106"/>
  <c r="N44" i="106"/>
  <c r="K21" i="106"/>
  <c r="P25" i="106"/>
  <c r="K23" i="106"/>
  <c r="P30" i="106"/>
  <c r="N49" i="106"/>
  <c r="K19" i="106"/>
  <c r="N48" i="106"/>
  <c r="L41" i="106"/>
  <c r="L30" i="106"/>
  <c r="M30" i="106"/>
  <c r="J39" i="106"/>
  <c r="P46" i="106"/>
  <c r="P22" i="106"/>
  <c r="P42" i="106"/>
  <c r="M37" i="106"/>
  <c r="L47" i="106"/>
  <c r="K45" i="106"/>
  <c r="M43" i="106"/>
  <c r="O20" i="106"/>
  <c r="N37" i="106"/>
  <c r="L31" i="106"/>
  <c r="J45" i="106"/>
  <c r="L21" i="106"/>
  <c r="O45" i="106"/>
  <c r="P34" i="106"/>
  <c r="J21" i="106"/>
  <c r="O26" i="106"/>
  <c r="N42" i="106"/>
  <c r="N34" i="106"/>
  <c r="N35" i="106"/>
  <c r="J40" i="106"/>
  <c r="M18" i="106"/>
  <c r="L29" i="106"/>
  <c r="L39" i="106"/>
  <c r="M21" i="106"/>
  <c r="K46" i="106"/>
  <c r="O30" i="106"/>
  <c r="K31" i="106"/>
  <c r="K43" i="106"/>
  <c r="P45" i="106"/>
  <c r="M28" i="106"/>
  <c r="O27" i="106"/>
  <c r="O40" i="106"/>
  <c r="L19" i="106"/>
  <c r="P20" i="106"/>
  <c r="L34" i="106"/>
  <c r="P23" i="106"/>
  <c r="J42" i="106"/>
  <c r="J34" i="106"/>
  <c r="L33" i="106"/>
  <c r="P19" i="106"/>
  <c r="J46" i="106"/>
  <c r="P21" i="106"/>
  <c r="M48" i="106"/>
  <c r="P32" i="106"/>
  <c r="N23" i="106"/>
  <c r="L27" i="106"/>
  <c r="M32" i="106"/>
  <c r="K28" i="106"/>
  <c r="N47" i="106"/>
  <c r="O19" i="106"/>
  <c r="O41" i="106"/>
  <c r="O42" i="106"/>
  <c r="O48" i="106"/>
  <c r="L32" i="106"/>
  <c r="O21" i="106"/>
  <c r="M34" i="106"/>
  <c r="O37" i="106"/>
  <c r="N22" i="106"/>
  <c r="K40" i="106"/>
  <c r="O34" i="106"/>
  <c r="K48" i="106"/>
  <c r="J47" i="106"/>
  <c r="L48" i="106"/>
  <c r="P31" i="106"/>
  <c r="P43" i="106"/>
  <c r="K30" i="106"/>
  <c r="O39" i="106"/>
  <c r="J27" i="106"/>
  <c r="O22" i="106"/>
  <c r="K49" i="106"/>
  <c r="K37" i="106"/>
  <c r="N29" i="106"/>
  <c r="M31" i="106"/>
  <c r="L40" i="106"/>
  <c r="M33" i="106"/>
  <c r="K42" i="106"/>
  <c r="P49" i="106"/>
  <c r="P39" i="106"/>
  <c r="K22" i="106"/>
  <c r="L25" i="106"/>
  <c r="P27" i="106"/>
  <c r="M19" i="106"/>
  <c r="J26" i="106"/>
  <c r="J19" i="106"/>
  <c r="O33" i="106"/>
  <c r="J18" i="106"/>
  <c r="K26" i="106"/>
  <c r="O31" i="106"/>
  <c r="P18" i="106"/>
  <c r="P29" i="106"/>
  <c r="N43" i="106"/>
  <c r="K35" i="106"/>
  <c r="L20" i="106"/>
  <c r="N38" i="106"/>
  <c r="J20" i="106"/>
  <c r="L22" i="106"/>
  <c r="O28" i="106"/>
  <c r="P47" i="106"/>
  <c r="M23" i="106"/>
  <c r="J37" i="106"/>
  <c r="J31" i="106"/>
  <c r="J33" i="106"/>
  <c r="L46" i="106"/>
  <c r="N28" i="106"/>
  <c r="J49" i="106"/>
  <c r="L45" i="106"/>
  <c r="N31" i="106"/>
  <c r="P26" i="106"/>
  <c r="J30" i="106"/>
  <c r="L35" i="106"/>
  <c r="M36" i="106"/>
  <c r="J29" i="106"/>
  <c r="P37" i="106"/>
  <c r="K20" i="106"/>
  <c r="O36" i="106"/>
  <c r="O23" i="106"/>
  <c r="K41" i="106"/>
  <c r="N24" i="106"/>
  <c r="K34" i="106"/>
  <c r="K18" i="106"/>
  <c r="P48" i="106"/>
  <c r="J48" i="106"/>
  <c r="P36" i="106"/>
  <c r="N18" i="106"/>
  <c r="M46" i="106"/>
  <c r="J23" i="106"/>
  <c r="J38" i="106"/>
  <c r="P41" i="106"/>
  <c r="P44" i="106"/>
  <c r="N27" i="106"/>
  <c r="N33" i="106"/>
  <c r="N45" i="106"/>
  <c r="M38" i="106"/>
  <c r="O32" i="106"/>
  <c r="L28" i="106"/>
  <c r="M42" i="106"/>
  <c r="K44" i="106"/>
  <c r="P24" i="106"/>
  <c r="L37" i="106"/>
  <c r="L42" i="106"/>
  <c r="K32" i="106"/>
  <c r="J24" i="106"/>
  <c r="N26" i="106"/>
  <c r="K24" i="106"/>
  <c r="M44" i="106"/>
  <c r="P33" i="106"/>
  <c r="K29" i="106"/>
  <c r="K33" i="106"/>
  <c r="K38" i="106"/>
  <c r="M49" i="106"/>
  <c r="L18" i="106"/>
  <c r="M26" i="106"/>
  <c r="K36" i="106"/>
  <c r="P38" i="106"/>
  <c r="P28" i="106"/>
  <c r="M39" i="106"/>
  <c r="K39" i="106"/>
  <c r="O44" i="106"/>
  <c r="L23" i="106"/>
  <c r="K47" i="106"/>
  <c r="N39" i="106"/>
  <c r="J41" i="106"/>
  <c r="K25" i="106"/>
  <c r="L26" i="106"/>
  <c r="O46" i="106"/>
  <c r="N20" i="106"/>
  <c r="M41" i="106"/>
  <c r="J43" i="106"/>
  <c r="J25" i="106"/>
  <c r="L49" i="106"/>
  <c r="O18" i="106"/>
  <c r="O35" i="106"/>
  <c r="L24" i="106"/>
  <c r="K27" i="106"/>
  <c r="N21" i="106"/>
  <c r="M35" i="106"/>
  <c r="M45" i="106"/>
  <c r="O49" i="106"/>
  <c r="O38" i="106"/>
  <c r="M29" i="106"/>
  <c r="N46" i="106"/>
  <c r="N19" i="106"/>
  <c r="M27" i="106"/>
  <c r="J32" i="106"/>
  <c r="M40" i="106"/>
  <c r="J35" i="106"/>
  <c r="O25" i="106"/>
  <c r="O24" i="106"/>
  <c r="M24" i="106"/>
  <c r="J44" i="106"/>
  <c r="O47" i="106"/>
  <c r="M20" i="106"/>
  <c r="O29" i="106"/>
  <c r="P35" i="106"/>
  <c r="N36" i="106"/>
  <c r="J22" i="106"/>
  <c r="L44" i="106"/>
  <c r="P40" i="106"/>
  <c r="N25" i="106"/>
  <c r="L36" i="106"/>
  <c r="H428" i="196"/>
  <c r="H105" i="198"/>
  <c r="H112" i="198" s="1"/>
  <c r="J112" i="198"/>
  <c r="J141" i="198" s="1"/>
  <c r="J52" i="107" s="1" a="1"/>
  <c r="K302" i="196"/>
  <c r="T391" i="196"/>
  <c r="T308" i="196"/>
  <c r="T307" i="196"/>
  <c r="T309" i="196"/>
  <c r="V391" i="196"/>
  <c r="V308" i="196"/>
  <c r="V307" i="196"/>
  <c r="V309" i="196"/>
  <c r="N91" i="106"/>
  <c r="M87" i="106"/>
  <c r="K104" i="106"/>
  <c r="J112" i="106"/>
  <c r="P117" i="106"/>
  <c r="J109" i="106"/>
  <c r="M88" i="106"/>
  <c r="M109" i="106"/>
  <c r="L98" i="106"/>
  <c r="P98" i="106"/>
  <c r="O113" i="106"/>
  <c r="J90" i="106"/>
  <c r="N94" i="106"/>
  <c r="M98" i="106"/>
  <c r="J93" i="106"/>
  <c r="L88" i="106"/>
  <c r="L105" i="106"/>
  <c r="J88" i="106"/>
  <c r="M93" i="106"/>
  <c r="O88" i="106"/>
  <c r="L111" i="106"/>
  <c r="O114" i="106"/>
  <c r="P109" i="106"/>
  <c r="O86" i="106"/>
  <c r="L90" i="106"/>
  <c r="N98" i="106"/>
  <c r="K117" i="106"/>
  <c r="L114" i="106"/>
  <c r="K100" i="106"/>
  <c r="J96" i="106"/>
  <c r="P88" i="106"/>
  <c r="P110" i="106"/>
  <c r="K109" i="106"/>
  <c r="O101" i="106"/>
  <c r="K96" i="106"/>
  <c r="P114" i="106"/>
  <c r="K113" i="106"/>
  <c r="K110" i="106"/>
  <c r="M94" i="106"/>
  <c r="L112" i="106"/>
  <c r="J114" i="106"/>
  <c r="P87" i="106"/>
  <c r="P95" i="106"/>
  <c r="L108" i="106"/>
  <c r="P112" i="106"/>
  <c r="J97" i="106"/>
  <c r="P104" i="106"/>
  <c r="J94" i="106"/>
  <c r="M105" i="106"/>
  <c r="O90" i="106"/>
  <c r="N116" i="106"/>
  <c r="K112" i="106"/>
  <c r="K90" i="106"/>
  <c r="O104" i="106"/>
  <c r="J110" i="106"/>
  <c r="J89" i="106"/>
  <c r="M96" i="106"/>
  <c r="K101" i="106"/>
  <c r="M86" i="106"/>
  <c r="L91" i="106"/>
  <c r="N86" i="106"/>
  <c r="M116" i="106"/>
  <c r="P92" i="106"/>
  <c r="M115" i="106"/>
  <c r="L110" i="106"/>
  <c r="J113" i="106"/>
  <c r="N110" i="106"/>
  <c r="M101" i="106"/>
  <c r="N93" i="106"/>
  <c r="O89" i="106"/>
  <c r="K88" i="106"/>
  <c r="N115" i="106"/>
  <c r="L99" i="106"/>
  <c r="M111" i="106"/>
  <c r="L116" i="106"/>
  <c r="P101" i="106"/>
  <c r="L87" i="106"/>
  <c r="N117" i="106"/>
  <c r="K97" i="106"/>
  <c r="N108" i="106"/>
  <c r="K87" i="106"/>
  <c r="J115" i="106"/>
  <c r="O106" i="106"/>
  <c r="M90" i="106"/>
  <c r="M99" i="106"/>
  <c r="M113" i="106"/>
  <c r="M92" i="106"/>
  <c r="O117" i="106"/>
  <c r="M104" i="106"/>
  <c r="N106" i="106"/>
  <c r="M108" i="106"/>
  <c r="L104" i="106"/>
  <c r="O87" i="106"/>
  <c r="N107" i="106"/>
  <c r="P102" i="106"/>
  <c r="K115" i="106"/>
  <c r="K106" i="106"/>
  <c r="N89" i="106"/>
  <c r="J87" i="106"/>
  <c r="J103" i="106"/>
  <c r="O94" i="106"/>
  <c r="N90" i="106"/>
  <c r="L101" i="106"/>
  <c r="P94" i="106"/>
  <c r="J101" i="106"/>
  <c r="J95" i="106"/>
  <c r="L89" i="106"/>
  <c r="O95" i="106"/>
  <c r="N104" i="106"/>
  <c r="N111" i="106"/>
  <c r="J107" i="106"/>
  <c r="P91" i="106"/>
  <c r="K114" i="106"/>
  <c r="O98" i="106"/>
  <c r="L103" i="106"/>
  <c r="P93" i="106"/>
  <c r="P89" i="106"/>
  <c r="L95" i="106"/>
  <c r="P90" i="106"/>
  <c r="N92" i="106"/>
  <c r="K93" i="106"/>
  <c r="N97" i="106"/>
  <c r="K89" i="106"/>
  <c r="O100" i="106"/>
  <c r="M110" i="106"/>
  <c r="N105" i="106"/>
  <c r="M117" i="106"/>
  <c r="O97" i="106"/>
  <c r="O116" i="106"/>
  <c r="J102" i="106"/>
  <c r="L102" i="106"/>
  <c r="J98" i="106"/>
  <c r="J91" i="106"/>
  <c r="J105" i="106"/>
  <c r="L109" i="106"/>
  <c r="L115" i="106"/>
  <c r="P99" i="106"/>
  <c r="N100" i="106"/>
  <c r="M95" i="106"/>
  <c r="J99" i="106"/>
  <c r="M97" i="106"/>
  <c r="N87" i="106"/>
  <c r="L117" i="106"/>
  <c r="M106" i="106"/>
  <c r="J116" i="106"/>
  <c r="O93" i="106"/>
  <c r="P100" i="106"/>
  <c r="N95" i="106"/>
  <c r="O108" i="106"/>
  <c r="N113" i="106"/>
  <c r="N109" i="106"/>
  <c r="M91" i="106"/>
  <c r="J104" i="106"/>
  <c r="L86" i="106"/>
  <c r="O103" i="106"/>
  <c r="N88" i="106"/>
  <c r="P108" i="106"/>
  <c r="K108" i="106"/>
  <c r="L94" i="106"/>
  <c r="P115" i="106"/>
  <c r="P106" i="106"/>
  <c r="P103" i="106"/>
  <c r="M114" i="106"/>
  <c r="P105" i="106"/>
  <c r="O112" i="106"/>
  <c r="P96" i="106"/>
  <c r="O96" i="106"/>
  <c r="J92" i="106"/>
  <c r="K105" i="106"/>
  <c r="K95" i="106"/>
  <c r="L92" i="106"/>
  <c r="O110" i="106"/>
  <c r="L100" i="106"/>
  <c r="P113" i="106"/>
  <c r="M112" i="106"/>
  <c r="O115" i="106"/>
  <c r="K103" i="106"/>
  <c r="P97" i="106"/>
  <c r="O92" i="106"/>
  <c r="K94" i="106"/>
  <c r="J108" i="106"/>
  <c r="L93" i="106"/>
  <c r="O91" i="106"/>
  <c r="K99" i="106"/>
  <c r="K102" i="106"/>
  <c r="M100" i="106"/>
  <c r="P116" i="106"/>
  <c r="M102" i="106"/>
  <c r="L96" i="106"/>
  <c r="J106" i="106"/>
  <c r="K91" i="106"/>
  <c r="L106" i="106"/>
  <c r="J100" i="106"/>
  <c r="P111" i="106"/>
  <c r="O107" i="106"/>
  <c r="N101" i="106"/>
  <c r="K98" i="106"/>
  <c r="K111" i="106"/>
  <c r="N112" i="106"/>
  <c r="O109" i="106"/>
  <c r="L113" i="106"/>
  <c r="K107" i="106"/>
  <c r="O99" i="106"/>
  <c r="L97" i="106"/>
  <c r="J111" i="106"/>
  <c r="K86" i="106"/>
  <c r="M107" i="106"/>
  <c r="N96" i="106"/>
  <c r="O111" i="106"/>
  <c r="K92" i="106"/>
  <c r="L107" i="106"/>
  <c r="M103" i="106"/>
  <c r="N102" i="106"/>
  <c r="N99" i="106"/>
  <c r="P86" i="106"/>
  <c r="J86" i="106"/>
  <c r="K116" i="106"/>
  <c r="N103" i="106"/>
  <c r="N114" i="106"/>
  <c r="J117" i="106"/>
  <c r="O105" i="106"/>
  <c r="P107" i="106"/>
  <c r="M89" i="106"/>
  <c r="O102" i="106"/>
  <c r="U391" i="196"/>
  <c r="U308" i="196"/>
  <c r="U309" i="196"/>
  <c r="U307" i="196"/>
  <c r="AA311" i="196"/>
  <c r="AA384" i="196" s="1"/>
  <c r="H115" i="198"/>
  <c r="H122" i="198" s="1"/>
  <c r="J122" i="198"/>
  <c r="J142" i="198" s="1"/>
  <c r="J86" i="107" s="1" a="1"/>
  <c r="AE399" i="196"/>
  <c r="AE400" i="196"/>
  <c r="AE398" i="196"/>
  <c r="AC311" i="196"/>
  <c r="AC384" i="196" s="1"/>
  <c r="AC388" i="196" s="1"/>
  <c r="AC395" i="196" s="1"/>
  <c r="H95" i="198"/>
  <c r="H102" i="198" s="1"/>
  <c r="J102" i="198"/>
  <c r="J140" i="198" s="1"/>
  <c r="J18" i="107" s="1" a="1"/>
  <c r="L67" i="106"/>
  <c r="N69" i="106"/>
  <c r="L58" i="106"/>
  <c r="M69" i="106"/>
  <c r="L62" i="106"/>
  <c r="O70" i="106"/>
  <c r="P57" i="106"/>
  <c r="J79" i="106"/>
  <c r="M71" i="106"/>
  <c r="M78" i="106"/>
  <c r="J73" i="106"/>
  <c r="N55" i="106"/>
  <c r="N76" i="106"/>
  <c r="M53" i="106"/>
  <c r="N82" i="106"/>
  <c r="M59" i="106"/>
  <c r="J54" i="106"/>
  <c r="L56" i="106"/>
  <c r="N56" i="106"/>
  <c r="J76" i="106"/>
  <c r="P55" i="106"/>
  <c r="O59" i="106"/>
  <c r="M56" i="106"/>
  <c r="O75" i="106"/>
  <c r="K61" i="106"/>
  <c r="O64" i="106"/>
  <c r="N59" i="106"/>
  <c r="J60" i="106"/>
  <c r="N65" i="106"/>
  <c r="J53" i="106"/>
  <c r="J64" i="106"/>
  <c r="K65" i="106"/>
  <c r="N81" i="106"/>
  <c r="L73" i="106"/>
  <c r="J62" i="106"/>
  <c r="N52" i="106"/>
  <c r="M64" i="106"/>
  <c r="L74" i="106"/>
  <c r="K74" i="106"/>
  <c r="J71" i="106"/>
  <c r="N75" i="106"/>
  <c r="N83" i="106"/>
  <c r="K59" i="106"/>
  <c r="N60" i="106"/>
  <c r="O55" i="106"/>
  <c r="L68" i="106"/>
  <c r="L57" i="106"/>
  <c r="O71" i="106"/>
  <c r="J57" i="106"/>
  <c r="M70" i="106"/>
  <c r="P61" i="106"/>
  <c r="N72" i="106"/>
  <c r="L52" i="106"/>
  <c r="L60" i="106"/>
  <c r="K55" i="106"/>
  <c r="O73" i="106"/>
  <c r="L76" i="106"/>
  <c r="P56" i="106"/>
  <c r="M57" i="106"/>
  <c r="M55" i="106"/>
  <c r="L61" i="106"/>
  <c r="K54" i="106"/>
  <c r="P74" i="106"/>
  <c r="K79" i="106"/>
  <c r="P66" i="106"/>
  <c r="M62" i="106"/>
  <c r="N74" i="106"/>
  <c r="O65" i="106"/>
  <c r="P54" i="106"/>
  <c r="K58" i="106"/>
  <c r="N63" i="106"/>
  <c r="O77" i="106"/>
  <c r="N64" i="106"/>
  <c r="P68" i="106"/>
  <c r="O82" i="106"/>
  <c r="K57" i="106"/>
  <c r="P62" i="106"/>
  <c r="L63" i="106"/>
  <c r="P73" i="106"/>
  <c r="O74" i="106"/>
  <c r="K56" i="106"/>
  <c r="N53" i="106"/>
  <c r="J52" i="106"/>
  <c r="K77" i="106"/>
  <c r="O63" i="106"/>
  <c r="J74" i="106"/>
  <c r="L59" i="106"/>
  <c r="J68" i="106"/>
  <c r="K62" i="106"/>
  <c r="N62" i="106"/>
  <c r="L71" i="106"/>
  <c r="P79" i="106"/>
  <c r="L53" i="106"/>
  <c r="J75" i="106"/>
  <c r="K83" i="106"/>
  <c r="O79" i="106"/>
  <c r="O56" i="106"/>
  <c r="P76" i="106"/>
  <c r="L83" i="106"/>
  <c r="P67" i="106"/>
  <c r="M65" i="106"/>
  <c r="K70" i="106"/>
  <c r="P72" i="106"/>
  <c r="L80" i="106"/>
  <c r="K64" i="106"/>
  <c r="P52" i="106"/>
  <c r="P83" i="106"/>
  <c r="K75" i="106"/>
  <c r="J58" i="106"/>
  <c r="P69" i="106"/>
  <c r="L66" i="106"/>
  <c r="K76" i="106"/>
  <c r="M60" i="106"/>
  <c r="P75" i="106"/>
  <c r="J63" i="106"/>
  <c r="N77" i="106"/>
  <c r="L64" i="106"/>
  <c r="J56" i="106"/>
  <c r="K53" i="106"/>
  <c r="J55" i="106"/>
  <c r="L72" i="106"/>
  <c r="K71" i="106"/>
  <c r="J69" i="106"/>
  <c r="J59" i="106"/>
  <c r="O53" i="106"/>
  <c r="J70" i="106"/>
  <c r="L77" i="106"/>
  <c r="L55" i="106"/>
  <c r="K82" i="106"/>
  <c r="J67" i="106"/>
  <c r="P82" i="106"/>
  <c r="P64" i="106"/>
  <c r="N57" i="106"/>
  <c r="O52" i="106"/>
  <c r="J81" i="106"/>
  <c r="K73" i="106"/>
  <c r="K60" i="106"/>
  <c r="N80" i="106"/>
  <c r="K68" i="106"/>
  <c r="O72" i="106"/>
  <c r="L78" i="106"/>
  <c r="M67" i="106"/>
  <c r="P71" i="106"/>
  <c r="M79" i="106"/>
  <c r="M77" i="106"/>
  <c r="O58" i="106"/>
  <c r="J78" i="106"/>
  <c r="P77" i="106"/>
  <c r="P63" i="106"/>
  <c r="N66" i="106"/>
  <c r="O60" i="106"/>
  <c r="M73" i="106"/>
  <c r="L65" i="106"/>
  <c r="J77" i="106"/>
  <c r="L69" i="106"/>
  <c r="N61" i="106"/>
  <c r="P81" i="106"/>
  <c r="M76" i="106"/>
  <c r="O78" i="106"/>
  <c r="P59" i="106"/>
  <c r="O68" i="106"/>
  <c r="K81" i="106"/>
  <c r="M61" i="106"/>
  <c r="L54" i="106"/>
  <c r="M52" i="106"/>
  <c r="O61" i="106"/>
  <c r="M82" i="106"/>
  <c r="M66" i="106"/>
  <c r="K67" i="106"/>
  <c r="O62" i="106"/>
  <c r="M68" i="106"/>
  <c r="N79" i="106"/>
  <c r="N68" i="106"/>
  <c r="J72" i="106"/>
  <c r="K80" i="106"/>
  <c r="O76" i="106"/>
  <c r="K52" i="106"/>
  <c r="P58" i="106"/>
  <c r="J61" i="106"/>
  <c r="K72" i="106"/>
  <c r="J66" i="106"/>
  <c r="N70" i="106"/>
  <c r="J83" i="106"/>
  <c r="N54" i="106"/>
  <c r="L79" i="106"/>
  <c r="M81" i="106"/>
  <c r="M63" i="106"/>
  <c r="L82" i="106"/>
  <c r="L70" i="106"/>
  <c r="K63" i="106"/>
  <c r="L81" i="106"/>
  <c r="J82" i="106"/>
  <c r="K69" i="106"/>
  <c r="N67" i="106"/>
  <c r="M83" i="106"/>
  <c r="M72" i="106"/>
  <c r="M58" i="106"/>
  <c r="P80" i="106"/>
  <c r="L75" i="106"/>
  <c r="P60" i="106"/>
  <c r="N73" i="106"/>
  <c r="N71" i="106"/>
  <c r="O81" i="106"/>
  <c r="O66" i="106"/>
  <c r="M75" i="106"/>
  <c r="P53" i="106"/>
  <c r="M54" i="106"/>
  <c r="K78" i="106"/>
  <c r="O83" i="106"/>
  <c r="P65" i="106"/>
  <c r="O57" i="106"/>
  <c r="K66" i="106"/>
  <c r="N58" i="106"/>
  <c r="O54" i="106"/>
  <c r="N78" i="106"/>
  <c r="M74" i="106"/>
  <c r="J80" i="106"/>
  <c r="O69" i="106"/>
  <c r="O67" i="106"/>
  <c r="O80" i="106"/>
  <c r="M80" i="106"/>
  <c r="J65" i="106"/>
  <c r="P78" i="106"/>
  <c r="P70" i="106"/>
  <c r="J57" i="55"/>
  <c r="A4" i="197"/>
  <c r="M398" i="196"/>
  <c r="M399" i="196"/>
  <c r="M400" i="196"/>
  <c r="AF398" i="196" l="1"/>
  <c r="AF400" i="196"/>
  <c r="AF399" i="196"/>
  <c r="N398" i="196"/>
  <c r="N399" i="196"/>
  <c r="S388" i="196"/>
  <c r="S395" i="196" s="1"/>
  <c r="S399" i="196" s="1"/>
  <c r="AD398" i="196"/>
  <c r="AD399" i="196"/>
  <c r="AD400" i="196"/>
  <c r="N400" i="196"/>
  <c r="Z343" i="196"/>
  <c r="Z385" i="196" s="1"/>
  <c r="Z388" i="196" s="1"/>
  <c r="Z395" i="196" s="1"/>
  <c r="Y399" i="196"/>
  <c r="Y400" i="196"/>
  <c r="O398" i="196"/>
  <c r="O422" i="196" s="1"/>
  <c r="O426" i="196" s="1"/>
  <c r="AG398" i="196"/>
  <c r="X399" i="196"/>
  <c r="Y398" i="196"/>
  <c r="X400" i="196"/>
  <c r="P399" i="196"/>
  <c r="P400" i="196"/>
  <c r="AA343" i="196"/>
  <c r="AA385" i="196" s="1"/>
  <c r="AA388" i="196" s="1"/>
  <c r="AA395" i="196" s="1"/>
  <c r="J398" i="196"/>
  <c r="J400" i="196"/>
  <c r="AG400" i="196"/>
  <c r="J57" i="107"/>
  <c r="J64" i="107"/>
  <c r="J81" i="107"/>
  <c r="J63" i="107"/>
  <c r="J60" i="107"/>
  <c r="J55" i="107"/>
  <c r="J66" i="107"/>
  <c r="J77" i="107"/>
  <c r="J62" i="107"/>
  <c r="J67" i="107"/>
  <c r="J71" i="107"/>
  <c r="J80" i="107"/>
  <c r="J79" i="107"/>
  <c r="J69" i="107"/>
  <c r="J59" i="107"/>
  <c r="J82" i="107"/>
  <c r="J65" i="107"/>
  <c r="J54" i="107"/>
  <c r="J53" i="107"/>
  <c r="J74" i="107"/>
  <c r="J75" i="107"/>
  <c r="J83" i="107"/>
  <c r="J61" i="107"/>
  <c r="J68" i="107"/>
  <c r="J78" i="107"/>
  <c r="J76" i="107"/>
  <c r="J56" i="107"/>
  <c r="J73" i="107"/>
  <c r="J58" i="107"/>
  <c r="J52" i="107"/>
  <c r="J70" i="107"/>
  <c r="J72" i="107"/>
  <c r="H641" i="106" a="1"/>
  <c r="H641" i="106" s="1"/>
  <c r="J34" i="107"/>
  <c r="J49" i="107"/>
  <c r="J48" i="107"/>
  <c r="J42" i="107"/>
  <c r="J30" i="107"/>
  <c r="J20" i="107"/>
  <c r="J23" i="107"/>
  <c r="J43" i="107"/>
  <c r="J44" i="107"/>
  <c r="J32" i="107"/>
  <c r="J29" i="107"/>
  <c r="J24" i="107"/>
  <c r="J38" i="107"/>
  <c r="J47" i="107"/>
  <c r="J37" i="107"/>
  <c r="J19" i="107"/>
  <c r="J18" i="107"/>
  <c r="J35" i="107"/>
  <c r="J40" i="107"/>
  <c r="J28" i="107"/>
  <c r="J46" i="107"/>
  <c r="J39" i="107"/>
  <c r="J22" i="107"/>
  <c r="J21" i="107"/>
  <c r="J33" i="107"/>
  <c r="J41" i="107"/>
  <c r="J27" i="107"/>
  <c r="J45" i="107"/>
  <c r="J26" i="107"/>
  <c r="J25" i="107"/>
  <c r="J31" i="107"/>
  <c r="J36" i="107"/>
  <c r="M422" i="196"/>
  <c r="M426" i="196" s="1"/>
  <c r="H132" i="198"/>
  <c r="H133" i="198" s="1"/>
  <c r="U311" i="196"/>
  <c r="U384" i="196" s="1"/>
  <c r="U388" i="196" s="1"/>
  <c r="U395" i="196" s="1"/>
  <c r="V311" i="196"/>
  <c r="V384" i="196" s="1"/>
  <c r="V388" i="196" s="1"/>
  <c r="V395" i="196" s="1"/>
  <c r="T311" i="196"/>
  <c r="AC400" i="196"/>
  <c r="AC398" i="196"/>
  <c r="AC399" i="196"/>
  <c r="J98" i="107"/>
  <c r="J93" i="107"/>
  <c r="J117" i="107"/>
  <c r="J104" i="107"/>
  <c r="J109" i="107"/>
  <c r="J91" i="107"/>
  <c r="J105" i="107"/>
  <c r="J114" i="107"/>
  <c r="J94" i="107"/>
  <c r="J102" i="107"/>
  <c r="J87" i="107"/>
  <c r="J95" i="107"/>
  <c r="J107" i="107"/>
  <c r="J99" i="107"/>
  <c r="J100" i="107"/>
  <c r="J113" i="107"/>
  <c r="J103" i="107"/>
  <c r="J88" i="107"/>
  <c r="J86" i="107"/>
  <c r="J106" i="107"/>
  <c r="J116" i="107"/>
  <c r="J101" i="107"/>
  <c r="J110" i="107"/>
  <c r="J115" i="107"/>
  <c r="J111" i="107"/>
  <c r="J112" i="107"/>
  <c r="J108" i="107"/>
  <c r="J90" i="107"/>
  <c r="J96" i="107"/>
  <c r="J89" i="107"/>
  <c r="J97" i="107"/>
  <c r="J92" i="107"/>
  <c r="AE422" i="196"/>
  <c r="AE426" i="196" s="1"/>
  <c r="AF422" i="196"/>
  <c r="AF426" i="196" s="1"/>
  <c r="N422" i="196" l="1"/>
  <c r="N426" i="196" s="1"/>
  <c r="X422" i="196"/>
  <c r="X426" i="196" s="1"/>
  <c r="AD422" i="196"/>
  <c r="AD426" i="196" s="1"/>
  <c r="S400" i="196"/>
  <c r="Z399" i="196"/>
  <c r="Z398" i="196"/>
  <c r="Z400" i="196"/>
  <c r="S398" i="196"/>
  <c r="S422" i="196" s="1"/>
  <c r="S426" i="196" s="1"/>
  <c r="Y422" i="196"/>
  <c r="Y426" i="196" s="1"/>
  <c r="J422" i="196"/>
  <c r="J426" i="196" s="1"/>
  <c r="P422" i="196"/>
  <c r="P426" i="196" s="1"/>
  <c r="AG422" i="196"/>
  <c r="AG426" i="196" s="1"/>
  <c r="AA399" i="196"/>
  <c r="AA398" i="196"/>
  <c r="AA400" i="196"/>
  <c r="T384" i="196"/>
  <c r="T388" i="196" s="1"/>
  <c r="T395" i="196" s="1"/>
  <c r="J59" i="55"/>
  <c r="A4" i="106"/>
  <c r="V398" i="196"/>
  <c r="V400" i="196"/>
  <c r="V399" i="196"/>
  <c r="H121" i="107" a="1"/>
  <c r="H121" i="107" s="1"/>
  <c r="AC422" i="196"/>
  <c r="AC426" i="196" s="1"/>
  <c r="U400" i="196"/>
  <c r="U399" i="196"/>
  <c r="U398" i="196"/>
  <c r="H135" i="198"/>
  <c r="H146" i="198" s="1" a="1"/>
  <c r="H146" i="198" s="1"/>
  <c r="H136" i="198"/>
  <c r="Z422" i="196" l="1"/>
  <c r="Z426" i="196" s="1"/>
  <c r="AA422" i="196"/>
  <c r="AA426" i="196" s="1"/>
  <c r="J60" i="55"/>
  <c r="A4" i="107"/>
  <c r="U422" i="196"/>
  <c r="U426" i="196" s="1"/>
  <c r="J58" i="55"/>
  <c r="A4" i="198"/>
  <c r="V422" i="196"/>
  <c r="V426" i="196" s="1"/>
  <c r="T398" i="196"/>
  <c r="T399" i="196"/>
  <c r="T400" i="196"/>
  <c r="T422" i="196" l="1"/>
  <c r="H430" i="196" a="1"/>
  <c r="H430" i="196" s="1"/>
  <c r="T426" i="196" l="1"/>
  <c r="H426" i="196" s="1"/>
  <c r="H432" i="196" s="1"/>
  <c r="H422" i="196"/>
  <c r="A4" i="196" l="1"/>
  <c r="J56" i="55"/>
  <c r="J61" i="55" s="1"/>
  <c r="A4" i="55" s="1"/>
</calcChain>
</file>

<file path=xl/sharedStrings.xml><?xml version="1.0" encoding="utf-8"?>
<sst xmlns="http://schemas.openxmlformats.org/spreadsheetml/2006/main" count="15208" uniqueCount="1261">
  <si>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</si>
  <si>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</si>
  <si>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</si>
  <si>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</si>
  <si>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</si>
  <si>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</si>
  <si>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</si>
  <si>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</si>
  <si>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</si>
  <si>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</si>
  <si>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</si>
  <si>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</si>
  <si>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</si>
  <si>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</si>
  <si>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</si>
  <si>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</si>
  <si>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</si>
  <si>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</si>
  <si>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</si>
  <si>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</si>
  <si>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</si>
  <si>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</si>
  <si>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</si>
  <si>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</si>
  <si>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</si>
  <si>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</si>
  <si>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</si>
  <si>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</si>
  <si>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</si>
  <si>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</si>
  <si>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</si>
  <si>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</si>
  <si>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</si>
  <si>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</si>
  <si>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</si>
  <si>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</si>
  <si>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</si>
  <si>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</si>
  <si>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</si>
  <si>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</si>
  <si>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</si>
  <si>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</si>
  <si>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</si>
  <si>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</si>
  <si>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</si>
  <si>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</si>
  <si>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</si>
  <si>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</si>
  <si>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</si>
  <si>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</si>
  <si>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</si>
  <si>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</si>
  <si>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</si>
  <si>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</si>
  <si>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</si>
  <si>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</si>
  <si>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</si>
  <si>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</si>
  <si>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</si>
  <si>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</si>
  <si>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</si>
  <si>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</si>
  <si>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</si>
  <si>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</si>
  <si>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</si>
  <si>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</si>
  <si>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</si>
  <si>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</si>
  <si>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</si>
  <si>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</si>
  <si>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</si>
  <si>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</si>
  <si>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</si>
  <si>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</si>
  <si>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</si>
  <si>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</si>
  <si>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</si>
  <si>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</si>
  <si>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</si>
  <si>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</si>
  <si>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</si>
  <si>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</si>
  <si>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</si>
  <si>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</si>
  <si>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</si>
  <si>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</si>
  <si>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</si>
  <si>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</si>
  <si>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</si>
  <si>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</si>
  <si>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</si>
  <si>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</si>
  <si>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</si>
  <si>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</si>
  <si>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</si>
  <si>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</si>
  <si>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</si>
  <si>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</si>
  <si>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</si>
  <si>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</si>
  <si>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</si>
  <si>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</si>
  <si>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</si>
  <si>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</si>
  <si>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</si>
  <si>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</si>
  <si>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</si>
  <si>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</si>
  <si>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</si>
  <si>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</si>
  <si>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</si>
  <si>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</si>
  <si>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</si>
  <si>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</si>
  <si>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</si>
  <si>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</si>
  <si>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</si>
  <si>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</si>
  <si>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</si>
  <si>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</si>
  <si>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</si>
  <si>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</si>
  <si>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</si>
  <si>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</si>
  <si>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</si>
  <si>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</si>
  <si>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</si>
  <si>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</si>
  <si>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</si>
  <si>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</si>
  <si>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</si>
  <si>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</si>
  <si>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</si>
  <si>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</si>
  <si>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</si>
  <si>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</si>
  <si>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</si>
  <si>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</si>
  <si>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</si>
  <si>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</si>
  <si>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</si>
  <si>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</si>
  <si>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</si>
  <si>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</si>
  <si>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</si>
  <si>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</si>
  <si>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</si>
  <si>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</si>
  <si>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</si>
  <si>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</si>
  <si>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</si>
  <si>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</si>
  <si>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</si>
  <si>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</si>
  <si>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</si>
  <si>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</si>
  <si>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</si>
  <si>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</si>
  <si>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</si>
  <si>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</si>
  <si>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</si>
  <si>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</si>
  <si>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</si>
  <si>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</si>
  <si>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</si>
  <si>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</si>
  <si>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</si>
  <si>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</si>
  <si>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</si>
  <si>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</si>
  <si>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</si>
  <si>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</si>
  <si>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</si>
  <si>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</si>
  <si>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</si>
  <si>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</si>
  <si>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</si>
  <si>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</si>
  <si>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</si>
  <si>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</si>
  <si>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</si>
  <si>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</si>
  <si>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</si>
  <si>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</si>
  <si>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</si>
  <si>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</si>
  <si>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</si>
  <si>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</si>
  <si>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</si>
  <si>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</si>
  <si>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</si>
  <si>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</si>
  <si>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</si>
  <si>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</si>
  <si>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</si>
  <si>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</si>
  <si>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</si>
  <si>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</si>
  <si>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</si>
  <si>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</si>
  <si>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</si>
  <si>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</si>
  <si>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</si>
  <si>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</si>
  <si>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</si>
  <si>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</si>
  <si>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</si>
  <si>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</si>
  <si>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</si>
  <si>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</si>
  <si>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</si>
  <si>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</si>
  <si>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</si>
  <si>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</si>
  <si>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</si>
  <si>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</si>
  <si>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</si>
  <si>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</si>
  <si>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</si>
  <si>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</si>
  <si>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</si>
  <si>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</si>
  <si>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</si>
  <si>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</si>
  <si>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</si>
  <si>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</si>
  <si>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</si>
  <si>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</si>
  <si>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</si>
  <si>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</si>
  <si>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</si>
  <si>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</si>
  <si>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</si>
  <si>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</si>
  <si>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</si>
  <si>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</si>
  <si>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</si>
  <si>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</si>
  <si>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</si>
  <si>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</si>
  <si>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</si>
  <si>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</si>
  <si>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</si>
  <si>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</si>
  <si>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</si>
  <si>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</si>
  <si>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</si>
  <si>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</si>
  <si>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</si>
  <si>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</si>
  <si>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</si>
  <si>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</si>
  <si>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</si>
  <si>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</si>
  <si>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</si>
  <si>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</si>
  <si>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</si>
  <si>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</si>
  <si>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</si>
  <si>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</si>
  <si>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</si>
  <si>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</si>
  <si>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</si>
  <si>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</si>
  <si>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</si>
  <si>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</si>
  <si>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</si>
  <si>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</si>
  <si>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</si>
  <si>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</si>
  <si>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</si>
  <si>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</si>
  <si>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</si>
  <si>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</si>
  <si>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</si>
  <si>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</si>
  <si>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</si>
  <si>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</si>
  <si>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</si>
  <si>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</si>
  <si>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</si>
  <si>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</si>
  <si>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</si>
  <si>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</si>
  <si>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</si>
  <si>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</si>
  <si>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</si>
  <si>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</si>
  <si>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</si>
  <si>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</si>
  <si>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</si>
  <si>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</si>
  <si>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</si>
  <si>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</si>
  <si>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</si>
  <si>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</si>
  <si>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</si>
  <si>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</si>
  <si>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</si>
  <si>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</si>
  <si>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</si>
  <si>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</si>
  <si>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</si>
  <si>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</si>
  <si>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</si>
  <si>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</si>
  <si>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</si>
  <si>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</si>
  <si>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</si>
  <si>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</si>
  <si>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</si>
  <si>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</si>
  <si>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</si>
  <si>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</si>
  <si>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</si>
  <si>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</si>
  <si>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</si>
  <si>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</si>
  <si>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</si>
  <si>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</si>
  <si>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</si>
  <si>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</si>
  <si>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</si>
  <si>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</si>
  <si>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</si>
  <si>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</si>
  <si>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</si>
  <si>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</si>
  <si>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</si>
  <si>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</si>
  <si>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</si>
  <si>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</si>
  <si>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</si>
  <si>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</si>
  <si>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</si>
  <si>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</si>
  <si>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</si>
  <si>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</si>
  <si>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</si>
  <si>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</si>
  <si>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</si>
  <si>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</si>
  <si>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</si>
  <si>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</si>
  <si>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</si>
  <si>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</si>
  <si>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</si>
  <si>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</si>
  <si>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</si>
  <si>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</si>
  <si>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</si>
  <si>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</si>
  <si>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</si>
  <si>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</si>
  <si>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</si>
  <si>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</si>
  <si>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</si>
  <si>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</si>
  <si>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</si>
  <si>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</si>
  <si>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</si>
  <si>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</si>
  <si>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</si>
  <si>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</si>
  <si>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</si>
  <si>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</si>
  <si>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</si>
  <si>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</si>
  <si>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</si>
  <si>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</si>
  <si>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</si>
  <si>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</si>
  <si>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</si>
  <si>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</si>
  <si>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</si>
  <si>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</si>
  <si>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</si>
  <si>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</si>
  <si>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</si>
  <si>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</si>
  <si>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</si>
  <si>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</si>
  <si>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</si>
  <si>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</si>
  <si>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</si>
  <si>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</si>
  <si>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</si>
  <si>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</si>
  <si>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</si>
  <si>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</si>
  <si>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</si>
  <si>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</si>
  <si>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</si>
  <si>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</si>
  <si>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</si>
  <si>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</si>
  <si>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</si>
  <si>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</si>
  <si>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</si>
  <si>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</si>
  <si>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</si>
  <si>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</si>
  <si>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</si>
  <si>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</si>
  <si>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</si>
  <si>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</si>
  <si>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</si>
  <si>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</si>
  <si>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</si>
  <si>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</si>
  <si>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</si>
  <si>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</si>
  <si>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</si>
  <si>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Adder calculated in revenue matching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</si>
  <si>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</si>
  <si>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</si>
  <si>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</si>
  <si>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</si>
  <si>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</si>
  <si>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</si>
  <si>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</si>
  <si>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</si>
  <si>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</si>
  <si>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</si>
  <si>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</si>
  <si>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</si>
  <si>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</si>
  <si>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</si>
  <si>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</si>
  <si>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</si>
  <si>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</si>
  <si>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</si>
  <si>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</si>
  <si>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</si>
  <si>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</si>
  <si>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</si>
  <si>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</si>
  <si>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</si>
  <si>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</si>
  <si>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</si>
  <si>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</si>
  <si>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</si>
  <si>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</si>
  <si>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</si>
  <si>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</si>
  <si>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</si>
  <si>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</si>
  <si>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</si>
  <si>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</si>
  <si>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</si>
  <si>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</si>
  <si>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</si>
  <si>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</si>
  <si>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</si>
  <si>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</si>
  <si>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</si>
  <si>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</si>
  <si>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</si>
  <si>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</si>
  <si>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</si>
  <si>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</si>
  <si>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</si>
  <si>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</si>
  <si>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</si>
  <si>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</si>
  <si>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</si>
  <si>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</si>
  <si>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</si>
  <si>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</si>
  <si>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</si>
  <si>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</si>
  <si>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</si>
  <si>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</si>
  <si>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</si>
  <si>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</si>
  <si>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</si>
  <si>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</si>
  <si>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</si>
  <si>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</si>
  <si>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</si>
  <si>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</si>
  <si>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</si>
  <si>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</si>
  <si>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</si>
  <si>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</si>
  <si>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</si>
  <si>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</si>
  <si>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</si>
  <si>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</si>
  <si>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</si>
  <si>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</si>
  <si>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</si>
  <si>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</si>
  <si>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</si>
  <si>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</si>
  <si>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</si>
  <si>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</si>
  <si>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</si>
  <si>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</si>
  <si>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</si>
  <si>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</si>
  <si>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</si>
  <si>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</si>
  <si>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</si>
  <si>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</si>
  <si>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</si>
  <si>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</si>
  <si>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</si>
  <si>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</si>
  <si>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</si>
  <si>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</si>
  <si>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</si>
  <si>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</si>
  <si>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</si>
  <si>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</si>
  <si>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</si>
  <si>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</si>
  <si>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</si>
  <si>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</si>
  <si>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</si>
  <si>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</si>
  <si>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</si>
  <si>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</si>
  <si>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</si>
  <si>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</si>
  <si>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</si>
  <si>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</si>
  <si>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</si>
  <si>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</si>
  <si>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</si>
  <si>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</si>
  <si>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</si>
  <si>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</si>
  <si>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</si>
  <si>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</si>
  <si>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</si>
  <si>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</si>
  <si>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</si>
  <si>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</si>
  <si>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</si>
  <si>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</si>
  <si>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</si>
  <si>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</si>
  <si>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</si>
  <si>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</si>
  <si>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</si>
  <si>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</si>
  <si>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</si>
  <si>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</si>
  <si>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</si>
  <si>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</si>
  <si>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</si>
  <si>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</si>
  <si>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</si>
  <si>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</si>
  <si>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</si>
  <si>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</si>
  <si>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</si>
  <si>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</si>
  <si>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</si>
  <si>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</si>
  <si>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</si>
  <si>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</si>
  <si>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</si>
  <si>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</si>
  <si>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</si>
  <si>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</si>
  <si>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</si>
  <si>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</si>
  <si>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</si>
  <si>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</si>
  <si>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</si>
  <si>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</si>
  <si>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</si>
  <si>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</si>
  <si>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</si>
  <si>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</si>
  <si>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</si>
  <si>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</si>
  <si>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</si>
  <si>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</si>
  <si>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</si>
  <si>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</si>
  <si>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</si>
  <si>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</si>
  <si>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</si>
  <si>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</si>
  <si>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</si>
  <si>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</si>
  <si>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</si>
  <si>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</si>
  <si>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</si>
  <si>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</si>
  <si>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</si>
  <si>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</si>
  <si>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</si>
  <si>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</si>
  <si>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</si>
  <si>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</si>
  <si>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</si>
  <si>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</si>
  <si>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</si>
  <si>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</si>
  <si>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</si>
  <si>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</si>
  <si>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</si>
  <si>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</si>
  <si>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</si>
  <si>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</si>
  <si>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</si>
  <si>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</si>
  <si>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</si>
  <si>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</si>
  <si>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</si>
  <si>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</si>
  <si>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</si>
  <si>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</si>
  <si>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</si>
  <si>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</si>
  <si>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</si>
  <si>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</si>
  <si>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</si>
  <si>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</si>
  <si>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</si>
  <si>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</si>
  <si>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</si>
  <si>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</si>
  <si>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</si>
  <si>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</si>
  <si>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</si>
  <si>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</si>
  <si>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</si>
  <si>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</si>
  <si>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</si>
  <si>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</si>
  <si>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</si>
  <si>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</si>
  <si>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</si>
  <si>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</si>
  <si>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</si>
  <si>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</si>
  <si>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</si>
  <si>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</si>
  <si>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</si>
  <si>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</si>
  <si>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</si>
  <si>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</si>
  <si>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</si>
  <si>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</si>
  <si>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</si>
  <si>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</si>
  <si>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</si>
  <si>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</si>
  <si>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</si>
  <si>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</si>
  <si>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</si>
  <si>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</si>
  <si>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</si>
  <si>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</si>
  <si>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</si>
  <si>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</si>
  <si>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</si>
  <si>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</si>
  <si>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</si>
  <si>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</si>
  <si>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</si>
  <si>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</si>
  <si>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</si>
  <si>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</si>
  <si>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</si>
  <si>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</si>
  <si>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</si>
  <si>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</si>
  <si>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</si>
  <si>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</si>
  <si>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</si>
  <si>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</si>
  <si>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</si>
  <si>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</si>
  <si>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</si>
  <si>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</si>
  <si>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</si>
  <si>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</si>
  <si>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</si>
  <si>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</si>
  <si>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</si>
  <si>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</si>
  <si>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</si>
  <si>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</si>
  <si>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</si>
  <si>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</si>
  <si>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</si>
  <si>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</si>
  <si>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</si>
  <si>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</si>
  <si>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</si>
  <si>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</si>
  <si>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</si>
  <si>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</si>
  <si>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</si>
  <si>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</si>
  <si>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</si>
  <si>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</si>
  <si>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</si>
  <si>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</si>
  <si>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</si>
  <si>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</si>
  <si>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</si>
  <si>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</si>
  <si>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</si>
  <si>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</si>
  <si>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</si>
  <si>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</si>
  <si>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</si>
  <si>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</si>
  <si>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</si>
  <si>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</si>
  <si>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</si>
  <si>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</si>
  <si>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</si>
  <si>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</si>
  <si>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</si>
  <si>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</si>
  <si>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</si>
  <si>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</si>
  <si>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</si>
  <si>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</si>
  <si>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</si>
  <si>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</si>
  <si>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</si>
  <si>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</si>
  <si>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</si>
  <si>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</si>
  <si>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</si>
  <si>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</si>
  <si>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</si>
  <si>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</si>
  <si>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</si>
  <si>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</si>
  <si>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</si>
  <si>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</si>
  <si>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</si>
  <si>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</si>
  <si>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</si>
  <si>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</si>
  <si>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</si>
  <si>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</si>
  <si>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</si>
  <si>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</si>
  <si>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</si>
  <si>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</si>
  <si>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</si>
  <si>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</si>
  <si>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</si>
  <si>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</si>
  <si>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</si>
  <si>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</si>
  <si>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</si>
  <si>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</si>
  <si>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</si>
  <si>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</si>
  <si>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</si>
  <si>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</si>
  <si>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</si>
  <si>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</si>
  <si>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</si>
  <si>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</si>
  <si>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</si>
  <si>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</si>
  <si>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</si>
  <si>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</si>
  <si>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</si>
  <si>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</si>
  <si>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</si>
  <si>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</si>
  <si>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</si>
  <si>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</si>
  <si>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</si>
  <si>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</si>
  <si>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</si>
  <si>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</si>
  <si>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</si>
  <si>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</si>
  <si>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</si>
  <si>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</si>
  <si>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</si>
  <si>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</si>
  <si>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</si>
  <si>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</si>
  <si>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</si>
  <si>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</si>
  <si>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</si>
  <si>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</si>
  <si>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</si>
  <si>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</si>
  <si>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</si>
  <si>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</si>
  <si>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</si>
  <si>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</si>
  <si>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</si>
  <si>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</si>
  <si>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</si>
  <si>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</si>
  <si>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</si>
  <si>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</si>
  <si>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</si>
  <si>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</si>
  <si>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</si>
  <si>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</si>
  <si>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</si>
  <si>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</si>
  <si>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</si>
  <si>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</si>
  <si>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</si>
  <si>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</si>
  <si>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</si>
  <si>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</si>
  <si>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</si>
  <si>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</si>
  <si>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</si>
  <si>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</si>
  <si>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</si>
  <si>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</si>
  <si>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</si>
  <si>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</si>
  <si>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</si>
  <si>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</si>
  <si>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</si>
  <si>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</si>
  <si>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</si>
  <si>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</si>
  <si>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</si>
  <si>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</si>
  <si>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</si>
  <si>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</si>
  <si>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</si>
  <si>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</si>
  <si>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</si>
  <si>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</si>
  <si>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</si>
  <si>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</si>
  <si>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</si>
  <si>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</si>
  <si>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</si>
  <si>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</si>
  <si>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</si>
  <si>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</si>
  <si>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</si>
  <si>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</si>
  <si>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</si>
  <si>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</si>
  <si>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</si>
  <si>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</si>
  <si>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</si>
  <si>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</si>
  <si>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</si>
  <si>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</si>
  <si>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</si>
  <si>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</si>
  <si>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</si>
  <si>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</si>
  <si>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</si>
  <si>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</si>
  <si>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</si>
  <si>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</si>
  <si>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</si>
  <si>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</si>
  <si>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</si>
  <si>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</si>
  <si>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</si>
  <si>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</si>
  <si>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</si>
  <si>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</si>
  <si>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</si>
  <si>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</si>
  <si>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</si>
  <si>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</si>
  <si>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</si>
  <si>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</si>
  <si>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</si>
  <si>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</si>
  <si>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</si>
  <si>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</si>
  <si>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</si>
  <si>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</si>
  <si>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</si>
  <si>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</si>
  <si>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</si>
  <si>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</si>
  <si>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</si>
  <si>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</si>
  <si>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</si>
  <si>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</si>
  <si>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</si>
  <si>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</si>
  <si>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</si>
  <si>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</si>
  <si>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</si>
  <si>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</si>
  <si>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</si>
  <si>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</si>
  <si>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</si>
  <si>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</si>
  <si>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</si>
  <si>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</si>
  <si>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</si>
  <si>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</si>
  <si>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</si>
  <si>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</si>
  <si>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</si>
  <si>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</si>
  <si>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</si>
  <si>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</si>
  <si>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</si>
  <si>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</si>
  <si>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</si>
  <si>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</si>
  <si>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</si>
  <si>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</si>
  <si>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</si>
  <si>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</si>
  <si>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</si>
  <si>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</si>
  <si>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</si>
  <si>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</si>
  <si>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</si>
  <si>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</si>
  <si>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</si>
  <si>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</si>
  <si>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</si>
  <si>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</si>
  <si>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</si>
  <si>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</si>
  <si>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</si>
  <si>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</si>
  <si>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</si>
  <si>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</si>
  <si>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</si>
  <si>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</si>
  <si>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</si>
  <si>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</si>
  <si>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</si>
  <si>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</si>
  <si>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</si>
  <si>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</si>
  <si>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</si>
  <si>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</si>
  <si>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</si>
  <si>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</si>
  <si>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</si>
  <si>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</si>
  <si>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</si>
  <si>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</si>
  <si>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</si>
  <si>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</si>
  <si>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</si>
  <si>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</si>
  <si>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</si>
  <si>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</si>
  <si>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</si>
  <si>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</si>
  <si>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</si>
  <si>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</si>
  <si>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</si>
  <si>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</si>
  <si>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</si>
  <si>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</si>
  <si>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</si>
  <si>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</si>
  <si>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</si>
  <si>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</si>
  <si>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</si>
  <si>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</si>
  <si>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</si>
  <si>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</si>
  <si>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</si>
  <si>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</si>
  <si>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</si>
  <si>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</si>
  <si>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</si>
  <si>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</si>
  <si>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</si>
  <si>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</si>
  <si>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</si>
  <si>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</si>
  <si>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</si>
  <si>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</si>
  <si>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</si>
  <si>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</si>
  <si>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</si>
  <si>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</si>
  <si>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</si>
  <si>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</si>
  <si>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</si>
  <si>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</si>
  <si>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</si>
  <si>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</si>
  <si>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</si>
  <si>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</si>
  <si>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</si>
  <si>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</si>
  <si>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</si>
  <si>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</si>
  <si>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</si>
  <si>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</si>
  <si>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</si>
  <si>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</si>
  <si>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</si>
  <si>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</si>
  <si>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</si>
  <si>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</si>
  <si>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</si>
  <si>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</si>
  <si>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</si>
  <si>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</si>
  <si>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</si>
  <si>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</si>
  <si>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</si>
  <si>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</si>
  <si>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</si>
  <si>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</si>
  <si>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</si>
  <si>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</si>
  <si>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</si>
  <si>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</si>
  <si>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</si>
  <si>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</si>
  <si>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</si>
  <si>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</si>
  <si>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</si>
  <si>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</si>
  <si>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</si>
  <si>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</si>
  <si>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</si>
  <si>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</si>
  <si>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</si>
  <si>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</si>
  <si>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</si>
  <si>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</si>
  <si>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</si>
  <si>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</si>
  <si>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</si>
  <si>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</si>
  <si>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</si>
  <si>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</si>
  <si>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</si>
  <si>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</si>
  <si>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</si>
  <si>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</si>
  <si>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</si>
  <si>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</si>
  <si>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</si>
  <si>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</si>
  <si>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</si>
  <si>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</si>
  <si>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</si>
  <si>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</si>
  <si>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</si>
  <si>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</si>
  <si>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</si>
  <si>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</si>
  <si>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</si>
  <si>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</si>
  <si>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</si>
  <si>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</si>
  <si>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</si>
  <si>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</si>
  <si>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</si>
  <si>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</si>
  <si>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</si>
  <si>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</si>
  <si>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</si>
  <si>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</si>
  <si>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</si>
  <si>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</si>
  <si>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</si>
  <si>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</si>
  <si>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</si>
  <si>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</si>
  <si>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</si>
  <si>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</si>
  <si>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</si>
  <si>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</si>
  <si>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</si>
  <si>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</si>
  <si>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</si>
  <si>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</si>
  <si>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</si>
  <si>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</si>
  <si>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</si>
  <si>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</si>
  <si>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</si>
  <si>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</si>
  <si>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</si>
  <si>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</si>
  <si>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</si>
  <si>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</si>
  <si>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</si>
  <si>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</si>
  <si>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</si>
  <si>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</si>
  <si>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</si>
  <si>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</si>
  <si>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</si>
  <si>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</si>
  <si>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</si>
  <si>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</si>
  <si>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</si>
  <si>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</si>
  <si>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</si>
  <si>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</si>
  <si>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</si>
  <si>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</si>
  <si>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</si>
  <si>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</si>
  <si>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</si>
  <si>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</si>
  <si>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</si>
  <si>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</si>
  <si>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</si>
  <si>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</si>
  <si>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</si>
  <si>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</si>
  <si>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</si>
  <si>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</si>
  <si>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</si>
  <si>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</si>
  <si>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</si>
  <si>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</si>
  <si>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</si>
  <si>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</si>
  <si>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</si>
  <si>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</si>
  <si>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</si>
  <si>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</si>
  <si>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</si>
  <si>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</si>
  <si>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</si>
  <si>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</si>
  <si>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</si>
  <si>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</si>
  <si>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</si>
  <si>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</si>
  <si>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</si>
  <si>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</si>
  <si>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</si>
  <si>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</si>
  <si>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</si>
  <si>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</si>
  <si>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</si>
  <si>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</si>
  <si>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</si>
  <si>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</si>
  <si>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</si>
  <si>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</si>
  <si>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</si>
  <si>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</si>
  <si>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</si>
  <si>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</si>
  <si>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</si>
  <si>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</si>
  <si>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</si>
  <si>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</si>
  <si>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</si>
  <si>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</si>
  <si>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</si>
  <si>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</si>
  <si>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</si>
  <si>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</si>
  <si>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</si>
  <si>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</si>
  <si>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</si>
  <si>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</si>
  <si>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</si>
  <si>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</si>
  <si>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</si>
  <si>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</si>
  <si>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</si>
  <si>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</si>
  <si>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</si>
  <si>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</si>
  <si>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</si>
  <si>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</si>
  <si>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</si>
  <si>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</si>
  <si>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</si>
  <si>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</si>
  <si>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</si>
  <si>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</si>
  <si>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</si>
  <si>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</si>
  <si>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</si>
  <si>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</si>
  <si>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</si>
  <si>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</si>
  <si>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</si>
  <si>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</si>
  <si>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</si>
  <si>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</si>
  <si>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</si>
  <si>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</si>
  <si>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</si>
  <si>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</si>
  <si>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</si>
  <si>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</si>
  <si>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</si>
  <si>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</si>
  <si>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</si>
  <si>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</si>
  <si>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</si>
  <si>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</si>
  <si>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</si>
  <si>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</si>
  <si>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</si>
  <si>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</si>
  <si>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</si>
  <si>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</si>
  <si>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</si>
  <si>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</si>
  <si>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</si>
  <si>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</si>
  <si>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</si>
  <si>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</si>
  <si>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</si>
  <si>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</si>
  <si>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</si>
  <si>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</si>
  <si>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</si>
  <si>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</si>
  <si>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</si>
  <si>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</si>
  <si>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</si>
  <si>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</si>
  <si>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2022/23</t>
  </si>
  <si>
    <t>Release for 2022/23 charge setting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</si>
  <si>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</si>
  <si>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</si>
  <si>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</si>
  <si>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</si>
  <si>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</si>
  <si>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</si>
  <si>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</si>
  <si>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</si>
  <si>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</si>
  <si>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</si>
  <si>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</si>
  <si>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</si>
  <si>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</si>
  <si>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</si>
  <si>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</si>
  <si>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</si>
  <si>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</si>
  <si>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</si>
  <si>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</si>
  <si>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</si>
  <si>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</si>
  <si>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</si>
  <si>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</si>
  <si>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There are no published 'ARP_Inputs by customer type' prior to 2022/23 for the new banded tariffs hence these entries have been left blank</t>
  </si>
  <si>
    <t>RPI</t>
  </si>
  <si>
    <t>SP Manweb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</si>
</sst>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43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0" fontId="0" fillId="49" borderId="0" xfId="0" applyFill="1"/>
    <xf numFmtId="0" fontId="20" fillId="0" borderId="0" xfId="0" applyFont="1"/>
    <xf numFmtId="2" fontId="0" fillId="0" borderId="0" xfId="0" applyNumberFormat="1"/>
    <xf numFmtId="171" fontId="8" fillId="0" borderId="0" xfId="60" applyNumberFormat="1" applyFill="1" applyBorder="1" applyAlignment="1"/>
    <xf numFmtId="171" fontId="8" fillId="0" borderId="0" xfId="51" applyNumberFormat="1" applyFill="1" applyBorder="1" applyProtection="1">
      <protection locked="0"/>
    </xf>
    <xf numFmtId="0" fontId="8" fillId="2" borderId="15" xfId="51" applyBorder="1" applyAlignment="1" applyProtection="1">
      <alignment horizontal="left" vertical="center"/>
      <protection locked="0"/>
    </xf>
    <xf numFmtId="0" fontId="8" fillId="2" borderId="16" xfId="51" applyBorder="1" applyAlignment="1" applyProtection="1">
      <alignment horizontal="left" vertical="center"/>
      <protection locked="0"/>
    </xf>
    <xf numFmtId="0" fontId="8" fillId="2" borderId="17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28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2F000000}"/>
    <cellStyle name="Input" xfId="15" builtinId="20" hidden="1"/>
    <cellStyle name="Input_CEPATNEI" xfId="51" xr:uid="{00000000-0005-0000-0000-000031000000}"/>
    <cellStyle name="Linked Cell" xfId="18" builtinId="24" hidden="1"/>
    <cellStyle name="LinkedTo_CEPATNEI" xfId="52" xr:uid="{00000000-0005-0000-0000-000033000000}"/>
    <cellStyle name="LinksFrom_CEPATNEI" xfId="56" xr:uid="{00000000-0005-0000-0000-000034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A000000}"/>
    <cellStyle name="Percent" xfId="6" builtinId="5" hidden="1"/>
    <cellStyle name="Percent" xfId="62" builtinId="5" hidden="1"/>
    <cellStyle name="RowHeading_CEPATNEI" xfId="53" xr:uid="{00000000-0005-0000-0000-00003D000000}"/>
    <cellStyle name="SectionHeading_CEPATNEI" xfId="49" xr:uid="{00000000-0005-0000-0000-00003E000000}"/>
    <cellStyle name="SubSection_CEPATNEI" xfId="48" xr:uid="{00000000-0005-0000-0000-00003F000000}"/>
    <cellStyle name="Text_CEPATNEI" xfId="50" xr:uid="{00000000-0005-0000-0000-000040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582612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694928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8002397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8009841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8009841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90585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90585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8002397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" sqref="D2"/>
    </sheetView>
  </sheetViews>
  <sheetFormatPr defaultColWidth="0" defaultRowHeight="15" customHeight="1" x14ac:dyDescent="0.25"/>
  <cols>
    <col min="1" max="1" width="2.7109375" style="21" customWidth="1"/>
    <col min="2" max="2" width="22.7109375" style="21" customWidth="1"/>
    <col min="3" max="3" width="2.7109375" style="21" customWidth="1"/>
    <col min="4" max="4" width="100.42578125" style="25" customWidth="1"/>
    <col min="5" max="5" width="2.7109375" style="21" customWidth="1"/>
    <col min="6" max="16384" width="9.140625" style="21" hidden="1"/>
  </cols>
  <sheetData>
    <row r="2" spans="2:4" ht="28.5" x14ac:dyDescent="0.25">
      <c r="D2" s="22" t="s">
        <v>676</v>
      </c>
    </row>
    <row r="4" spans="2:4" ht="21" x14ac:dyDescent="0.25">
      <c r="D4" s="460" t="s">
        <v>1234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44141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01 April 2022 Charging Methodologies Pre-Release – October 2020 (Schedules 16, 17, 18, 20 and 29) DCP 361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30" x14ac:dyDescent="0.25">
      <c r="B16" s="24" t="s">
        <v>159</v>
      </c>
      <c r="D16" s="219" t="s">
        <v>1236</v>
      </c>
    </row>
    <row r="17" spans="2:4" x14ac:dyDescent="0.25">
      <c r="D17" s="25" t="s">
        <v>1235</v>
      </c>
    </row>
    <row r="18" spans="2:4" x14ac:dyDescent="0.25">
      <c r="D18" s="21"/>
    </row>
    <row r="19" spans="2:4" ht="15" customHeight="1" x14ac:dyDescent="0.25">
      <c r="B19" s="24" t="s">
        <v>187</v>
      </c>
      <c r="D19" s="313" t="s">
        <v>1233</v>
      </c>
    </row>
    <row r="21" spans="2:4" ht="15" customHeight="1" x14ac:dyDescent="0.25">
      <c r="B21" s="24" t="s">
        <v>188</v>
      </c>
      <c r="D21" s="313" t="s">
        <v>1260</v>
      </c>
    </row>
    <row r="23" spans="2:4" ht="15" customHeight="1" x14ac:dyDescent="0.25">
      <c r="B23" s="24" t="s">
        <v>217</v>
      </c>
      <c r="D23" s="313" t="s">
        <v>1251</v>
      </c>
    </row>
    <row r="25" spans="2:4" ht="30" customHeight="1" x14ac:dyDescent="0.25">
      <c r="B25" s="24" t="s">
        <v>165</v>
      </c>
      <c r="D25" s="313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4" t="s">
        <v>555</v>
      </c>
      <c r="C30" s="92"/>
      <c r="D30" s="92" t="s">
        <v>162</v>
      </c>
    </row>
    <row r="31" spans="2:4" s="85" customFormat="1" x14ac:dyDescent="0.25">
      <c r="B31" s="315" t="s">
        <v>555</v>
      </c>
      <c r="C31" s="92"/>
      <c r="D31" s="92" t="s">
        <v>239</v>
      </c>
    </row>
    <row r="32" spans="2:4" s="85" customFormat="1" x14ac:dyDescent="0.25">
      <c r="B32" s="316" t="s">
        <v>555</v>
      </c>
      <c r="C32" s="92"/>
      <c r="D32" s="81" t="s">
        <v>556</v>
      </c>
    </row>
    <row r="33" spans="2:4" s="85" customFormat="1" x14ac:dyDescent="0.25">
      <c r="B33" s="178" t="s">
        <v>555</v>
      </c>
      <c r="C33" s="92"/>
      <c r="D33" s="92" t="s">
        <v>164</v>
      </c>
    </row>
    <row r="34" spans="2:4" s="85" customFormat="1" x14ac:dyDescent="0.25">
      <c r="B34" s="136" t="s">
        <v>555</v>
      </c>
      <c r="C34" s="92"/>
      <c r="D34" s="92" t="s">
        <v>557</v>
      </c>
    </row>
    <row r="35" spans="2:4" s="85" customFormat="1" x14ac:dyDescent="0.25">
      <c r="B35" s="152" t="s">
        <v>555</v>
      </c>
      <c r="C35" s="92"/>
      <c r="D35" s="92" t="s">
        <v>558</v>
      </c>
    </row>
    <row r="36" spans="2:4" s="85" customFormat="1" x14ac:dyDescent="0.25">
      <c r="B36" s="190" t="s">
        <v>555</v>
      </c>
      <c r="C36" s="92"/>
      <c r="D36" s="81" t="s">
        <v>559</v>
      </c>
    </row>
    <row r="37" spans="2:4" s="85" customFormat="1" x14ac:dyDescent="0.25">
      <c r="B37" s="176" t="s">
        <v>560</v>
      </c>
      <c r="C37" s="92"/>
      <c r="D37" s="81" t="s">
        <v>561</v>
      </c>
    </row>
    <row r="38" spans="2:4" s="85" customFormat="1" ht="15" customHeight="1" x14ac:dyDescent="0.25">
      <c r="B38" s="135" t="s">
        <v>560</v>
      </c>
      <c r="C38" s="92"/>
      <c r="D38" s="92" t="s">
        <v>562</v>
      </c>
    </row>
    <row r="39" spans="2:4" s="85" customFormat="1" ht="15" customHeight="1" x14ac:dyDescent="0.25">
      <c r="B39" s="34" t="s">
        <v>560</v>
      </c>
      <c r="C39" s="92"/>
      <c r="D39" s="92" t="s">
        <v>563</v>
      </c>
    </row>
    <row r="40" spans="2:4" s="85" customFormat="1" ht="15" customHeight="1" x14ac:dyDescent="0.25">
      <c r="B40" s="65" t="s">
        <v>560</v>
      </c>
      <c r="C40" s="92"/>
      <c r="D40" s="92" t="s">
        <v>564</v>
      </c>
    </row>
    <row r="41" spans="2:4" s="85" customFormat="1" ht="15" customHeight="1" x14ac:dyDescent="0.25">
      <c r="B41" s="64" t="s">
        <v>560</v>
      </c>
      <c r="C41" s="92"/>
      <c r="D41" s="92" t="s">
        <v>565</v>
      </c>
    </row>
    <row r="42" spans="2:4" s="85" customFormat="1" ht="15" customHeight="1" x14ac:dyDescent="0.25">
      <c r="B42" s="191" t="s">
        <v>560</v>
      </c>
      <c r="C42" s="92"/>
      <c r="D42" s="92" t="s">
        <v>566</v>
      </c>
    </row>
    <row r="43" spans="2:4" s="195" customFormat="1" ht="15" customHeight="1" x14ac:dyDescent="0.25">
      <c r="B43" s="192" t="s">
        <v>567</v>
      </c>
      <c r="C43" s="196"/>
      <c r="D43" s="196" t="s">
        <v>568</v>
      </c>
    </row>
    <row r="44" spans="2:4" s="85" customFormat="1" ht="15" customHeight="1" x14ac:dyDescent="0.25">
      <c r="B44" s="218" t="s">
        <v>567</v>
      </c>
      <c r="C44" s="92"/>
      <c r="D44" s="92" t="s">
        <v>642</v>
      </c>
    </row>
    <row r="45" spans="2:4" s="195" customFormat="1" ht="15" customHeight="1" x14ac:dyDescent="0.25">
      <c r="B45" s="200" t="s">
        <v>567</v>
      </c>
      <c r="C45" s="196"/>
      <c r="D45" s="81" t="s">
        <v>569</v>
      </c>
    </row>
    <row r="46" spans="2:4" s="85" customFormat="1" ht="15" customHeight="1" x14ac:dyDescent="0.25">
      <c r="B46" s="193" t="s">
        <v>567</v>
      </c>
      <c r="C46" s="92"/>
      <c r="D46" s="81" t="s">
        <v>570</v>
      </c>
    </row>
    <row r="47" spans="2:4" s="85" customFormat="1" ht="15" customHeight="1" x14ac:dyDescent="0.25">
      <c r="B47" s="201" t="s">
        <v>567</v>
      </c>
      <c r="C47" s="93"/>
      <c r="D47" s="19" t="s">
        <v>571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28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7109375" style="50" customWidth="1"/>
    <col min="7" max="7" width="22.7109375" style="50" customWidth="1"/>
    <col min="8" max="8" width="24.28515625" style="50" customWidth="1"/>
    <col min="9" max="9" width="30.7109375" style="50" customWidth="1"/>
    <col min="10" max="10" width="19.28515625" style="122" bestFit="1" customWidth="1"/>
    <col min="11" max="11" width="10.7109375" style="50" customWidth="1"/>
    <col min="12" max="12" width="82.7109375" style="50" customWidth="1"/>
    <col min="13" max="13" width="2.710937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293" customFormat="1" x14ac:dyDescent="0.25">
      <c r="A4" s="228" t="str">
        <f>J61 &amp; IF(J61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2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219</v>
      </c>
      <c r="H7" s="225">
        <f>LOOKUP(2,1/(F20:F30&lt;&gt;""),F20:F30)</f>
        <v>44141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216</v>
      </c>
      <c r="H9" s="226" t="str">
        <f>LOOKUP(2,1/(G20:G30&lt;&gt;""),G20:G30)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64" t="s">
        <v>923</v>
      </c>
      <c r="H11" s="226">
        <f>LOOKUP(2,1/(H20:H30&lt;&gt;""),H20:H30)</f>
        <v>7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0"/>
      <c r="B13" s="220"/>
      <c r="C13" s="220"/>
      <c r="D13" s="220"/>
      <c r="F13" s="120" t="s">
        <v>645</v>
      </c>
      <c r="H13" s="222" t="str">
        <f>LOOKUP(2,1/(I20:I30&lt;&gt;""),I20:I30)</f>
        <v>01 April 2022 Charging Methodologies Pre-Release – October 2020 (Schedules 16, 17, 18, 20 and 29) DCP 361</v>
      </c>
      <c r="I13" s="223"/>
      <c r="J13" s="223"/>
      <c r="K13" s="223"/>
      <c r="L13" s="220"/>
      <c r="M13" s="220"/>
      <c r="N13" s="221"/>
    </row>
    <row r="14" spans="1:97" s="195" customFormat="1" x14ac:dyDescent="0.2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25">
      <c r="A15" s="47"/>
      <c r="B15" s="47"/>
      <c r="C15" s="47"/>
      <c r="D15" s="47"/>
      <c r="F15" s="120" t="s">
        <v>675</v>
      </c>
      <c r="H15" s="226" t="str">
        <f>LOOKUP(2,1/(J20:J30&lt;&gt;""),J20:J30)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919</v>
      </c>
      <c r="I19" s="56" t="s">
        <v>673</v>
      </c>
      <c r="J19" s="56" t="s">
        <v>674</v>
      </c>
      <c r="K19" s="56" t="s">
        <v>158</v>
      </c>
      <c r="L19" s="56" t="s">
        <v>222</v>
      </c>
    </row>
    <row r="20" spans="1:12" ht="30" x14ac:dyDescent="0.25">
      <c r="A20" s="47"/>
      <c r="B20" s="47"/>
      <c r="C20" s="47"/>
      <c r="D20" s="47"/>
      <c r="E20" s="47"/>
      <c r="F20" s="317">
        <v>43250</v>
      </c>
      <c r="G20" s="313" t="s">
        <v>914</v>
      </c>
      <c r="H20" s="313">
        <v>1</v>
      </c>
      <c r="I20" s="313" t="s">
        <v>680</v>
      </c>
      <c r="J20" s="313" t="s">
        <v>918</v>
      </c>
      <c r="K20" s="313" t="s">
        <v>572</v>
      </c>
      <c r="L20" s="313" t="s">
        <v>677</v>
      </c>
    </row>
    <row r="21" spans="1:12" ht="30" x14ac:dyDescent="0.25">
      <c r="A21" s="47"/>
      <c r="B21" s="47"/>
      <c r="C21" s="47"/>
      <c r="D21" s="47"/>
      <c r="E21" s="47"/>
      <c r="F21" s="317">
        <v>43301</v>
      </c>
      <c r="G21" s="313" t="s">
        <v>914</v>
      </c>
      <c r="H21" s="313">
        <v>2</v>
      </c>
      <c r="I21" s="313" t="s">
        <v>915</v>
      </c>
      <c r="J21" s="313" t="s">
        <v>918</v>
      </c>
      <c r="K21" s="313" t="s">
        <v>572</v>
      </c>
      <c r="L21" s="313" t="s">
        <v>916</v>
      </c>
    </row>
    <row r="22" spans="1:12" s="122" customFormat="1" ht="45" x14ac:dyDescent="0.25">
      <c r="A22" s="120"/>
      <c r="B22" s="120"/>
      <c r="C22" s="120"/>
      <c r="D22" s="120"/>
      <c r="E22" s="120"/>
      <c r="F22" s="317">
        <v>43389</v>
      </c>
      <c r="G22" s="313" t="s">
        <v>920</v>
      </c>
      <c r="H22" s="313">
        <v>3</v>
      </c>
      <c r="I22" s="362" t="s">
        <v>921</v>
      </c>
      <c r="J22" s="313" t="s">
        <v>918</v>
      </c>
      <c r="K22" s="362" t="s">
        <v>572</v>
      </c>
      <c r="L22" s="362" t="s">
        <v>922</v>
      </c>
    </row>
    <row r="23" spans="1:12" s="122" customFormat="1" ht="60" x14ac:dyDescent="0.25">
      <c r="A23" s="120"/>
      <c r="B23" s="120"/>
      <c r="C23" s="120"/>
      <c r="D23" s="120"/>
      <c r="E23" s="120"/>
      <c r="F23" s="317">
        <v>43663</v>
      </c>
      <c r="G23" s="313" t="s">
        <v>914</v>
      </c>
      <c r="H23" s="313">
        <v>4</v>
      </c>
      <c r="I23" s="313" t="s">
        <v>926</v>
      </c>
      <c r="J23" s="313" t="s">
        <v>918</v>
      </c>
      <c r="K23" s="313" t="s">
        <v>572</v>
      </c>
      <c r="L23" s="313" t="s">
        <v>927</v>
      </c>
    </row>
    <row r="24" spans="1:12" s="122" customFormat="1" ht="60" x14ac:dyDescent="0.25">
      <c r="A24" s="120"/>
      <c r="B24" s="120"/>
      <c r="C24" s="120"/>
      <c r="D24" s="120"/>
      <c r="E24" s="120"/>
      <c r="F24" s="457">
        <v>43777</v>
      </c>
      <c r="G24" s="458" t="s">
        <v>920</v>
      </c>
      <c r="H24" s="458">
        <v>5</v>
      </c>
      <c r="I24" s="458" t="s">
        <v>994</v>
      </c>
      <c r="J24" s="313" t="s">
        <v>918</v>
      </c>
      <c r="K24" s="458" t="s">
        <v>572</v>
      </c>
      <c r="L24" s="459" t="s">
        <v>993</v>
      </c>
    </row>
    <row r="25" spans="1:12" s="122" customFormat="1" ht="90" x14ac:dyDescent="0.25">
      <c r="A25" s="120"/>
      <c r="B25" s="120"/>
      <c r="C25" s="120"/>
      <c r="D25" s="120"/>
      <c r="E25" s="120"/>
      <c r="F25" s="317">
        <v>43860</v>
      </c>
      <c r="G25" s="313" t="s">
        <v>920</v>
      </c>
      <c r="H25" s="313">
        <v>6</v>
      </c>
      <c r="I25" s="458" t="s">
        <v>998</v>
      </c>
      <c r="J25" s="313" t="s">
        <v>918</v>
      </c>
      <c r="K25" s="458" t="s">
        <v>572</v>
      </c>
      <c r="L25" s="362" t="s">
        <v>999</v>
      </c>
    </row>
    <row r="26" spans="1:12" s="122" customFormat="1" ht="45" x14ac:dyDescent="0.25">
      <c r="A26" s="120"/>
      <c r="B26" s="120"/>
      <c r="C26" s="120"/>
      <c r="D26" s="120"/>
      <c r="E26" s="120"/>
      <c r="F26" s="317">
        <v>43977</v>
      </c>
      <c r="G26" s="313" t="s">
        <v>914</v>
      </c>
      <c r="H26" s="313">
        <v>6</v>
      </c>
      <c r="I26" s="313" t="s">
        <v>1223</v>
      </c>
      <c r="J26" s="313" t="s">
        <v>918</v>
      </c>
      <c r="K26" s="313" t="s">
        <v>572</v>
      </c>
      <c r="L26" s="313" t="s">
        <v>1222</v>
      </c>
    </row>
    <row r="27" spans="1:12" ht="60" x14ac:dyDescent="0.25">
      <c r="A27" s="47"/>
      <c r="B27" s="47"/>
      <c r="C27" s="47"/>
      <c r="D27" s="47"/>
      <c r="E27" s="47"/>
      <c r="F27" s="317">
        <v>44141</v>
      </c>
      <c r="G27" s="313" t="s">
        <v>920</v>
      </c>
      <c r="H27" s="313">
        <v>7</v>
      </c>
      <c r="I27" s="313" t="s">
        <v>1237</v>
      </c>
      <c r="J27" s="313" t="s">
        <v>918</v>
      </c>
      <c r="K27" s="313" t="s">
        <v>572</v>
      </c>
      <c r="L27" s="313" t="s">
        <v>922</v>
      </c>
    </row>
    <row r="28" spans="1:12" x14ac:dyDescent="0.25">
      <c r="A28" s="47"/>
      <c r="B28" s="47"/>
      <c r="C28" s="47"/>
      <c r="D28" s="47"/>
      <c r="E28" s="47"/>
      <c r="F28" s="317"/>
      <c r="G28" s="313"/>
      <c r="H28" s="313"/>
      <c r="I28" s="313"/>
      <c r="J28" s="313"/>
      <c r="K28" s="313"/>
      <c r="L28" s="313"/>
    </row>
    <row r="29" spans="1:12" x14ac:dyDescent="0.25">
      <c r="A29" s="47"/>
      <c r="B29" s="47"/>
      <c r="C29" s="47"/>
      <c r="D29" s="47"/>
      <c r="E29" s="47"/>
      <c r="F29" s="317"/>
      <c r="G29" s="313"/>
      <c r="H29" s="313"/>
      <c r="I29" s="313"/>
      <c r="J29" s="313"/>
      <c r="K29" s="313"/>
      <c r="L29" s="313"/>
    </row>
    <row r="31" spans="1:12" x14ac:dyDescent="0.25">
      <c r="B31" s="51" t="s">
        <v>227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25">
      <c r="E33" s="57" t="s">
        <v>228</v>
      </c>
      <c r="F33" s="194"/>
      <c r="G33" s="61"/>
      <c r="H33" s="61"/>
      <c r="I33" s="61"/>
      <c r="J33" s="61"/>
    </row>
    <row r="34" spans="5:10" x14ac:dyDescent="0.25">
      <c r="F34" s="59" t="str">
        <f>"ARP_"&amp;F38</f>
        <v>ARP_Inputs by customer type</v>
      </c>
      <c r="G34" s="60"/>
      <c r="H34" s="318" t="s">
        <v>652</v>
      </c>
      <c r="I34" s="60" t="s">
        <v>589</v>
      </c>
      <c r="J34" s="113">
        <f>'ARP_Inputs by customer type'!$H$1994</f>
        <v>0</v>
      </c>
    </row>
    <row r="35" spans="5:10" x14ac:dyDescent="0.25">
      <c r="F35" s="59" t="str">
        <f>"ARP_"&amp;F39</f>
        <v>ARP_Inputs by network level</v>
      </c>
      <c r="G35" s="60"/>
      <c r="H35" s="318" t="s">
        <v>653</v>
      </c>
      <c r="I35" s="60" t="s">
        <v>589</v>
      </c>
      <c r="J35" s="113">
        <f>'ARP_Inputs by network level'!$H$218</f>
        <v>0</v>
      </c>
    </row>
    <row r="36" spans="5:10" x14ac:dyDescent="0.25">
      <c r="F36" s="59" t="str">
        <f>"ARP_"&amp;F40</f>
        <v>ARP_General inputs</v>
      </c>
      <c r="G36" s="60"/>
      <c r="H36" s="318" t="s">
        <v>654</v>
      </c>
      <c r="I36" s="60" t="s">
        <v>589</v>
      </c>
      <c r="J36" s="113">
        <f>'ARP_General inputs'!$H$124</f>
        <v>0</v>
      </c>
    </row>
    <row r="37" spans="5:10" x14ac:dyDescent="0.25">
      <c r="F37" s="59" t="s">
        <v>429</v>
      </c>
      <c r="G37" s="60"/>
      <c r="H37" s="318" t="s">
        <v>835</v>
      </c>
      <c r="I37" s="60" t="s">
        <v>589</v>
      </c>
      <c r="J37" s="114">
        <f>'Fixed inputs'!H196</f>
        <v>0</v>
      </c>
    </row>
    <row r="38" spans="5:10" x14ac:dyDescent="0.25">
      <c r="E38" s="59"/>
      <c r="F38" s="59" t="s">
        <v>446</v>
      </c>
      <c r="G38" s="60"/>
      <c r="H38" s="318" t="s">
        <v>836</v>
      </c>
      <c r="I38" s="60" t="s">
        <v>589</v>
      </c>
      <c r="J38" s="114">
        <f>'Inputs by customer type'!H216</f>
        <v>0</v>
      </c>
    </row>
    <row r="39" spans="5:10" x14ac:dyDescent="0.25">
      <c r="E39" s="59"/>
      <c r="F39" s="59" t="s">
        <v>195</v>
      </c>
      <c r="G39" s="60"/>
      <c r="H39" s="318" t="s">
        <v>837</v>
      </c>
      <c r="I39" s="60" t="s">
        <v>589</v>
      </c>
      <c r="J39" s="114">
        <f>'General inputs'!H117</f>
        <v>0</v>
      </c>
    </row>
    <row r="40" spans="5:10" x14ac:dyDescent="0.25">
      <c r="E40" s="59"/>
      <c r="F40" s="59" t="s">
        <v>553</v>
      </c>
      <c r="G40" s="60"/>
      <c r="H40" s="318" t="s">
        <v>838</v>
      </c>
      <c r="I40" s="60" t="s">
        <v>589</v>
      </c>
      <c r="J40" s="114">
        <f>'General inputs'!H117</f>
        <v>0</v>
      </c>
    </row>
    <row r="41" spans="5:10" x14ac:dyDescent="0.25">
      <c r="F41" s="59" t="s">
        <v>432</v>
      </c>
      <c r="G41" s="60"/>
      <c r="H41" s="318" t="s">
        <v>839</v>
      </c>
      <c r="I41" s="60" t="s">
        <v>589</v>
      </c>
      <c r="J41" s="114">
        <f>'Standing charge factors'!H58</f>
        <v>0</v>
      </c>
    </row>
    <row r="42" spans="5:10" x14ac:dyDescent="0.25">
      <c r="F42" s="59" t="s">
        <v>433</v>
      </c>
      <c r="G42" s="60"/>
      <c r="H42" s="318" t="s">
        <v>840</v>
      </c>
      <c r="I42" s="60" t="s">
        <v>589</v>
      </c>
      <c r="J42" s="114">
        <f>'Load &amp; loss characteristics'!H183</f>
        <v>0</v>
      </c>
    </row>
    <row r="43" spans="5:10" x14ac:dyDescent="0.25">
      <c r="F43" s="59" t="s">
        <v>232</v>
      </c>
      <c r="G43" s="60"/>
      <c r="H43" s="318" t="s">
        <v>841</v>
      </c>
      <c r="I43" s="60" t="s">
        <v>589</v>
      </c>
      <c r="J43" s="114">
        <f>'Customer contributions'!H70</f>
        <v>0</v>
      </c>
    </row>
    <row r="44" spans="5:10" x14ac:dyDescent="0.25">
      <c r="F44" s="59" t="s">
        <v>233</v>
      </c>
      <c r="G44" s="60"/>
      <c r="H44" s="318" t="s">
        <v>842</v>
      </c>
      <c r="I44" s="60" t="s">
        <v>589</v>
      </c>
      <c r="J44" s="114">
        <f>'Volume adjustments'!H693</f>
        <v>0</v>
      </c>
    </row>
    <row r="45" spans="5:10" x14ac:dyDescent="0.25">
      <c r="F45" s="59" t="s">
        <v>224</v>
      </c>
      <c r="G45" s="60"/>
      <c r="H45" s="318" t="s">
        <v>843</v>
      </c>
      <c r="I45" s="60" t="s">
        <v>589</v>
      </c>
      <c r="J45" s="114">
        <f>'Pseudo-load coefficients'!H306</f>
        <v>0</v>
      </c>
    </row>
    <row r="46" spans="5:10" x14ac:dyDescent="0.25">
      <c r="F46" s="59" t="s">
        <v>434</v>
      </c>
      <c r="G46" s="60"/>
      <c r="H46" s="318" t="s">
        <v>844</v>
      </c>
      <c r="I46" s="60" t="s">
        <v>589</v>
      </c>
      <c r="J46" s="114">
        <f>'System peak demand'!H281</f>
        <v>0</v>
      </c>
    </row>
    <row r="47" spans="5:10" x14ac:dyDescent="0.25">
      <c r="F47" s="59" t="s">
        <v>225</v>
      </c>
      <c r="G47" s="60"/>
      <c r="H47" s="318" t="s">
        <v>845</v>
      </c>
      <c r="I47" s="60" t="s">
        <v>589</v>
      </c>
      <c r="J47" s="114">
        <f>'Service model assets'!H38</f>
        <v>0</v>
      </c>
    </row>
    <row r="48" spans="5:10" x14ac:dyDescent="0.25">
      <c r="F48" s="59" t="s">
        <v>294</v>
      </c>
      <c r="G48" s="60"/>
      <c r="H48" s="318" t="s">
        <v>846</v>
      </c>
      <c r="I48" s="60" t="s">
        <v>589</v>
      </c>
      <c r="J48" s="114">
        <f>'Unit costs'!H131</f>
        <v>0</v>
      </c>
    </row>
    <row r="49" spans="2:12" x14ac:dyDescent="0.25">
      <c r="F49" s="59" t="s">
        <v>234</v>
      </c>
      <c r="G49" s="60"/>
      <c r="H49" s="318" t="s">
        <v>847</v>
      </c>
      <c r="I49" s="60" t="s">
        <v>589</v>
      </c>
      <c r="J49" s="114">
        <f>'Initial unit rates'!H241</f>
        <v>0</v>
      </c>
    </row>
    <row r="50" spans="2:12" x14ac:dyDescent="0.25">
      <c r="F50" s="59" t="s">
        <v>435</v>
      </c>
      <c r="G50" s="60"/>
      <c r="H50" s="318" t="s">
        <v>848</v>
      </c>
      <c r="I50" s="60" t="s">
        <v>589</v>
      </c>
      <c r="J50" s="114">
        <f>'Service model charges'!H48</f>
        <v>0</v>
      </c>
    </row>
    <row r="51" spans="2:12" x14ac:dyDescent="0.25">
      <c r="F51" s="59" t="s">
        <v>436</v>
      </c>
      <c r="G51" s="60"/>
      <c r="H51" s="318" t="s">
        <v>849</v>
      </c>
      <c r="I51" s="60" t="s">
        <v>589</v>
      </c>
      <c r="J51" s="114">
        <f>'Unit rate charges'!H223</f>
        <v>0</v>
      </c>
    </row>
    <row r="52" spans="2:12" x14ac:dyDescent="0.25">
      <c r="F52" s="59" t="s">
        <v>236</v>
      </c>
      <c r="G52" s="60"/>
      <c r="H52" s="318" t="s">
        <v>850</v>
      </c>
      <c r="I52" s="60" t="s">
        <v>589</v>
      </c>
      <c r="J52" s="114">
        <f>'Capacity charges'!H295</f>
        <v>0</v>
      </c>
    </row>
    <row r="53" spans="2:12" x14ac:dyDescent="0.25">
      <c r="F53" s="59" t="s">
        <v>394</v>
      </c>
      <c r="G53" s="60"/>
      <c r="H53" s="318" t="s">
        <v>851</v>
      </c>
      <c r="I53" s="60" t="s">
        <v>589</v>
      </c>
      <c r="J53" s="114">
        <f>'Reactive power charges'!H254</f>
        <v>0</v>
      </c>
    </row>
    <row r="54" spans="2:12" x14ac:dyDescent="0.25">
      <c r="F54" s="59" t="s">
        <v>237</v>
      </c>
      <c r="G54" s="60"/>
      <c r="H54" s="318" t="s">
        <v>852</v>
      </c>
      <c r="I54" s="60" t="s">
        <v>589</v>
      </c>
      <c r="J54" s="114">
        <f>'Fixed charges'!H165</f>
        <v>0</v>
      </c>
    </row>
    <row r="55" spans="2:12" s="122" customFormat="1" x14ac:dyDescent="0.25">
      <c r="F55" s="59" t="s">
        <v>1250</v>
      </c>
      <c r="G55" s="60"/>
      <c r="H55" s="318" t="s">
        <v>853</v>
      </c>
      <c r="I55" s="60" t="s">
        <v>589</v>
      </c>
      <c r="J55" s="114">
        <f>'SoLR &amp; bad debt adders'!H66</f>
        <v>0</v>
      </c>
    </row>
    <row r="56" spans="2:12" x14ac:dyDescent="0.25">
      <c r="F56" s="59" t="s">
        <v>238</v>
      </c>
      <c r="G56" s="60"/>
      <c r="H56" s="318" t="s">
        <v>854</v>
      </c>
      <c r="I56" s="60" t="s">
        <v>589</v>
      </c>
      <c r="J56" s="114">
        <f>'Revenue matching'!H432</f>
        <v>0</v>
      </c>
    </row>
    <row r="57" spans="2:12" x14ac:dyDescent="0.25">
      <c r="F57" s="59" t="s">
        <v>185</v>
      </c>
      <c r="G57" s="60"/>
      <c r="H57" s="318" t="s">
        <v>991</v>
      </c>
      <c r="I57" s="60" t="s">
        <v>589</v>
      </c>
      <c r="J57" s="114">
        <f>Rounding!H178</f>
        <v>0</v>
      </c>
    </row>
    <row r="58" spans="2:12" x14ac:dyDescent="0.25">
      <c r="F58" s="59" t="s">
        <v>554</v>
      </c>
      <c r="G58" s="60"/>
      <c r="H58" s="318" t="s">
        <v>1000</v>
      </c>
      <c r="I58" s="60" t="s">
        <v>589</v>
      </c>
      <c r="J58" s="113">
        <f>'Net revenue summary'!H146</f>
        <v>0</v>
      </c>
    </row>
    <row r="59" spans="2:12" x14ac:dyDescent="0.25">
      <c r="F59" s="59" t="s">
        <v>437</v>
      </c>
      <c r="G59" s="60"/>
      <c r="H59" s="318" t="s">
        <v>1001</v>
      </c>
      <c r="I59" s="60" t="s">
        <v>589</v>
      </c>
      <c r="J59" s="114">
        <f>'Tariff summary'!H641</f>
        <v>0</v>
      </c>
    </row>
    <row r="60" spans="2:12" x14ac:dyDescent="0.25">
      <c r="F60" s="59" t="s">
        <v>484</v>
      </c>
      <c r="G60" s="60"/>
      <c r="H60" s="318" t="s">
        <v>1002</v>
      </c>
      <c r="I60" s="60" t="s">
        <v>589</v>
      </c>
      <c r="J60" s="113">
        <f>'Typical bills'!H121</f>
        <v>0</v>
      </c>
    </row>
    <row r="61" spans="2:12" s="122" customFormat="1" x14ac:dyDescent="0.25">
      <c r="F61" s="312" t="s">
        <v>111</v>
      </c>
      <c r="G61" s="298"/>
      <c r="H61" s="298"/>
      <c r="I61" s="298" t="s">
        <v>589</v>
      </c>
      <c r="J61" s="515">
        <f>IFERROR(SUM(J34:J60), 1)</f>
        <v>0</v>
      </c>
    </row>
    <row r="62" spans="2:12" x14ac:dyDescent="0.25">
      <c r="E62" s="60"/>
      <c r="F62" s="60"/>
      <c r="G62" s="60"/>
      <c r="H62" s="60"/>
      <c r="I62" s="60"/>
      <c r="J62" s="60"/>
    </row>
    <row r="63" spans="2:12" x14ac:dyDescent="0.25">
      <c r="B63" s="51" t="s">
        <v>229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25">
      <c r="F65" s="56" t="s">
        <v>230</v>
      </c>
    </row>
    <row r="66" spans="2:12" x14ac:dyDescent="0.25">
      <c r="F66" s="319" t="s">
        <v>223</v>
      </c>
    </row>
    <row r="67" spans="2:12" x14ac:dyDescent="0.25">
      <c r="F67" s="319" t="s">
        <v>678</v>
      </c>
    </row>
    <row r="68" spans="2:12" x14ac:dyDescent="0.25">
      <c r="F68" s="319" t="s">
        <v>914</v>
      </c>
    </row>
    <row r="69" spans="2:12" s="122" customFormat="1" ht="30" x14ac:dyDescent="0.25">
      <c r="F69" s="363" t="s">
        <v>920</v>
      </c>
    </row>
    <row r="70" spans="2:12" s="122" customFormat="1" x14ac:dyDescent="0.25">
      <c r="F70" s="319"/>
    </row>
    <row r="71" spans="2:12" s="122" customFormat="1" x14ac:dyDescent="0.25">
      <c r="F71" s="319"/>
    </row>
    <row r="72" spans="2:12" s="122" customFormat="1" x14ac:dyDescent="0.25">
      <c r="F72" s="319"/>
    </row>
    <row r="73" spans="2:12" s="122" customFormat="1" x14ac:dyDescent="0.25">
      <c r="F73" s="319"/>
    </row>
    <row r="74" spans="2:12" s="122" customFormat="1" x14ac:dyDescent="0.25">
      <c r="F74" s="319"/>
    </row>
    <row r="75" spans="2:12" s="122" customFormat="1" x14ac:dyDescent="0.25">
      <c r="F75" s="319"/>
    </row>
    <row r="76" spans="2:12" x14ac:dyDescent="0.25">
      <c r="F76" s="319" t="s">
        <v>231</v>
      </c>
    </row>
    <row r="78" spans="2:12" x14ac:dyDescent="0.2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4:J61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1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2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00000000-0002-0000-0100-000003000000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7109375" style="21" customWidth="1"/>
    <col min="7" max="7" width="2.7109375" style="21" customWidth="1"/>
    <col min="8" max="8" width="25.7109375" style="25" customWidth="1"/>
    <col min="9" max="9" width="125.42578125" style="25" customWidth="1"/>
    <col min="10" max="10" width="2.710937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9" s="42" customFormat="1" x14ac:dyDescent="0.25">
      <c r="A5" s="20"/>
      <c r="B5" s="45" t="s">
        <v>431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6.140625" style="85" bestFit="1" customWidth="1"/>
    <col min="7" max="7" width="115.5703125" style="85" bestFit="1" customWidth="1"/>
    <col min="8" max="8" width="2.7109375" style="85" customWidth="1"/>
    <col min="9" max="9" width="59.5703125" style="85" hidden="1" customWidth="1"/>
    <col min="10" max="20" width="15.42578125" style="85" hidden="1" customWidth="1"/>
    <col min="21" max="21" width="2.710937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Manweb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646</v>
      </c>
    </row>
    <row r="8" spans="1:7" customFormat="1" x14ac:dyDescent="0.25">
      <c r="C8" s="82" t="s">
        <v>647</v>
      </c>
    </row>
    <row r="9" spans="1:7" customFormat="1" x14ac:dyDescent="0.25"/>
    <row r="10" spans="1:7" customFormat="1" x14ac:dyDescent="0.25">
      <c r="B10" s="95" t="s">
        <v>650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597</v>
      </c>
    </row>
    <row r="13" spans="1:7" customFormat="1" x14ac:dyDescent="0.25"/>
    <row r="14" spans="1:7" customFormat="1" ht="15.75" thickBot="1" x14ac:dyDescent="0.3">
      <c r="F14" s="34" t="s">
        <v>598</v>
      </c>
      <c r="G14" s="202" t="s">
        <v>599</v>
      </c>
    </row>
    <row r="15" spans="1:7" customFormat="1" ht="16.5" thickTop="1" thickBot="1" x14ac:dyDescent="0.3">
      <c r="F15" s="204" t="s">
        <v>595</v>
      </c>
    </row>
    <row r="16" spans="1:7" customFormat="1" ht="15.75" thickTop="1" x14ac:dyDescent="0.25">
      <c r="F16" s="204" t="s">
        <v>601</v>
      </c>
      <c r="G16" s="205" t="str">
        <f>'Version control'!$B$5</f>
        <v>Model version</v>
      </c>
    </row>
    <row r="17" spans="6:7" customFormat="1" x14ac:dyDescent="0.25">
      <c r="F17" s="203" t="s">
        <v>600</v>
      </c>
      <c r="G17" s="205" t="str">
        <f>'Version control'!$B$17</f>
        <v>Version log</v>
      </c>
    </row>
    <row r="18" spans="6:7" customFormat="1" x14ac:dyDescent="0.25">
      <c r="F18" s="203" t="s">
        <v>600</v>
      </c>
      <c r="G18" s="205" t="str">
        <f>'Version control'!$B$31</f>
        <v>Model checks</v>
      </c>
    </row>
    <row r="19" spans="6:7" customFormat="1" ht="15.75" thickBot="1" x14ac:dyDescent="0.3">
      <c r="F19" s="203" t="s">
        <v>600</v>
      </c>
      <c r="G19" s="205" t="str">
        <f>'Version control'!$B$63</f>
        <v>Version log lists</v>
      </c>
    </row>
    <row r="20" spans="6:7" customFormat="1" ht="16.5" thickTop="1" thickBot="1" x14ac:dyDescent="0.3">
      <c r="F20" s="204" t="s">
        <v>431</v>
      </c>
      <c r="G20" s="205" t="str">
        <f>'Model map'!$B$5</f>
        <v>Model map</v>
      </c>
    </row>
    <row r="21" spans="6:7" customFormat="1" ht="16.5" thickTop="1" thickBot="1" x14ac:dyDescent="0.3">
      <c r="F21" s="204" t="s">
        <v>602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603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604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605</v>
      </c>
      <c r="G24" s="205" t="str">
        <f>'ARP_Load characteristics'!$B$13</f>
        <v>Years</v>
      </c>
    </row>
    <row r="25" spans="6:7" customFormat="1" ht="15.75" thickBot="1" x14ac:dyDescent="0.3">
      <c r="F25" s="203" t="s">
        <v>600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606</v>
      </c>
      <c r="G26" s="205" t="str">
        <f>'ARP_Peaking probabilities'!$B$14</f>
        <v>Years</v>
      </c>
    </row>
    <row r="27" spans="6:7" customFormat="1" ht="15.75" thickBot="1" x14ac:dyDescent="0.3">
      <c r="F27" s="203" t="s">
        <v>600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5" t="s">
        <v>596</v>
      </c>
      <c r="G28" s="205" t="str">
        <f>'ARP_User control'!$B$10</f>
        <v>User interface</v>
      </c>
    </row>
    <row r="29" spans="6:7" customFormat="1" ht="15.75" thickBot="1" x14ac:dyDescent="0.3">
      <c r="F29" s="294" t="s">
        <v>600</v>
      </c>
      <c r="G29" s="205" t="str">
        <f>'ARP_User control'!$B$25</f>
        <v>Lists</v>
      </c>
    </row>
    <row r="30" spans="6:7" customFormat="1" ht="15.75" thickTop="1" x14ac:dyDescent="0.25">
      <c r="F30" s="207" t="s">
        <v>607</v>
      </c>
      <c r="G30" s="205" t="str">
        <f>'ARP_Inputs by customer type'!$B$14</f>
        <v>Load characteristics</v>
      </c>
    </row>
    <row r="31" spans="6:7" customFormat="1" x14ac:dyDescent="0.25">
      <c r="F31" s="206" t="s">
        <v>600</v>
      </c>
      <c r="G31" s="205" t="str">
        <f>'ARP_Inputs by customer type'!$B$56</f>
        <v>Volumes</v>
      </c>
    </row>
    <row r="32" spans="6:7" customFormat="1" x14ac:dyDescent="0.25">
      <c r="F32" s="206" t="s">
        <v>600</v>
      </c>
      <c r="G32" s="205" t="str">
        <f>'ARP_Inputs by customer type'!$B$1998</f>
        <v>Non-Domestic Aggregated (Related MPAN) distribution by bands</v>
      </c>
    </row>
    <row r="33" spans="6:7" customFormat="1" ht="15.75" thickBot="1" x14ac:dyDescent="0.3">
      <c r="F33" s="206" t="s">
        <v>600</v>
      </c>
      <c r="G33" s="205" t="str">
        <f>'ARP_Inputs by customer type'!$B$2072</f>
        <v>Service model asset values</v>
      </c>
    </row>
    <row r="34" spans="6:7" customFormat="1" ht="16.5" thickTop="1" thickBot="1" x14ac:dyDescent="0.3">
      <c r="F34" s="207" t="s">
        <v>608</v>
      </c>
      <c r="G34" s="205" t="str">
        <f>'ARP_Inputs by network level'!$B$14</f>
        <v>Inputs by network level</v>
      </c>
    </row>
    <row r="35" spans="6:7" customFormat="1" ht="16.5" thickTop="1" thickBot="1" x14ac:dyDescent="0.3">
      <c r="F35" s="207" t="s">
        <v>609</v>
      </c>
      <c r="G35" s="205" t="str">
        <f>'ARP_General inputs'!$B$14</f>
        <v>General inputs</v>
      </c>
    </row>
    <row r="36" spans="6:7" customFormat="1" ht="16.5" thickTop="1" thickBot="1" x14ac:dyDescent="0.3">
      <c r="F36" s="207" t="s">
        <v>429</v>
      </c>
      <c r="G36" s="205" t="str">
        <f>'Fixed inputs'!$B$11</f>
        <v>Fixed inputs</v>
      </c>
    </row>
    <row r="37" spans="6:7" customFormat="1" ht="16.5" thickTop="1" thickBot="1" x14ac:dyDescent="0.3">
      <c r="F37" s="209" t="s">
        <v>446</v>
      </c>
      <c r="G37" s="205" t="str">
        <f>'Inputs by customer type'!$B$14</f>
        <v>Inputs by customer type</v>
      </c>
    </row>
    <row r="38" spans="6:7" customFormat="1" ht="16.5" thickTop="1" thickBot="1" x14ac:dyDescent="0.3">
      <c r="F38" s="209" t="s">
        <v>195</v>
      </c>
      <c r="G38" s="205" t="str">
        <f>'Inputs by network level'!$B$14</f>
        <v>Inputs by network level</v>
      </c>
    </row>
    <row r="39" spans="6:7" customFormat="1" ht="16.5" thickTop="1" thickBot="1" x14ac:dyDescent="0.3">
      <c r="F39" s="209" t="s">
        <v>553</v>
      </c>
      <c r="G39" s="205" t="str">
        <f>'General inputs'!$B$14</f>
        <v>General inputs</v>
      </c>
    </row>
    <row r="40" spans="6:7" customFormat="1" ht="16.5" thickTop="1" thickBot="1" x14ac:dyDescent="0.3">
      <c r="F40" s="209" t="s">
        <v>263</v>
      </c>
      <c r="G40" s="205" t="str">
        <f>'Standing charge factors'!$B$17</f>
        <v>Adjustments to standing charges</v>
      </c>
    </row>
    <row r="41" spans="6:7" customFormat="1" ht="15.75" thickTop="1" x14ac:dyDescent="0.25">
      <c r="F41" s="209" t="s">
        <v>433</v>
      </c>
      <c r="G41" s="205" t="str">
        <f>'Load &amp; loss characteristics'!$B$13</f>
        <v>Load and loss characteristics</v>
      </c>
    </row>
    <row r="42" spans="6:7" customFormat="1" ht="15.75" thickBot="1" x14ac:dyDescent="0.3">
      <c r="F42" s="208" t="s">
        <v>600</v>
      </c>
      <c r="G42" s="205" t="str">
        <f>'Load &amp; loss characteristics'!$B$31</f>
        <v>User loss factor adjustments</v>
      </c>
    </row>
    <row r="43" spans="6:7" customFormat="1" ht="16.5" thickTop="1" thickBot="1" x14ac:dyDescent="0.3">
      <c r="F43" s="209" t="s">
        <v>232</v>
      </c>
      <c r="G43" s="205" t="str">
        <f>'Customer contributions'!$B$12</f>
        <v>Customer contributions</v>
      </c>
    </row>
    <row r="44" spans="6:7" customFormat="1" ht="15.75" thickTop="1" x14ac:dyDescent="0.25">
      <c r="F44" s="209" t="s">
        <v>233</v>
      </c>
      <c r="G44" s="205" t="str">
        <f>'Volume adjustments'!$B$13</f>
        <v>LDNO discounts</v>
      </c>
    </row>
    <row r="45" spans="6:7" customFormat="1" x14ac:dyDescent="0.25">
      <c r="F45" s="208" t="s">
        <v>600</v>
      </c>
      <c r="G45" s="205" t="str">
        <f>'Volume adjustments'!$B$51</f>
        <v>Volume discounting</v>
      </c>
    </row>
    <row r="46" spans="6:7" customFormat="1" ht="15.75" thickBot="1" x14ac:dyDescent="0.3">
      <c r="F46" s="208" t="s">
        <v>600</v>
      </c>
      <c r="G46" s="205" t="str">
        <f>'Volume adjustments'!$B$310</f>
        <v>Volume discounting for revenue matching</v>
      </c>
    </row>
    <row r="47" spans="6:7" customFormat="1" ht="15.75" thickTop="1" x14ac:dyDescent="0.2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25">
      <c r="F48" s="208" t="s">
        <v>600</v>
      </c>
      <c r="G48" s="205" t="str">
        <f>'Pseudo-load coefficients'!$B$56</f>
        <v>Step 2: Calculate correction factor</v>
      </c>
    </row>
    <row r="49" spans="6:7" customFormat="1" x14ac:dyDescent="0.25">
      <c r="F49" s="208" t="s">
        <v>600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.75" thickBot="1" x14ac:dyDescent="0.3">
      <c r="F50" s="208" t="s">
        <v>600</v>
      </c>
      <c r="G50" s="205" t="str">
        <f>'Pseudo-load coefficients'!$B$261</f>
        <v>Step 4: Results of Step 3</v>
      </c>
    </row>
    <row r="51" spans="6:7" customFormat="1" ht="15.75" thickTop="1" x14ac:dyDescent="0.25">
      <c r="F51" s="209" t="s">
        <v>434</v>
      </c>
      <c r="G51" s="205" t="str">
        <f>'System peak demand'!$B$16</f>
        <v>Common inputs for chargeable load calculations</v>
      </c>
    </row>
    <row r="52" spans="6:7" customFormat="1" x14ac:dyDescent="0.25">
      <c r="F52" s="208" t="s">
        <v>600</v>
      </c>
      <c r="G52" s="205" t="str">
        <f>'System peak demand'!$B$63</f>
        <v>Load at system peak charged to unit rates</v>
      </c>
    </row>
    <row r="53" spans="6:7" customFormat="1" x14ac:dyDescent="0.25">
      <c r="F53" s="208" t="s">
        <v>600</v>
      </c>
      <c r="G53" s="205" t="str">
        <f>'System peak demand'!$B$179</f>
        <v>Load at system peak charged to standing charges</v>
      </c>
    </row>
    <row r="54" spans="6:7" customFormat="1" ht="15.75" thickBot="1" x14ac:dyDescent="0.3">
      <c r="F54" s="208" t="s">
        <v>600</v>
      </c>
      <c r="G54" s="205" t="str">
        <f>'System peak demand'!$B$262</f>
        <v>System peak based on chargeable load</v>
      </c>
    </row>
    <row r="55" spans="6:7" customFormat="1" ht="16.5" thickTop="1" thickBot="1" x14ac:dyDescent="0.3">
      <c r="F55" s="209" t="s">
        <v>225</v>
      </c>
      <c r="G55" s="205" t="str">
        <f>'Service model assets'!$B$12</f>
        <v>Service model notional asset values</v>
      </c>
    </row>
    <row r="56" spans="6:7" customFormat="1" ht="15.75" thickTop="1" x14ac:dyDescent="0.25">
      <c r="F56" s="209" t="s">
        <v>294</v>
      </c>
      <c r="G56" s="205" t="str">
        <f>'Unit costs'!$B$15</f>
        <v>500MW model costs</v>
      </c>
    </row>
    <row r="57" spans="6:7" customFormat="1" x14ac:dyDescent="0.25">
      <c r="F57" s="208" t="s">
        <v>600</v>
      </c>
      <c r="G57" s="205" t="str">
        <f>'Unit costs'!$B$58</f>
        <v>Allocation of other costs</v>
      </c>
    </row>
    <row r="58" spans="6:7" customFormat="1" ht="15.75" thickBot="1" x14ac:dyDescent="0.3">
      <c r="F58" s="208" t="s">
        <v>600</v>
      </c>
      <c r="G58" s="205" t="str">
        <f>'Unit costs'!$B$102</f>
        <v>Outputs</v>
      </c>
    </row>
    <row r="59" spans="6:7" customFormat="1" ht="15.75" thickTop="1" x14ac:dyDescent="0.25">
      <c r="F59" s="209" t="s">
        <v>234</v>
      </c>
      <c r="G59" s="205" t="str">
        <f>'Initial unit rates'!$B$11</f>
        <v>Inputs for yardstick and unit rate calculations</v>
      </c>
    </row>
    <row r="60" spans="6:7" customFormat="1" ht="15.75" thickBot="1" x14ac:dyDescent="0.3">
      <c r="F60" s="208" t="s">
        <v>600</v>
      </c>
      <c r="G60" s="205" t="str">
        <f>'Initial unit rates'!$B$116</f>
        <v>Calculation of yardstick &amp; unit rate charges</v>
      </c>
    </row>
    <row r="61" spans="6:7" customFormat="1" ht="15.75" thickTop="1" x14ac:dyDescent="0.25">
      <c r="F61" s="209" t="s">
        <v>435</v>
      </c>
      <c r="G61" s="205" t="str">
        <f>'Service model charges'!$B$13</f>
        <v>Inputs to service model charge calculation</v>
      </c>
    </row>
    <row r="62" spans="6:7" customFormat="1" ht="15.75" thickBot="1" x14ac:dyDescent="0.3">
      <c r="F62" s="208" t="s">
        <v>600</v>
      </c>
      <c r="G62" s="205" t="str">
        <f>'Service model charges'!$B$29</f>
        <v>Allocation of service model costs</v>
      </c>
    </row>
    <row r="63" spans="6:7" customFormat="1" ht="15.75" thickTop="1" x14ac:dyDescent="0.25">
      <c r="F63" s="209" t="s">
        <v>436</v>
      </c>
      <c r="G63" s="205" t="str">
        <f>'Unit rate charges'!$B$15</f>
        <v>Inputs to unit rate charge calculations</v>
      </c>
    </row>
    <row r="64" spans="6:7" customFormat="1" ht="15.75" thickBot="1" x14ac:dyDescent="0.3">
      <c r="F64" s="208" t="s">
        <v>600</v>
      </c>
      <c r="G64" s="205" t="str">
        <f>'Unit rate charges'!$B$122</f>
        <v>Application of standing charges to unit rates</v>
      </c>
    </row>
    <row r="65" spans="6:7" customFormat="1" ht="15.75" thickTop="1" x14ac:dyDescent="0.2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25">
      <c r="F66" s="208" t="s">
        <v>600</v>
      </c>
      <c r="G66" s="205" t="str">
        <f>'Capacity charges'!$B$125</f>
        <v>Calculation of capacity charges</v>
      </c>
    </row>
    <row r="67" spans="6:7" customFormat="1" ht="15.75" thickBot="1" x14ac:dyDescent="0.3">
      <c r="F67" s="208" t="s">
        <v>600</v>
      </c>
      <c r="G67" s="205" t="str">
        <f>'Capacity charges'!$B$249</f>
        <v>Capacity charges (and elements allocated to fixed charges)</v>
      </c>
    </row>
    <row r="68" spans="6:7" customFormat="1" ht="15.75" thickTop="1" x14ac:dyDescent="0.2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25">
      <c r="F69" s="208" t="s">
        <v>600</v>
      </c>
      <c r="G69" s="205" t="str">
        <f>'Reactive power charges'!$B$150</f>
        <v>Calculation of yardstick charges for generation</v>
      </c>
    </row>
    <row r="70" spans="6:7" customFormat="1" ht="15.75" thickBot="1" x14ac:dyDescent="0.3">
      <c r="F70" s="208" t="s">
        <v>600</v>
      </c>
      <c r="G70" s="205" t="str">
        <f>'Reactive power charges'!$B$185</f>
        <v>Calculation of reactive power charges</v>
      </c>
    </row>
    <row r="71" spans="6:7" customFormat="1" ht="15.75" thickTop="1" x14ac:dyDescent="0.25">
      <c r="F71" s="209" t="s">
        <v>237</v>
      </c>
      <c r="G71" s="205" t="str">
        <f>'Fixed charges'!$B$14</f>
        <v>Inputs to fixed charge calculations</v>
      </c>
    </row>
    <row r="72" spans="6:7" customFormat="1" ht="15.75" thickBot="1" x14ac:dyDescent="0.3">
      <c r="F72" s="208" t="s">
        <v>600</v>
      </c>
      <c r="G72" s="205" t="str">
        <f>'Fixed charges'!$B$65</f>
        <v>Calculation of fixed charges</v>
      </c>
    </row>
    <row r="73" spans="6:7" customFormat="1" ht="16.5" thickTop="1" thickBot="1" x14ac:dyDescent="0.3">
      <c r="F73" s="209" t="s">
        <v>1250</v>
      </c>
      <c r="G73" s="205" t="str">
        <f>'SoLR &amp; bad debt adders'!$B$12</f>
        <v>Fixed tariff adjustments</v>
      </c>
    </row>
    <row r="74" spans="6:7" customFormat="1" ht="15.75" thickTop="1" x14ac:dyDescent="0.25">
      <c r="F74" s="209" t="s">
        <v>238</v>
      </c>
      <c r="G74" s="205" t="str">
        <f>'Revenue matching'!$B$13</f>
        <v>Pre-matching net revenue calculations</v>
      </c>
    </row>
    <row r="75" spans="6:7" customFormat="1" x14ac:dyDescent="0.25">
      <c r="F75" s="208" t="s">
        <v>600</v>
      </c>
      <c r="G75" s="205" t="str">
        <f>'Revenue matching'!$B$86</f>
        <v>Residual charge calculation</v>
      </c>
    </row>
    <row r="76" spans="6:7" customFormat="1" x14ac:dyDescent="0.25">
      <c r="F76" s="208" t="s">
        <v>600</v>
      </c>
      <c r="G76" s="205" t="str">
        <f>'Revenue matching'!$B$209</f>
        <v>Adjustments for negative fixed charges</v>
      </c>
    </row>
    <row r="77" spans="6:7" customFormat="1" ht="15.75" thickBot="1" x14ac:dyDescent="0.3">
      <c r="F77" s="208" t="s">
        <v>600</v>
      </c>
      <c r="G77" s="205" t="str">
        <f>'Revenue matching'!$B$407</f>
        <v>Final adders</v>
      </c>
    </row>
    <row r="78" spans="6:7" customFormat="1" ht="15.75" thickTop="1" x14ac:dyDescent="0.25">
      <c r="F78" s="209" t="s">
        <v>185</v>
      </c>
      <c r="G78" s="205" t="str">
        <f>Rounding!$B$12</f>
        <v>Inputs</v>
      </c>
    </row>
    <row r="79" spans="6:7" customFormat="1" ht="15.75" thickBot="1" x14ac:dyDescent="0.3">
      <c r="F79" s="208" t="s">
        <v>600</v>
      </c>
      <c r="G79" s="205" t="str">
        <f>Rounding!$B$103</f>
        <v>Rounding of tariff forecast</v>
      </c>
    </row>
    <row r="80" spans="6:7" customFormat="1" ht="15.75" thickTop="1" x14ac:dyDescent="0.25">
      <c r="F80" s="209" t="s">
        <v>554</v>
      </c>
      <c r="G80" s="205" t="str">
        <f>'Net revenue summary'!$B$11</f>
        <v>Inputs to net revenue summary calculation</v>
      </c>
    </row>
    <row r="81" spans="2:7" customFormat="1" ht="15.75" thickBot="1" x14ac:dyDescent="0.3">
      <c r="F81" s="208" t="s">
        <v>600</v>
      </c>
      <c r="G81" s="205" t="str">
        <f>'Net revenue summary'!$B$90</f>
        <v>Typical bills</v>
      </c>
    </row>
    <row r="82" spans="2:7" customFormat="1" ht="16.5" thickTop="1" thickBot="1" x14ac:dyDescent="0.3">
      <c r="F82" s="211" t="s">
        <v>437</v>
      </c>
      <c r="G82" s="205" t="str">
        <f>'Tariff summary'!$B$13</f>
        <v>Tariff summary</v>
      </c>
    </row>
    <row r="83" spans="2:7" customFormat="1" ht="15.75" thickTop="1" x14ac:dyDescent="0.25">
      <c r="F83" s="211" t="s">
        <v>484</v>
      </c>
      <c r="G83" s="205" t="str">
        <f>'Typical bills'!$B$13</f>
        <v>Typical bills</v>
      </c>
    </row>
    <row r="84" spans="2:7" customFormat="1" x14ac:dyDescent="0.25"/>
    <row r="85" spans="2:7" customFormat="1" x14ac:dyDescent="0.25">
      <c r="B85" s="95" t="s">
        <v>649</v>
      </c>
      <c r="C85" s="95"/>
      <c r="D85" s="95"/>
      <c r="E85" s="95"/>
      <c r="F85" s="95"/>
      <c r="G85" s="95"/>
    </row>
    <row r="86" spans="2:7" customFormat="1" x14ac:dyDescent="0.25"/>
    <row r="87" spans="2:7" customFormat="1" x14ac:dyDescent="0.25">
      <c r="C87" s="82" t="s">
        <v>648</v>
      </c>
    </row>
    <row r="88" spans="2:7" customFormat="1" x14ac:dyDescent="0.25"/>
    <row r="89" spans="2:7" customFormat="1" ht="15.75" thickBot="1" x14ac:dyDescent="0.3">
      <c r="F89" s="34" t="s">
        <v>598</v>
      </c>
      <c r="G89" s="202" t="s">
        <v>599</v>
      </c>
    </row>
    <row r="90" spans="2:7" customFormat="1" ht="15.75" thickTop="1" x14ac:dyDescent="0.25">
      <c r="F90" s="204" t="s">
        <v>604</v>
      </c>
      <c r="G90" s="205" t="str">
        <f>'ARP_CDCM timebands'!$C$14</f>
        <v>Distribution time bands</v>
      </c>
    </row>
    <row r="91" spans="2:7" customFormat="1" ht="15.75" thickBot="1" x14ac:dyDescent="0.3">
      <c r="F91" s="203" t="s">
        <v>600</v>
      </c>
      <c r="G91" s="205" t="str">
        <f>'ARP_CDCM timebands'!$C$26</f>
        <v>Special distribution time bands</v>
      </c>
    </row>
    <row r="92" spans="2:7" customFormat="1" ht="15.75" thickTop="1" x14ac:dyDescent="0.25">
      <c r="F92" s="295" t="s">
        <v>596</v>
      </c>
      <c r="G92" s="205" t="str">
        <f>'ARP_User control'!$C$15</f>
        <v>Inputs for manually running selected year</v>
      </c>
    </row>
    <row r="93" spans="2:7" customFormat="1" ht="15.75" thickBot="1" x14ac:dyDescent="0.3">
      <c r="F93" s="294" t="s">
        <v>600</v>
      </c>
      <c r="G93" s="205" t="str">
        <f>'ARP_User control'!$C$19</f>
        <v>Macro to run all years</v>
      </c>
    </row>
    <row r="94" spans="2:7" customFormat="1" ht="15.75" thickTop="1" x14ac:dyDescent="0.25">
      <c r="F94" s="207" t="s">
        <v>607</v>
      </c>
      <c r="G94" s="205" t="str">
        <f ca="1">'ARP_Inputs by customer type'!$C$16</f>
        <v>Input 501-A: Load factor</v>
      </c>
    </row>
    <row r="95" spans="2:7" customFormat="1" x14ac:dyDescent="0.25">
      <c r="F95" s="206" t="s">
        <v>600</v>
      </c>
      <c r="G95" s="205" t="str">
        <f ca="1">'ARP_Inputs by customer type'!$C$36</f>
        <v>Input 501-B: Coincidence factor</v>
      </c>
    </row>
    <row r="96" spans="2:7" customFormat="1" x14ac:dyDescent="0.25">
      <c r="F96" s="206" t="s">
        <v>600</v>
      </c>
      <c r="G96" s="205" t="str">
        <f ca="1">'ARP_Inputs by customer type'!$C$58</f>
        <v>Input 501-C: All-the-way volumes - No residual</v>
      </c>
    </row>
    <row r="97" spans="6:7" customFormat="1" x14ac:dyDescent="0.25">
      <c r="F97" s="206" t="s">
        <v>600</v>
      </c>
      <c r="G97" s="205" t="str">
        <f ca="1">'ARP_Inputs by customer type'!$C$186</f>
        <v>Input 501-D: All-the-way volumes - Residual Band 1</v>
      </c>
    </row>
    <row r="98" spans="6:7" customFormat="1" x14ac:dyDescent="0.25">
      <c r="F98" s="206" t="s">
        <v>600</v>
      </c>
      <c r="G98" s="205" t="str">
        <f ca="1">'ARP_Inputs by customer type'!$C$314</f>
        <v>Input 501-E: All-the-way volumes - Residual Band 2</v>
      </c>
    </row>
    <row r="99" spans="6:7" customFormat="1" x14ac:dyDescent="0.25">
      <c r="F99" s="206" t="s">
        <v>600</v>
      </c>
      <c r="G99" s="205" t="str">
        <f ca="1">'ARP_Inputs by customer type'!$C$442</f>
        <v>Input 501-F: All-the-way volumes - Residual Band 3</v>
      </c>
    </row>
    <row r="100" spans="6:7" customFormat="1" x14ac:dyDescent="0.25">
      <c r="F100" s="206" t="s">
        <v>600</v>
      </c>
      <c r="G100" s="205" t="str">
        <f ca="1">'ARP_Inputs by customer type'!$C$570</f>
        <v>Input 501-G: All-the-way volumes - Residual Band 4</v>
      </c>
    </row>
    <row r="101" spans="6:7" customFormat="1" x14ac:dyDescent="0.25">
      <c r="F101" s="206" t="s">
        <v>600</v>
      </c>
      <c r="G101" s="205" t="str">
        <f ca="1">'ARP_Inputs by customer type'!$C$698</f>
        <v>Input 501-H: LDNO LV volumes - No residual</v>
      </c>
    </row>
    <row r="102" spans="6:7" customFormat="1" x14ac:dyDescent="0.25">
      <c r="F102" s="206" t="s">
        <v>600</v>
      </c>
      <c r="G102" s="205" t="str">
        <f ca="1">'ARP_Inputs by customer type'!$C$826</f>
        <v>Input 501-I: LDNO LV volumes - Residual band 1</v>
      </c>
    </row>
    <row r="103" spans="6:7" customFormat="1" x14ac:dyDescent="0.25">
      <c r="F103" s="206" t="s">
        <v>600</v>
      </c>
      <c r="G103" s="205" t="str">
        <f ca="1">'ARP_Inputs by customer type'!$C$954</f>
        <v>Input 501-J: LDNO LV volumes - Residual band 2</v>
      </c>
    </row>
    <row r="104" spans="6:7" customFormat="1" x14ac:dyDescent="0.25">
      <c r="F104" s="206" t="s">
        <v>600</v>
      </c>
      <c r="G104" s="205" t="str">
        <f ca="1">'ARP_Inputs by customer type'!$C$1082</f>
        <v>Input 501-K: LDNO LV volumes - Residual band 3</v>
      </c>
    </row>
    <row r="105" spans="6:7" customFormat="1" x14ac:dyDescent="0.25">
      <c r="F105" s="206" t="s">
        <v>600</v>
      </c>
      <c r="G105" s="205" t="str">
        <f ca="1">'ARP_Inputs by customer type'!$C$1210</f>
        <v>Input 501-L: LDNO LV volumes - Residual band 4</v>
      </c>
    </row>
    <row r="106" spans="6:7" customFormat="1" x14ac:dyDescent="0.25">
      <c r="F106" s="206" t="s">
        <v>600</v>
      </c>
      <c r="G106" s="205" t="str">
        <f ca="1">'ARP_Inputs by customer type'!$C$1338</f>
        <v>Input 501-M: LDNO HV volumes - No residual</v>
      </c>
    </row>
    <row r="107" spans="6:7" customFormat="1" x14ac:dyDescent="0.25">
      <c r="F107" s="206" t="s">
        <v>600</v>
      </c>
      <c r="G107" s="205" t="str">
        <f ca="1">'ARP_Inputs by customer type'!$C$1466</f>
        <v>Input 501-N: LDNO HV volumes - Residual band 1</v>
      </c>
    </row>
    <row r="108" spans="6:7" customFormat="1" x14ac:dyDescent="0.25">
      <c r="F108" s="206" t="s">
        <v>600</v>
      </c>
      <c r="G108" s="205" t="str">
        <f ca="1">'ARP_Inputs by customer type'!$C$1594</f>
        <v>Input 501-O: LDNO HV volumes - Residual band 2</v>
      </c>
    </row>
    <row r="109" spans="6:7" customFormat="1" x14ac:dyDescent="0.25">
      <c r="F109" s="206" t="s">
        <v>600</v>
      </c>
      <c r="G109" s="205" t="str">
        <f ca="1">'ARP_Inputs by customer type'!$C$1722</f>
        <v>Input 501-P: LDNO HV volumes - Residual band 3</v>
      </c>
    </row>
    <row r="110" spans="6:7" customFormat="1" x14ac:dyDescent="0.25">
      <c r="F110" s="206" t="s">
        <v>600</v>
      </c>
      <c r="G110" s="205" t="str">
        <f ca="1">'ARP_Inputs by customer type'!$C$1850</f>
        <v>Input 501-Q: LDNO HV volumes - Residual band 4</v>
      </c>
    </row>
    <row r="111" spans="6:7" customFormat="1" x14ac:dyDescent="0.25">
      <c r="F111" s="206" t="s">
        <v>600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25">
      <c r="F112" s="206" t="s">
        <v>600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25">
      <c r="F113" s="206" t="s">
        <v>600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25">
      <c r="F114" s="206" t="s">
        <v>600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25">
      <c r="F115" s="206" t="s">
        <v>600</v>
      </c>
      <c r="G115" s="205" t="str">
        <f ca="1">'ARP_Inputs by customer type'!$C$2076</f>
        <v>Input 501-V: LV customer service model asset values</v>
      </c>
    </row>
    <row r="116" spans="6:7" customFormat="1" x14ac:dyDescent="0.25">
      <c r="F116" s="206" t="s">
        <v>600</v>
      </c>
      <c r="G116" s="205" t="str">
        <f ca="1">'ARP_Inputs by customer type'!$C$2096</f>
        <v>Input 501-W: HV customer service model asset values</v>
      </c>
    </row>
    <row r="117" spans="6:7" customFormat="1" ht="15.75" thickBot="1" x14ac:dyDescent="0.3">
      <c r="F117" s="206" t="s">
        <v>600</v>
      </c>
      <c r="G117" s="205" t="str">
        <f ca="1">'ARP_Inputs by customer type'!$C$2116</f>
        <v>Input 501-X: LV UMS customer service model asset values</v>
      </c>
    </row>
    <row r="118" spans="6:7" customFormat="1" ht="15.75" thickTop="1" x14ac:dyDescent="0.25">
      <c r="F118" s="207" t="s">
        <v>608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25">
      <c r="F119" s="206" t="s">
        <v>600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25">
      <c r="F120" s="206" t="s">
        <v>600</v>
      </c>
      <c r="G120" s="205" t="str">
        <f ca="1">'ARP_Inputs by network level'!$C$44</f>
        <v>Input 502-C: Loss adjustment factors to transmission</v>
      </c>
    </row>
    <row r="121" spans="6:7" customFormat="1" x14ac:dyDescent="0.25">
      <c r="F121" s="206" t="s">
        <v>600</v>
      </c>
      <c r="G121" s="205" t="str">
        <f ca="1">'ARP_Inputs by network level'!$C$58</f>
        <v>Input 502-D: Average kVAr by kVA, by network level</v>
      </c>
    </row>
    <row r="122" spans="6:7" customFormat="1" x14ac:dyDescent="0.25">
      <c r="F122" s="206" t="s">
        <v>600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25">
      <c r="F123" s="206" t="s">
        <v>600</v>
      </c>
      <c r="G123" s="205" t="str">
        <f ca="1">'ARP_Inputs by network level'!$C$120</f>
        <v>Input 502-F: Gross asset cost by network level</v>
      </c>
    </row>
    <row r="124" spans="6:7" customFormat="1" ht="15.75" thickBot="1" x14ac:dyDescent="0.3">
      <c r="F124" s="206" t="s">
        <v>600</v>
      </c>
      <c r="G124" s="205" t="str">
        <f ca="1">'ARP_Inputs by network level'!$C$134</f>
        <v>Input 502-G: Peaking probabilities, by timeband &amp; network level</v>
      </c>
    </row>
    <row r="125" spans="6:7" customFormat="1" ht="15.75" thickTop="1" x14ac:dyDescent="0.25">
      <c r="F125" s="207" t="s">
        <v>609</v>
      </c>
      <c r="G125" s="205" t="str">
        <f ca="1">'ARP_General inputs'!$C$16</f>
        <v>Input 503-A: Split of hours by distribution timeband</v>
      </c>
    </row>
    <row r="126" spans="6:7" customFormat="1" x14ac:dyDescent="0.25">
      <c r="F126" s="206" t="s">
        <v>600</v>
      </c>
      <c r="G126" s="205" t="str">
        <f ca="1">'ARP_General inputs'!$C$28</f>
        <v>Input 503-B: Embedded network (LDNO) discount percentages</v>
      </c>
    </row>
    <row r="127" spans="6:7" customFormat="1" x14ac:dyDescent="0.25">
      <c r="F127" s="206" t="s">
        <v>600</v>
      </c>
      <c r="G127" s="205" t="str">
        <f ca="1">'ARP_General inputs'!$C$38</f>
        <v>Input 503-C: CDCM target revenue</v>
      </c>
    </row>
    <row r="128" spans="6:7" customFormat="1" x14ac:dyDescent="0.25">
      <c r="F128" s="206" t="s">
        <v>600</v>
      </c>
      <c r="G128" s="205" t="str">
        <f ca="1">'ARP_General inputs'!$C$98</f>
        <v>Input 503-D: Financial and general assumptions</v>
      </c>
    </row>
    <row r="129" spans="6:7" customFormat="1" x14ac:dyDescent="0.25">
      <c r="F129" s="206" t="s">
        <v>600</v>
      </c>
      <c r="G129" s="205" t="str">
        <f ca="1">'ARP_General inputs'!$C$103</f>
        <v>Input 503-E: Transmission exit charges</v>
      </c>
    </row>
    <row r="130" spans="6:7" customFormat="1" ht="15.75" thickBot="1" x14ac:dyDescent="0.3">
      <c r="F130" s="206" t="s">
        <v>600</v>
      </c>
      <c r="G130" s="205" t="str">
        <f ca="1">'ARP_General inputs'!$C$107</f>
        <v>Input 503-F: Other expenditure</v>
      </c>
    </row>
    <row r="131" spans="6:7" customFormat="1" ht="15.75" thickTop="1" x14ac:dyDescent="0.25">
      <c r="F131" s="207" t="s">
        <v>429</v>
      </c>
      <c r="G131" s="205" t="str">
        <f ca="1">'Fixed inputs'!$C$13</f>
        <v>Input 504-A: Conversions and time</v>
      </c>
    </row>
    <row r="132" spans="6:7" customFormat="1" x14ac:dyDescent="0.25">
      <c r="F132" s="206" t="s">
        <v>600</v>
      </c>
      <c r="G132" s="205" t="str">
        <f ca="1">'Fixed inputs'!$C$20</f>
        <v>Input 504-B: Input 101-B: Rounding</v>
      </c>
    </row>
    <row r="133" spans="6:7" customFormat="1" x14ac:dyDescent="0.25">
      <c r="F133" s="206" t="s">
        <v>600</v>
      </c>
      <c r="G133" s="205" t="str">
        <f ca="1">'Fixed inputs'!$C$33</f>
        <v>Input 504-C: Financial and general assumptions</v>
      </c>
    </row>
    <row r="134" spans="6:7" customFormat="1" x14ac:dyDescent="0.25">
      <c r="F134" s="206" t="s">
        <v>600</v>
      </c>
      <c r="G134" s="205" t="str">
        <f ca="1">'Fixed inputs'!$C$43</f>
        <v>Input 504-D: Mappings</v>
      </c>
    </row>
    <row r="135" spans="6:7" customFormat="1" x14ac:dyDescent="0.25">
      <c r="F135" s="206" t="s">
        <v>600</v>
      </c>
      <c r="G135" s="205" t="str">
        <f ca="1">'Fixed inputs'!$C$84</f>
        <v>Input 504-E: Standing charge factors</v>
      </c>
    </row>
    <row r="136" spans="6:7" customFormat="1" x14ac:dyDescent="0.25">
      <c r="F136" s="206" t="s">
        <v>600</v>
      </c>
      <c r="G136" s="205" t="str">
        <f ca="1">'Fixed inputs'!$C$99</f>
        <v>Input 504-F: Flags</v>
      </c>
    </row>
    <row r="137" spans="6:7" customFormat="1" x14ac:dyDescent="0.25">
      <c r="F137" s="206" t="s">
        <v>600</v>
      </c>
      <c r="G137" s="205" t="str">
        <f ca="1">'Fixed inputs'!$C$141</f>
        <v>Input 504-G: Identifiers for customer groupings</v>
      </c>
    </row>
    <row r="138" spans="6:7" customFormat="1" x14ac:dyDescent="0.25">
      <c r="F138" s="206" t="s">
        <v>600</v>
      </c>
      <c r="G138" s="205" t="str">
        <f ca="1">'Fixed inputs'!$C$151</f>
        <v>Input 504-H: Decimal places for error checks</v>
      </c>
    </row>
    <row r="139" spans="6:7" customFormat="1" x14ac:dyDescent="0.25">
      <c r="F139" s="206" t="s">
        <v>600</v>
      </c>
      <c r="G139" s="205" t="str">
        <f ca="1">'Fixed inputs'!$C$155</f>
        <v>Input 504-I: Map of applicable MPANs</v>
      </c>
    </row>
    <row r="140" spans="6:7" customFormat="1" ht="15.75" thickBot="1" x14ac:dyDescent="0.3">
      <c r="F140" s="206" t="s">
        <v>600</v>
      </c>
      <c r="G140" s="205" t="str">
        <f ca="1">'Fixed inputs'!$C$161</f>
        <v>Input 504-J: Revenue matching inputs</v>
      </c>
    </row>
    <row r="141" spans="6:7" customFormat="1" ht="15.75" thickTop="1" x14ac:dyDescent="0.25">
      <c r="F141" s="209" t="s">
        <v>446</v>
      </c>
      <c r="G141" s="205" t="str">
        <f ca="1">'Inputs by customer type'!$C$16</f>
        <v>Section 501-A: Load characteristics</v>
      </c>
    </row>
    <row r="142" spans="6:7" customFormat="1" x14ac:dyDescent="0.25">
      <c r="F142" s="208" t="s">
        <v>600</v>
      </c>
      <c r="G142" s="205" t="str">
        <f ca="1">'Inputs by customer type'!$C$21</f>
        <v>Section 501-B: Volume forecasts for the charging year</v>
      </c>
    </row>
    <row r="143" spans="6:7" customFormat="1" x14ac:dyDescent="0.25">
      <c r="F143" s="208" t="s">
        <v>600</v>
      </c>
      <c r="G143" s="205" t="str">
        <f ca="1">'Inputs by customer type'!$C$166</f>
        <v>Section 501-C: Non-Domestic Aggregated (Related MPAN) distribution by bands</v>
      </c>
    </row>
    <row r="144" spans="6:7" customFormat="1" ht="15.75" thickBot="1" x14ac:dyDescent="0.3">
      <c r="F144" s="208" t="s">
        <v>600</v>
      </c>
      <c r="G144" s="205" t="str">
        <f ca="1">'Inputs by customer type'!$C$186</f>
        <v>Section 501-D: Service model asset values</v>
      </c>
    </row>
    <row r="145" spans="6:7" customFormat="1" ht="15.75" thickTop="1" x14ac:dyDescent="0.2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25">
      <c r="F146" s="208" t="s">
        <v>600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25">
      <c r="F147" s="208" t="s">
        <v>600</v>
      </c>
      <c r="G147" s="205" t="str">
        <f ca="1">'Inputs by network level'!$C$34</f>
        <v>Section 502-C: DRM asset costs</v>
      </c>
    </row>
    <row r="148" spans="6:7" customFormat="1" ht="15.75" thickBot="1" x14ac:dyDescent="0.3">
      <c r="F148" s="208" t="s">
        <v>600</v>
      </c>
      <c r="G148" s="205" t="str">
        <f ca="1">'Inputs by network level'!$C$38</f>
        <v>Section 502-D: Peaking probabilities by network level</v>
      </c>
    </row>
    <row r="149" spans="6:7" customFormat="1" ht="15.75" thickTop="1" x14ac:dyDescent="0.25">
      <c r="F149" s="209" t="s">
        <v>553</v>
      </c>
      <c r="G149" s="205" t="str">
        <f ca="1">'General inputs'!$C$16</f>
        <v>Section 503-A: Inputs by distribution timeband</v>
      </c>
    </row>
    <row r="150" spans="6:7" customFormat="1" x14ac:dyDescent="0.25">
      <c r="F150" s="208" t="s">
        <v>600</v>
      </c>
      <c r="G150" s="205" t="str">
        <f ca="1">'General inputs'!$C$28</f>
        <v>Section 503-B: LDNO discount inputs</v>
      </c>
    </row>
    <row r="151" spans="6:7" customFormat="1" x14ac:dyDescent="0.25">
      <c r="F151" s="208" t="s">
        <v>600</v>
      </c>
      <c r="G151" s="205" t="str">
        <f ca="1">'General inputs'!$C$38</f>
        <v>Section 503-C: CDCM target revenue</v>
      </c>
    </row>
    <row r="152" spans="6:7" customFormat="1" x14ac:dyDescent="0.25">
      <c r="F152" s="208" t="s">
        <v>600</v>
      </c>
      <c r="G152" s="205" t="str">
        <f ca="1">'General inputs'!$C$92</f>
        <v>Section 503-D: Financial and general assumptions</v>
      </c>
    </row>
    <row r="153" spans="6:7" customFormat="1" x14ac:dyDescent="0.25">
      <c r="F153" s="208" t="s">
        <v>600</v>
      </c>
      <c r="G153" s="205" t="str">
        <f ca="1">'General inputs'!$C$98</f>
        <v>Section 503-E: Transmission exit charges</v>
      </c>
    </row>
    <row r="154" spans="6:7" customFormat="1" ht="15.75" thickBot="1" x14ac:dyDescent="0.3">
      <c r="F154" s="208" t="s">
        <v>600</v>
      </c>
      <c r="G154" s="205" t="str">
        <f ca="1">'General inputs'!$C$102</f>
        <v>Section 503-F: Other expenditure</v>
      </c>
    </row>
    <row r="155" spans="6:7" customFormat="1" ht="16.5" thickTop="1" thickBot="1" x14ac:dyDescent="0.3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.75" thickTop="1" x14ac:dyDescent="0.25">
      <c r="F156" s="209" t="s">
        <v>433</v>
      </c>
      <c r="G156" s="205" t="str">
        <f ca="1">'Load &amp; loss characteristics'!$C$17</f>
        <v>Section 505-A: Load characteristics</v>
      </c>
    </row>
    <row r="157" spans="6:7" customFormat="1" x14ac:dyDescent="0.25">
      <c r="F157" s="208" t="s">
        <v>600</v>
      </c>
      <c r="G157" s="205" t="str">
        <f ca="1">'Load &amp; loss characteristics'!$C$25</f>
        <v>Section 505-B: Loss adjustment factors</v>
      </c>
    </row>
    <row r="158" spans="6:7" customFormat="1" x14ac:dyDescent="0.25">
      <c r="F158" s="208" t="s">
        <v>600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25">
      <c r="F159" s="208" t="s">
        <v>600</v>
      </c>
      <c r="G159" s="205" t="str">
        <f ca="1">'Load &amp; loss characteristics'!$C$40</f>
        <v>Section 505-D: Network use factors</v>
      </c>
    </row>
    <row r="160" spans="6:7" customFormat="1" ht="15.75" thickBot="1" x14ac:dyDescent="0.3">
      <c r="F160" s="208" t="s">
        <v>600</v>
      </c>
      <c r="G160" s="205" t="str">
        <f ca="1">'Load &amp; loss characteristics'!$C$121</f>
        <v>Section 505-E: User loss factors</v>
      </c>
    </row>
    <row r="161" spans="6:7" customFormat="1" ht="15.75" thickTop="1" x14ac:dyDescent="0.25">
      <c r="F161" s="209" t="s">
        <v>232</v>
      </c>
      <c r="G161" s="205" t="str">
        <f ca="1">'Customer contributions'!$C$16</f>
        <v>Section 506-A: Network use factors</v>
      </c>
    </row>
    <row r="162" spans="6:7" customFormat="1" ht="15.75" thickBot="1" x14ac:dyDescent="0.3">
      <c r="F162" s="208" t="s">
        <v>600</v>
      </c>
      <c r="G162" s="205" t="str">
        <f ca="1">'Customer contributions'!$C$38</f>
        <v>Section 506-B: Customer contributions</v>
      </c>
    </row>
    <row r="163" spans="6:7" customFormat="1" ht="15.75" thickTop="1" x14ac:dyDescent="0.2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25">
      <c r="F164" s="208" t="s">
        <v>600</v>
      </c>
      <c r="G164" s="205" t="str">
        <f ca="1">'Volume adjustments'!$C$53</f>
        <v>Section 507-B: Aggregation of volumes</v>
      </c>
    </row>
    <row r="165" spans="6:7" customFormat="1" x14ac:dyDescent="0.25">
      <c r="F165" s="208" t="s">
        <v>600</v>
      </c>
      <c r="G165" s="205" t="str">
        <f ca="1">'Volume adjustments'!$C$225</f>
        <v>Section 507-C: Volume discounting</v>
      </c>
    </row>
    <row r="166" spans="6:7" customFormat="1" x14ac:dyDescent="0.25">
      <c r="F166" s="208" t="s">
        <v>600</v>
      </c>
      <c r="G166" s="205" t="str">
        <f ca="1">'Volume adjustments'!$C$332</f>
        <v>Section 507-D: No residual volume discounting</v>
      </c>
    </row>
    <row r="167" spans="6:7" customFormat="1" x14ac:dyDescent="0.25">
      <c r="F167" s="208" t="s">
        <v>600</v>
      </c>
      <c r="G167" s="205" t="str">
        <f ca="1">'Volume adjustments'!$C$361</f>
        <v>Section 507-E: Residual band 1 volume discounting</v>
      </c>
    </row>
    <row r="168" spans="6:7" customFormat="1" x14ac:dyDescent="0.25">
      <c r="F168" s="208" t="s">
        <v>600</v>
      </c>
      <c r="G168" s="205" t="str">
        <f ca="1">'Volume adjustments'!$C$390</f>
        <v>Section 507-F: Residual band 2 volume discounting</v>
      </c>
    </row>
    <row r="169" spans="6:7" customFormat="1" x14ac:dyDescent="0.25">
      <c r="F169" s="208" t="s">
        <v>600</v>
      </c>
      <c r="G169" s="205" t="str">
        <f ca="1">'Volume adjustments'!$C$419</f>
        <v>Section 507-G: Residual band 3 volume discounting</v>
      </c>
    </row>
    <row r="170" spans="6:7" customFormat="1" x14ac:dyDescent="0.25">
      <c r="F170" s="208" t="s">
        <v>600</v>
      </c>
      <c r="G170" s="205" t="str">
        <f ca="1">'Volume adjustments'!$C$448</f>
        <v>Section 507-H: Residual band 4 volume discounting</v>
      </c>
    </row>
    <row r="171" spans="6:7" customFormat="1" x14ac:dyDescent="0.25">
      <c r="F171" s="208" t="s">
        <v>600</v>
      </c>
      <c r="G171" s="205" t="str">
        <f ca="1">'Volume adjustments'!$C$477</f>
        <v>Section 507-I: Discounted volumes by residual band</v>
      </c>
    </row>
    <row r="172" spans="6:7" customFormat="1" x14ac:dyDescent="0.25">
      <c r="F172" s="208" t="s">
        <v>600</v>
      </c>
      <c r="G172" s="205" t="str">
        <f ca="1">'Volume adjustments'!$C$523</f>
        <v>Section 507-J: Volumes by residual band</v>
      </c>
    </row>
    <row r="173" spans="6:7" customFormat="1" ht="15.75" thickBot="1" x14ac:dyDescent="0.3">
      <c r="F173" s="208" t="s">
        <v>600</v>
      </c>
      <c r="G173" s="205" t="str">
        <f ca="1">'Volume adjustments'!$C$657</f>
        <v>Section 507-K: Non-domestic aggregated (related MPAN) distribution across bands</v>
      </c>
    </row>
    <row r="174" spans="6:7" customFormat="1" ht="15.75" thickTop="1" x14ac:dyDescent="0.2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25">
      <c r="F175" s="208" t="s">
        <v>600</v>
      </c>
      <c r="G175" s="205" t="str">
        <f ca="1">'Pseudo-load coefficients'!$C$28</f>
        <v>Section 508-B: Average load by timeband</v>
      </c>
    </row>
    <row r="176" spans="6:7" customFormat="1" x14ac:dyDescent="0.25">
      <c r="F176" s="208" t="s">
        <v>600</v>
      </c>
      <c r="G176" s="205" t="str">
        <f ca="1">'Pseudo-load coefficients'!$C$36</f>
        <v>Section 508-C: Aggregated groups for pseudo-load coefficients</v>
      </c>
    </row>
    <row r="177" spans="6:7" customFormat="1" x14ac:dyDescent="0.25">
      <c r="F177" s="208" t="s">
        <v>600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25">
      <c r="F178" s="208" t="s">
        <v>600</v>
      </c>
      <c r="G178" s="205" t="str">
        <f ca="1">'Pseudo-load coefficients'!$C$60</f>
        <v>Section 508-E: Load characteristics for all customers</v>
      </c>
    </row>
    <row r="179" spans="6:7" customFormat="1" x14ac:dyDescent="0.25">
      <c r="F179" s="208" t="s">
        <v>600</v>
      </c>
      <c r="G179" s="205" t="str">
        <f ca="1">'Pseudo-load coefficients'!$C$65</f>
        <v>Section 508-F: Aggregated load characteristics for grouped customers</v>
      </c>
    </row>
    <row r="180" spans="6:7" customFormat="1" x14ac:dyDescent="0.25">
      <c r="F180" s="208" t="s">
        <v>600</v>
      </c>
      <c r="G180" s="205" t="str">
        <f ca="1">'Pseudo-load coefficients'!$C$87</f>
        <v>Section 508-G: Calculation of correction factor</v>
      </c>
    </row>
    <row r="181" spans="6:7" customFormat="1" x14ac:dyDescent="0.25">
      <c r="F181" s="208" t="s">
        <v>600</v>
      </c>
      <c r="G181" s="205" t="str">
        <f ca="1">'Pseudo-load coefficients'!$C$100</f>
        <v>Section 508-H: Peaking probabilities, by network level</v>
      </c>
    </row>
    <row r="182" spans="6:7" customFormat="1" x14ac:dyDescent="0.25">
      <c r="F182" s="208" t="s">
        <v>600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25">
      <c r="F183" s="208" t="s">
        <v>600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25">
      <c r="F184" s="208" t="s">
        <v>600</v>
      </c>
      <c r="G184" s="205" t="str">
        <f ca="1">'Pseudo-load coefficients'!$C$265</f>
        <v>Section 508-K: Load coefficient</v>
      </c>
    </row>
    <row r="185" spans="6:7" customFormat="1" ht="15.75" thickBot="1" x14ac:dyDescent="0.3">
      <c r="F185" s="208" t="s">
        <v>600</v>
      </c>
      <c r="G185" s="205" t="str">
        <f ca="1">'Pseudo-load coefficients'!$C$269</f>
        <v>Section 508-L: Pseudo load coefficients, by unit rate</v>
      </c>
    </row>
    <row r="186" spans="6:7" customFormat="1" ht="15.75" thickTop="1" x14ac:dyDescent="0.25">
      <c r="F186" s="209" t="s">
        <v>434</v>
      </c>
      <c r="G186" s="205" t="str">
        <f ca="1">'System peak demand'!$C$18</f>
        <v>Section 509-A: Common inputs for chargeable load calculations</v>
      </c>
    </row>
    <row r="187" spans="6:7" customFormat="1" x14ac:dyDescent="0.25">
      <c r="F187" s="208" t="s">
        <v>600</v>
      </c>
      <c r="G187" s="205" t="str">
        <f ca="1">'System peak demand'!$C$67</f>
        <v>Section 509-B: System peak load, by unit rate</v>
      </c>
    </row>
    <row r="188" spans="6:7" customFormat="1" x14ac:dyDescent="0.25">
      <c r="F188" s="208" t="s">
        <v>600</v>
      </c>
      <c r="G188" s="205" t="str">
        <f ca="1">'System peak demand'!$C$138</f>
        <v>Section 509-C: System peak load, all unit rates</v>
      </c>
    </row>
    <row r="189" spans="6:7" customFormat="1" x14ac:dyDescent="0.25">
      <c r="F189" s="208" t="s">
        <v>600</v>
      </c>
      <c r="G189" s="205" t="str">
        <f ca="1">'System peak demand'!$C$164</f>
        <v>Section 509-D: Unit rate contributions to chargeable peak load</v>
      </c>
    </row>
    <row r="190" spans="6:7" customFormat="1" x14ac:dyDescent="0.25">
      <c r="F190" s="208" t="s">
        <v>600</v>
      </c>
      <c r="G190" s="205" t="str">
        <f ca="1">'System peak demand'!$C$184</f>
        <v>Section 509-E: Adjustment of import and exceeded capacity</v>
      </c>
    </row>
    <row r="191" spans="6:7" customFormat="1" x14ac:dyDescent="0.25">
      <c r="F191" s="208" t="s">
        <v>600</v>
      </c>
      <c r="G191" s="205" t="str">
        <f ca="1">'System peak demand'!$C$194</f>
        <v>Section 509-F: Calculation of LV circuit diversity factor</v>
      </c>
    </row>
    <row r="192" spans="6:7" customFormat="1" x14ac:dyDescent="0.25">
      <c r="F192" s="208" t="s">
        <v>600</v>
      </c>
      <c r="G192" s="205" t="str">
        <f ca="1">'System peak demand'!$C$236</f>
        <v>Section 509-G: Import/exceeded capacity contribution to system peak</v>
      </c>
    </row>
    <row r="193" spans="6:7" customFormat="1" x14ac:dyDescent="0.25">
      <c r="F193" s="208" t="s">
        <v>600</v>
      </c>
      <c r="G193" s="205" t="str">
        <f ca="1">'System peak demand'!$C$249</f>
        <v>Section 509-H: Estimated capacity contribution to system peak</v>
      </c>
    </row>
    <row r="194" spans="6:7" customFormat="1" ht="15.75" thickBot="1" x14ac:dyDescent="0.3">
      <c r="F194" s="208" t="s">
        <v>600</v>
      </c>
      <c r="G194" s="205" t="str">
        <f ca="1">'System peak demand'!$C$266</f>
        <v>Section 509-I: System peak based on chargeable load</v>
      </c>
    </row>
    <row r="195" spans="6:7" customFormat="1" ht="16.5" thickTop="1" thickBot="1" x14ac:dyDescent="0.3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.75" thickTop="1" x14ac:dyDescent="0.25">
      <c r="F196" s="209" t="s">
        <v>294</v>
      </c>
      <c r="G196" s="205" t="str">
        <f ca="1">'Unit costs'!$C$19</f>
        <v>Section 511-A: Financial data</v>
      </c>
    </row>
    <row r="197" spans="6:7" customFormat="1" x14ac:dyDescent="0.25">
      <c r="F197" s="208" t="s">
        <v>600</v>
      </c>
      <c r="G197" s="205" t="str">
        <f ca="1">'Unit costs'!$C$27</f>
        <v>Section 511-B: Diversity and loss adjustment factors</v>
      </c>
    </row>
    <row r="198" spans="6:7" customFormat="1" x14ac:dyDescent="0.25">
      <c r="F198" s="208" t="s">
        <v>600</v>
      </c>
      <c r="G198" s="205" t="str">
        <f ca="1">'Unit costs'!$C$35</f>
        <v>Section 511-C: Maximum demand</v>
      </c>
    </row>
    <row r="199" spans="6:7" customFormat="1" x14ac:dyDescent="0.25">
      <c r="F199" s="208" t="s">
        <v>600</v>
      </c>
      <c r="G199" s="205" t="str">
        <f ca="1">'Unit costs'!$C$42</f>
        <v>Section 511-D: Rerouting matrix</v>
      </c>
    </row>
    <row r="200" spans="6:7" customFormat="1" x14ac:dyDescent="0.25">
      <c r="F200" s="208" t="s">
        <v>600</v>
      </c>
      <c r="G200" s="205" t="str">
        <f ca="1">'Unit costs'!$C$50</f>
        <v>Section 511-E: Annuitised cost of assets</v>
      </c>
    </row>
    <row r="201" spans="6:7" customFormat="1" x14ac:dyDescent="0.25">
      <c r="F201" s="208" t="s">
        <v>600</v>
      </c>
      <c r="G201" s="205" t="str">
        <f ca="1">'Unit costs'!$C$62</f>
        <v>Section 511-F: System simultaneous peak load based on charegable units</v>
      </c>
    </row>
    <row r="202" spans="6:7" customFormat="1" x14ac:dyDescent="0.25">
      <c r="F202" s="208" t="s">
        <v>600</v>
      </c>
      <c r="G202" s="205" t="str">
        <f ca="1">'Unit costs'!$C$69</f>
        <v>Section 511-G: Notional asset values, by network level</v>
      </c>
    </row>
    <row r="203" spans="6:7" customFormat="1" x14ac:dyDescent="0.25">
      <c r="F203" s="208" t="s">
        <v>600</v>
      </c>
      <c r="G203" s="205" t="str">
        <f ca="1">'Unit costs'!$C$80</f>
        <v>Section 511-H: Other operating costs</v>
      </c>
    </row>
    <row r="204" spans="6:7" customFormat="1" x14ac:dyDescent="0.25">
      <c r="F204" s="208" t="s">
        <v>600</v>
      </c>
      <c r="G204" s="205" t="str">
        <f ca="1">'Unit costs'!$C$92</f>
        <v>Section 511-I: Other operating costs by network level</v>
      </c>
    </row>
    <row r="205" spans="6:7" customFormat="1" x14ac:dyDescent="0.25">
      <c r="F205" s="208" t="s">
        <v>600</v>
      </c>
      <c r="G205" s="205" t="str">
        <f ca="1">'Unit costs'!$C$104</f>
        <v>Section 511-J: Notional asset values by network level</v>
      </c>
    </row>
    <row r="206" spans="6:7" customFormat="1" x14ac:dyDescent="0.25">
      <c r="F206" s="208" t="s">
        <v>600</v>
      </c>
      <c r="G206" s="205" t="str">
        <f ca="1">'Unit costs'!$C$110</f>
        <v>Section 511-K: Unit costs</v>
      </c>
    </row>
    <row r="207" spans="6:7" customFormat="1" ht="15.75" thickBot="1" x14ac:dyDescent="0.3">
      <c r="F207" s="208" t="s">
        <v>600</v>
      </c>
      <c r="G207" s="205" t="str">
        <f ca="1">'Unit costs'!$C$117</f>
        <v>Section 511-L: Values used for allocating costs to service models</v>
      </c>
    </row>
    <row r="208" spans="6:7" customFormat="1" ht="15.75" thickTop="1" x14ac:dyDescent="0.2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25">
      <c r="F209" s="208" t="s">
        <v>600</v>
      </c>
      <c r="G209" s="205" t="str">
        <f ca="1">'Initial unit rates'!$C$118</f>
        <v>Section 512-B: Yardstick charges</v>
      </c>
    </row>
    <row r="210" spans="6:7" customFormat="1" x14ac:dyDescent="0.25">
      <c r="F210" s="208" t="s">
        <v>600</v>
      </c>
      <c r="G210" s="205" t="str">
        <f ca="1">'Initial unit rates'!$C$146</f>
        <v>Section 512-C: Unit rate 1</v>
      </c>
    </row>
    <row r="211" spans="6:7" customFormat="1" x14ac:dyDescent="0.25">
      <c r="F211" s="208" t="s">
        <v>600</v>
      </c>
      <c r="G211" s="205" t="str">
        <f ca="1">'Initial unit rates'!$C$175</f>
        <v>Section 512-D: Unit rate 2</v>
      </c>
    </row>
    <row r="212" spans="6:7" customFormat="1" ht="15.75" thickBot="1" x14ac:dyDescent="0.3">
      <c r="F212" s="208" t="s">
        <v>600</v>
      </c>
      <c r="G212" s="205" t="str">
        <f ca="1">'Initial unit rates'!$C$204</f>
        <v>Section 512-E: Unit rate 3</v>
      </c>
    </row>
    <row r="213" spans="6:7" customFormat="1" ht="15.75" thickTop="1" x14ac:dyDescent="0.25">
      <c r="F213" s="209" t="s">
        <v>435</v>
      </c>
      <c r="G213" s="205" t="str">
        <f ca="1">'Service model charges'!$C$17</f>
        <v>Section 513-A: Inputs to service model charge calculation</v>
      </c>
    </row>
    <row r="214" spans="6:7" customFormat="1" x14ac:dyDescent="0.25">
      <c r="F214" s="208" t="s">
        <v>600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.75" thickBot="1" x14ac:dyDescent="0.3">
      <c r="F215" s="208" t="s">
        <v>600</v>
      </c>
      <c r="G215" s="205" t="str">
        <f ca="1">'Service model charges'!$C$37</f>
        <v>Section 513-C: Calculation of service model charges</v>
      </c>
    </row>
    <row r="216" spans="6:7" customFormat="1" ht="15.75" thickTop="1" x14ac:dyDescent="0.25">
      <c r="F216" s="209" t="s">
        <v>436</v>
      </c>
      <c r="G216" s="205" t="str">
        <f ca="1">'Unit rate charges'!$C$19</f>
        <v>Section 514-A: Initial unit rate 1</v>
      </c>
    </row>
    <row r="217" spans="6:7" customFormat="1" x14ac:dyDescent="0.25">
      <c r="F217" s="208" t="s">
        <v>600</v>
      </c>
      <c r="G217" s="205" t="str">
        <f ca="1">'Unit rate charges'!$C$49</f>
        <v>Section 514-B: Initial unit rate 2</v>
      </c>
    </row>
    <row r="218" spans="6:7" customFormat="1" x14ac:dyDescent="0.25">
      <c r="F218" s="208" t="s">
        <v>600</v>
      </c>
      <c r="G218" s="205" t="str">
        <f ca="1">'Unit rate charges'!$C$79</f>
        <v>Section 514-C: Initial unit rate 3</v>
      </c>
    </row>
    <row r="219" spans="6:7" customFormat="1" x14ac:dyDescent="0.25">
      <c r="F219" s="208" t="s">
        <v>600</v>
      </c>
      <c r="G219" s="205" t="str">
        <f ca="1">'Unit rate charges'!$C$109</f>
        <v>Section 514-D: Standing charge factors</v>
      </c>
    </row>
    <row r="220" spans="6:7" customFormat="1" x14ac:dyDescent="0.25">
      <c r="F220" s="208" t="s">
        <v>600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25">
      <c r="F221" s="208" t="s">
        <v>600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25">
      <c r="F222" s="208" t="s">
        <v>600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.75" thickBot="1" x14ac:dyDescent="0.3">
      <c r="F223" s="208" t="s">
        <v>600</v>
      </c>
      <c r="G223" s="205" t="str">
        <f ca="1">'Unit rate charges'!$C$214</f>
        <v>Section 514-H: Unit rates, post application of standing charges</v>
      </c>
    </row>
    <row r="224" spans="6:7" customFormat="1" ht="15.75" thickTop="1" x14ac:dyDescent="0.2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25">
      <c r="F225" s="208" t="s">
        <v>600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25">
      <c r="F226" s="208" t="s">
        <v>600</v>
      </c>
      <c r="G226" s="205" t="str">
        <f ca="1">'Capacity charges'!$C$159</f>
        <v>Section 515-C: Exceeded capacity-based charge elements</v>
      </c>
    </row>
    <row r="227" spans="6:7" customFormat="1" x14ac:dyDescent="0.25">
      <c r="F227" s="208" t="s">
        <v>600</v>
      </c>
      <c r="G227" s="205" t="str">
        <f ca="1">'Capacity charges'!$C$189</f>
        <v>Section 515-D: Capacity charges for eligible customers, by network level</v>
      </c>
    </row>
    <row r="228" spans="6:7" customFormat="1" x14ac:dyDescent="0.25">
      <c r="F228" s="208" t="s">
        <v>600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25">
      <c r="F229" s="208" t="s">
        <v>600</v>
      </c>
      <c r="G229" s="205" t="str">
        <f ca="1">'Capacity charges'!$C$254</f>
        <v>Section 515-F: Capacity and exceeded capacity charges</v>
      </c>
    </row>
    <row r="230" spans="6:7" customFormat="1" ht="15.75" thickBot="1" x14ac:dyDescent="0.3">
      <c r="F230" s="208" t="s">
        <v>600</v>
      </c>
      <c r="G230" s="205" t="str">
        <f ca="1">'Capacity charges'!$C$259</f>
        <v>Section 515-G: Capacity elements allocated to fixed charges</v>
      </c>
    </row>
    <row r="231" spans="6:7" customFormat="1" ht="15.75" thickTop="1" x14ac:dyDescent="0.2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25">
      <c r="F232" s="208" t="s">
        <v>600</v>
      </c>
      <c r="G232" s="205" t="str">
        <f ca="1">'Reactive power charges'!$C$120</f>
        <v>Section 516-B: Yardstick charge (demand)</v>
      </c>
    </row>
    <row r="233" spans="6:7" customFormat="1" x14ac:dyDescent="0.25">
      <c r="F233" s="208" t="s">
        <v>600</v>
      </c>
      <c r="G233" s="205" t="str">
        <f ca="1">'Reactive power charges'!$C$155</f>
        <v>Section 516-C: Yardstick charge used for generation</v>
      </c>
    </row>
    <row r="234" spans="6:7" customFormat="1" x14ac:dyDescent="0.25">
      <c r="F234" s="208" t="s">
        <v>600</v>
      </c>
      <c r="G234" s="205" t="str">
        <f ca="1">'Reactive power charges'!$C$190</f>
        <v>Section 516-D: Reactive power charges, all customer categories</v>
      </c>
    </row>
    <row r="235" spans="6:7" customFormat="1" ht="15.75" thickBot="1" x14ac:dyDescent="0.3">
      <c r="F235" s="208" t="s">
        <v>600</v>
      </c>
      <c r="G235" s="205" t="str">
        <f ca="1">'Reactive power charges'!$C$220</f>
        <v>Section 516-E: Reactive power charges for applicable customers</v>
      </c>
    </row>
    <row r="236" spans="6:7" customFormat="1" ht="15.75" thickTop="1" x14ac:dyDescent="0.2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25">
      <c r="F237" s="208" t="s">
        <v>600</v>
      </c>
      <c r="G237" s="205" t="str">
        <f ca="1">'Fixed charges'!$C$22</f>
        <v>Section 517-B: Capacity elements allocated to fixed charges</v>
      </c>
    </row>
    <row r="238" spans="6:7" customFormat="1" x14ac:dyDescent="0.25">
      <c r="F238" s="208" t="s">
        <v>600</v>
      </c>
      <c r="G238" s="205" t="str">
        <f ca="1">'Fixed charges'!$C$52</f>
        <v>Section 517-C: Service model costs allocated to fixed charges</v>
      </c>
    </row>
    <row r="239" spans="6:7" customFormat="1" x14ac:dyDescent="0.25">
      <c r="F239" s="208" t="s">
        <v>600</v>
      </c>
      <c r="G239" s="205" t="str">
        <f ca="1">'Fixed charges'!$C$58</f>
        <v>Section 517-D: Flags</v>
      </c>
    </row>
    <row r="240" spans="6:7" customFormat="1" x14ac:dyDescent="0.25">
      <c r="F240" s="208" t="s">
        <v>600</v>
      </c>
      <c r="G240" s="205" t="str">
        <f ca="1">'Fixed charges'!$C$67</f>
        <v>Section 517-E: Revenue allocated to fixed charges</v>
      </c>
    </row>
    <row r="241" spans="6:7" customFormat="1" x14ac:dyDescent="0.25">
      <c r="F241" s="208" t="s">
        <v>600</v>
      </c>
      <c r="G241" s="205" t="str">
        <f ca="1">'Fixed charges'!$C$97</f>
        <v>Section 517-F: Revenue allocated to fixed charges, by aggregation group</v>
      </c>
    </row>
    <row r="242" spans="6:7" customFormat="1" x14ac:dyDescent="0.25">
      <c r="F242" s="208" t="s">
        <v>600</v>
      </c>
      <c r="G242" s="205" t="str">
        <f ca="1">'Fixed charges'!$C$127</f>
        <v>Section 517-G: Fixed charges, by network level</v>
      </c>
    </row>
    <row r="243" spans="6:7" customFormat="1" ht="15.75" thickBot="1" x14ac:dyDescent="0.3">
      <c r="F243" s="208" t="s">
        <v>600</v>
      </c>
      <c r="G243" s="205" t="str">
        <f ca="1">'Fixed charges'!$C$159</f>
        <v>Section 517-H: Aggregated fixed charges</v>
      </c>
    </row>
    <row r="244" spans="6:7" customFormat="1" ht="15.75" thickTop="1" x14ac:dyDescent="0.25">
      <c r="F244" s="209" t="s">
        <v>1250</v>
      </c>
      <c r="G244" s="205" t="str">
        <f ca="1">'SoLR &amp; bad debt adders'!$C$16</f>
        <v>Section 518-A: Inputs for fixed tariff adjustments</v>
      </c>
    </row>
    <row r="245" spans="6:7" customFormat="1" x14ac:dyDescent="0.25">
      <c r="F245" s="208" t="s">
        <v>600</v>
      </c>
      <c r="G245" s="205" t="str">
        <f ca="1">'SoLR &amp; bad debt adders'!$C$33</f>
        <v>Section 518-B: Calculation of fixed tariff adjustments</v>
      </c>
    </row>
    <row r="246" spans="6:7" customFormat="1" ht="15.75" thickBot="1" x14ac:dyDescent="0.3">
      <c r="F246" s="208" t="s">
        <v>600</v>
      </c>
      <c r="G246" s="205" t="str">
        <f ca="1">'SoLR &amp; bad debt adders'!$C$48</f>
        <v>Section 518-C: Calculation of fixed charge adder revenue</v>
      </c>
    </row>
    <row r="247" spans="6:7" customFormat="1" ht="15.75" thickTop="1" x14ac:dyDescent="0.2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25">
      <c r="F248" s="208" t="s">
        <v>600</v>
      </c>
      <c r="G248" s="205" t="str">
        <f ca="1">'Revenue matching'!$C$69</f>
        <v>Section 519-B: Net revenue before matching</v>
      </c>
    </row>
    <row r="249" spans="6:7" customFormat="1" x14ac:dyDescent="0.25">
      <c r="F249" s="208" t="s">
        <v>600</v>
      </c>
      <c r="G249" s="205" t="str">
        <f ca="1">'Revenue matching'!$C$88</f>
        <v>Section 519-C: Grouping of residual bands where a band has insufficient customers</v>
      </c>
    </row>
    <row r="250" spans="6:7" customFormat="1" x14ac:dyDescent="0.25">
      <c r="F250" s="208" t="s">
        <v>600</v>
      </c>
      <c r="G250" s="205" t="str">
        <f ca="1">'Revenue matching'!$C$151</f>
        <v>Section 519-D: Calculating MPANs for matching</v>
      </c>
    </row>
    <row r="251" spans="6:7" customFormat="1" x14ac:dyDescent="0.25">
      <c r="F251" s="208" t="s">
        <v>600</v>
      </c>
      <c r="G251" s="205" t="str">
        <f ca="1">'Revenue matching'!$C$159</f>
        <v>Section 519-E: Calculating unit volumes for matching</v>
      </c>
    </row>
    <row r="252" spans="6:7" customFormat="1" x14ac:dyDescent="0.25">
      <c r="F252" s="208" t="s">
        <v>600</v>
      </c>
      <c r="G252" s="205" t="str">
        <f ca="1">'Revenue matching'!$C$176</f>
        <v>Section 519-F: Allocating revenue to tariffs</v>
      </c>
    </row>
    <row r="253" spans="6:7" customFormat="1" x14ac:dyDescent="0.25">
      <c r="F253" s="208" t="s">
        <v>600</v>
      </c>
      <c r="G253" s="205" t="str">
        <f ca="1">'Revenue matching'!$C$192</f>
        <v>Section 519-G: Calculating the residual fixed charge</v>
      </c>
    </row>
    <row r="254" spans="6:7" customFormat="1" x14ac:dyDescent="0.25">
      <c r="F254" s="208" t="s">
        <v>600</v>
      </c>
      <c r="G254" s="205" t="str">
        <f ca="1">'Revenue matching'!$C$200</f>
        <v>Section 519-H: Calculating the initial residual unit rate</v>
      </c>
    </row>
    <row r="255" spans="6:7" customFormat="1" x14ac:dyDescent="0.25">
      <c r="F255" s="208" t="s">
        <v>600</v>
      </c>
      <c r="G255" s="205" t="str">
        <f ca="1">'Revenue matching'!$C$213</f>
        <v>Section 519-I: Floor on negative residual fixed charges</v>
      </c>
    </row>
    <row r="256" spans="6:7" customFormat="1" x14ac:dyDescent="0.25">
      <c r="F256" s="208" t="s">
        <v>600</v>
      </c>
      <c r="G256" s="205" t="str">
        <f ca="1">'Revenue matching'!$C$232</f>
        <v>Section 519-J: Ranking unit rate volumes and tariffs</v>
      </c>
    </row>
    <row r="257" spans="6:7" customFormat="1" x14ac:dyDescent="0.25">
      <c r="F257" s="208" t="s">
        <v>600</v>
      </c>
      <c r="G257" s="205" t="str">
        <f ca="1">'Revenue matching'!$C$286</f>
        <v>Section 519-K: Revenue matching for three timebands</v>
      </c>
    </row>
    <row r="258" spans="6:7" customFormat="1" x14ac:dyDescent="0.25">
      <c r="F258" s="208" t="s">
        <v>600</v>
      </c>
      <c r="G258" s="205" t="str">
        <f ca="1">'Revenue matching'!$C$313</f>
        <v>Section 519-L: Revenue matching for two timebands</v>
      </c>
    </row>
    <row r="259" spans="6:7" customFormat="1" x14ac:dyDescent="0.25">
      <c r="F259" s="208" t="s">
        <v>600</v>
      </c>
      <c r="G259" s="205" t="str">
        <f ca="1">'Revenue matching'!$C$345</f>
        <v>Section 519-M: Revenue matching for one timeband</v>
      </c>
    </row>
    <row r="260" spans="6:7" customFormat="1" x14ac:dyDescent="0.25">
      <c r="F260" s="208" t="s">
        <v>600</v>
      </c>
      <c r="G260" s="205" t="str">
        <f ca="1">'Revenue matching'!$C$377</f>
        <v>Section 519-N: Revenue matching adders by timeband</v>
      </c>
    </row>
    <row r="261" spans="6:7" customFormat="1" ht="15.75" thickBot="1" x14ac:dyDescent="0.3">
      <c r="F261" s="208" t="s">
        <v>600</v>
      </c>
      <c r="G261" s="205" t="str">
        <f ca="1">'Revenue matching'!$C$409</f>
        <v>Section 519-O: Final adders</v>
      </c>
    </row>
    <row r="262" spans="6:7" customFormat="1" ht="15.75" thickTop="1" x14ac:dyDescent="0.2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25">
      <c r="F263" s="208" t="s">
        <v>600</v>
      </c>
      <c r="G263" s="205" t="str">
        <f ca="1">Rounding!$C$28</f>
        <v>Section 520-B: Adders for revenue-matching</v>
      </c>
    </row>
    <row r="264" spans="6:7" customFormat="1" x14ac:dyDescent="0.25">
      <c r="F264" s="208" t="s">
        <v>600</v>
      </c>
      <c r="G264" s="205" t="str">
        <f ca="1">Rounding!$C$40</f>
        <v>Section 520-C: Adder to fixed charge for allocated pass-through costs</v>
      </c>
    </row>
    <row r="265" spans="6:7" customFormat="1" x14ac:dyDescent="0.25">
      <c r="F265" s="208" t="s">
        <v>600</v>
      </c>
      <c r="G265" s="205" t="str">
        <f ca="1">Rounding!$C$52</f>
        <v>Section 520-D: LDNO discounts</v>
      </c>
    </row>
    <row r="266" spans="6:7" customFormat="1" x14ac:dyDescent="0.25">
      <c r="F266" s="208" t="s">
        <v>600</v>
      </c>
      <c r="G266" s="205" t="str">
        <f ca="1">Rounding!$C$92</f>
        <v>Section 520-E: Decimal places for rounding</v>
      </c>
    </row>
    <row r="267" spans="6:7" customFormat="1" x14ac:dyDescent="0.25">
      <c r="F267" s="208" t="s">
        <v>600</v>
      </c>
      <c r="G267" s="205" t="str">
        <f ca="1">Rounding!$C$107</f>
        <v>Section 520-F: Tariff forecast, post-revenue matching</v>
      </c>
    </row>
    <row r="268" spans="6:7" customFormat="1" x14ac:dyDescent="0.25">
      <c r="F268" s="208" t="s">
        <v>600</v>
      </c>
      <c r="G268" s="205" t="str">
        <f ca="1">Rounding!$C$118</f>
        <v>Section 520-G: Tariff forecast, post-adders &amp; discounting</v>
      </c>
    </row>
    <row r="269" spans="6:7" customFormat="1" ht="15.75" thickBot="1" x14ac:dyDescent="0.3">
      <c r="F269" s="208" t="s">
        <v>600</v>
      </c>
      <c r="G269" s="205" t="str">
        <f ca="1">Rounding!$C$147</f>
        <v>Section 520-H: Tariff forecast, post-rounding</v>
      </c>
    </row>
    <row r="270" spans="6:7" customFormat="1" ht="15.75" thickTop="1" x14ac:dyDescent="0.25">
      <c r="F270" s="209" t="s">
        <v>554</v>
      </c>
      <c r="G270" s="205" t="str">
        <f ca="1">'Net revenue summary'!$C$13</f>
        <v>Section 521-A: Volume forecasts</v>
      </c>
    </row>
    <row r="271" spans="6:7" customFormat="1" x14ac:dyDescent="0.25">
      <c r="F271" s="208" t="s">
        <v>600</v>
      </c>
      <c r="G271" s="205" t="str">
        <f ca="1">'Net revenue summary'!$C$52</f>
        <v>Section 521-B: Tariff forecast</v>
      </c>
    </row>
    <row r="272" spans="6:7" customFormat="1" x14ac:dyDescent="0.25">
      <c r="F272" s="208" t="s">
        <v>600</v>
      </c>
      <c r="G272" s="205" t="str">
        <f ca="1">'Net revenue summary'!$C$81</f>
        <v>Section 521-C: Net revenue components</v>
      </c>
    </row>
    <row r="273" spans="2:7" customFormat="1" x14ac:dyDescent="0.25">
      <c r="F273" s="208" t="s">
        <v>600</v>
      </c>
      <c r="G273" s="205" t="str">
        <f ca="1">'Net revenue summary'!$C$92</f>
        <v>Section 521-D: Net revenue by tariff</v>
      </c>
    </row>
    <row r="274" spans="2:7" customFormat="1" x14ac:dyDescent="0.25">
      <c r="F274" s="208" t="s">
        <v>600</v>
      </c>
      <c r="G274" s="205" t="str">
        <f ca="1">'Net revenue summary'!$C$124</f>
        <v>Section 521-E: Net revenue summary (for information only)</v>
      </c>
    </row>
    <row r="275" spans="2:7" customFormat="1" ht="15.75" thickBot="1" x14ac:dyDescent="0.3">
      <c r="F275" s="208" t="s">
        <v>600</v>
      </c>
      <c r="G275" s="205" t="str">
        <f ca="1">'Net revenue summary'!$C$138</f>
        <v>Section 521-F: Typical bills</v>
      </c>
    </row>
    <row r="276" spans="2:7" customFormat="1" ht="15.75" thickTop="1" x14ac:dyDescent="0.25">
      <c r="F276" s="211" t="s">
        <v>437</v>
      </c>
      <c r="G276" s="205" t="str">
        <f ca="1">'Tariff summary'!$C$15</f>
        <v>Output 501-A: Live tariff results (2022/23)</v>
      </c>
    </row>
    <row r="277" spans="2:7" customFormat="1" x14ac:dyDescent="0.25">
      <c r="F277" s="210" t="s">
        <v>600</v>
      </c>
      <c r="G277" s="205" t="str">
        <f ca="1">'Tariff summary'!$C$119</f>
        <v>Output 501-B: tariff forecast results for charging year 2022/23</v>
      </c>
    </row>
    <row r="278" spans="2:7" customFormat="1" x14ac:dyDescent="0.25">
      <c r="F278" s="210" t="s">
        <v>600</v>
      </c>
      <c r="G278" s="205" t="str">
        <f ca="1">'Tariff summary'!$C$223</f>
        <v>Output 501-C: Tariff results for charging year 2023/24</v>
      </c>
    </row>
    <row r="279" spans="2:7" customFormat="1" x14ac:dyDescent="0.25">
      <c r="F279" s="210" t="s">
        <v>600</v>
      </c>
      <c r="G279" s="205" t="str">
        <f ca="1">'Tariff summary'!$C$327</f>
        <v>Output 501-D: Tariff results for charging year 2024/25</v>
      </c>
    </row>
    <row r="280" spans="2:7" customFormat="1" x14ac:dyDescent="0.25">
      <c r="F280" s="210" t="s">
        <v>600</v>
      </c>
      <c r="G280" s="205" t="str">
        <f ca="1">'Tariff summary'!$C$431</f>
        <v>Output 501-E: Tariff results for charging year 2025/26</v>
      </c>
    </row>
    <row r="281" spans="2:7" customFormat="1" ht="15.75" thickBot="1" x14ac:dyDescent="0.3">
      <c r="F281" s="210" t="s">
        <v>600</v>
      </c>
      <c r="G281" s="205" t="str">
        <f ca="1">'Tariff summary'!$C$535</f>
        <v>Output 501-F: Tariff results for charging year 2026/27</v>
      </c>
    </row>
    <row r="282" spans="2:7" customFormat="1" ht="15.75" thickTop="1" x14ac:dyDescent="0.25">
      <c r="F282" s="211" t="s">
        <v>484</v>
      </c>
      <c r="G282" s="205" t="str">
        <f ca="1">'Typical bills'!$C$15</f>
        <v>Output 502-A: Typical bill results</v>
      </c>
    </row>
    <row r="283" spans="2:7" customFormat="1" x14ac:dyDescent="0.25"/>
    <row r="284" spans="2:7" customFormat="1" x14ac:dyDescent="0.25">
      <c r="B284" s="95" t="s">
        <v>110</v>
      </c>
      <c r="C284" s="95"/>
      <c r="D284" s="95"/>
      <c r="E284" s="95"/>
      <c r="F284" s="95"/>
      <c r="G284" s="95"/>
    </row>
    <row r="285" spans="2:7" customFormat="1" x14ac:dyDescent="0.25"/>
    <row r="286" spans="2:7" customFormat="1" x14ac:dyDescent="0.25"/>
    <row r="287" spans="2:7" customFormat="1" x14ac:dyDescent="0.25"/>
    <row r="288" spans="2:7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00000000-0004-0000-0300-000000000000}"/>
    <hyperlink ref="F16" location="'Version control'!A4" display="'" xr:uid="{00000000-0004-0000-0300-000001000000}"/>
    <hyperlink ref="G16" location="'Version control'!$B$5" display="'Version control'!$B$5" xr:uid="{00000000-0004-0000-0300-000002000000}"/>
    <hyperlink ref="F17" location="'Version control'!A4" display="'" xr:uid="{00000000-0004-0000-0300-000003000000}"/>
    <hyperlink ref="G17" location="'Version control'!$B$17" display="'Version control'!$B$17" xr:uid="{00000000-0004-0000-0300-000004000000}"/>
    <hyperlink ref="F18" location="'Version control'!A4" display="'" xr:uid="{00000000-0004-0000-0300-000005000000}"/>
    <hyperlink ref="G18" location="'Version control'!$B$31" display="'Version control'!$B$31" xr:uid="{00000000-0004-0000-0300-000006000000}"/>
    <hyperlink ref="F19" location="'Version control'!A4" display="'" xr:uid="{00000000-0004-0000-0300-000007000000}"/>
    <hyperlink ref="G19" location="'Version control'!$B$63" display="'Version control'!$B$63" xr:uid="{00000000-0004-0000-0300-000008000000}"/>
    <hyperlink ref="F20" location="'Model map'!A4" display="'" xr:uid="{00000000-0004-0000-0300-000009000000}"/>
    <hyperlink ref="G20" location="'Model map'!$B$5" display="'Model map'!$B$5" xr:uid="{00000000-0004-0000-0300-00000A000000}"/>
    <hyperlink ref="F21" location="'Named ranges'!A4" display="'" xr:uid="{00000000-0004-0000-0300-00000B000000}"/>
    <hyperlink ref="G21" location="'Named ranges'!$B$5" display="'Named ranges'!$B$5" xr:uid="{00000000-0004-0000-0300-00000C000000}"/>
    <hyperlink ref="F22" location="'ARP_DNO commentary'!A4" display="'" xr:uid="{00000000-0004-0000-0300-00000D000000}"/>
    <hyperlink ref="G22" location="'ARP_DNO commentary'!$B$9" display="'ARP_DNO commentary'!$B$9" xr:uid="{00000000-0004-0000-0300-00000E000000}"/>
    <hyperlink ref="F23" location="'ARP_CDCM timebands'!A4" display="'" xr:uid="{00000000-0004-0000-0300-00000F000000}"/>
    <hyperlink ref="G23" location="'ARP_CDCM timebands'!$B$12" display="'ARP_CDCM timebands'!$B$12" xr:uid="{00000000-0004-0000-0300-000010000000}"/>
    <hyperlink ref="F24" location="'ARP_Load characteristics'!A4" display="'" xr:uid="{00000000-0004-0000-0300-000011000000}"/>
    <hyperlink ref="G24" location="'ARP_Load characteristics'!$B$13" display="'ARP_Load characteristics'!$B$13" xr:uid="{00000000-0004-0000-0300-000012000000}"/>
    <hyperlink ref="F25" location="'ARP_Load characteristics'!A4" display="'" xr:uid="{00000000-0004-0000-0300-000013000000}"/>
    <hyperlink ref="G25" location="'ARP_Load characteristics'!$B$20" display="'ARP_Load characteristics'!$B$20" xr:uid="{00000000-0004-0000-0300-000014000000}"/>
    <hyperlink ref="F26" location="'ARP_Peaking probabilities'!A4" display="'" xr:uid="{00000000-0004-0000-0300-000015000000}"/>
    <hyperlink ref="G26" location="'ARP_Peaking probabilities'!$B$14" display="'ARP_Peaking probabilities'!$B$14" xr:uid="{00000000-0004-0000-0300-000016000000}"/>
    <hyperlink ref="F27" location="'ARP_Peaking probabilities'!A4" display="'" xr:uid="{00000000-0004-0000-0300-000017000000}"/>
    <hyperlink ref="G27" location="'ARP_Peaking probabilities'!$B$21" display="'ARP_Peaking probabilities'!$B$21" xr:uid="{00000000-0004-0000-0300-000018000000}"/>
    <hyperlink ref="F28" location="'ARP_User control'!A4" display="'" xr:uid="{00000000-0004-0000-0300-000019000000}"/>
    <hyperlink ref="G28" location="'ARP_User control'!$B$10" display="'ARP_User control'!$B$10" xr:uid="{00000000-0004-0000-0300-00001A000000}"/>
    <hyperlink ref="F29" location="'ARP_User control'!A4" display="'" xr:uid="{00000000-0004-0000-0300-00001B000000}"/>
    <hyperlink ref="G29" location="'ARP_User control'!$B$25" display="'ARP_User control'!$B$25" xr:uid="{00000000-0004-0000-0300-00001C000000}"/>
    <hyperlink ref="F30" location="'ARP_Inputs by customer type'!A4" display="'" xr:uid="{00000000-0004-0000-0300-00001D000000}"/>
    <hyperlink ref="G30" location="'ARP_Inputs by customer type'!$B$14" display="'ARP_Inputs by customer type'!$B$14" xr:uid="{00000000-0004-0000-0300-00001E000000}"/>
    <hyperlink ref="F31" location="'ARP_Inputs by customer type'!A4" display="'" xr:uid="{00000000-0004-0000-0300-00001F000000}"/>
    <hyperlink ref="G31" location="'ARP_Inputs by customer type'!$B$56" display="'ARP_Inputs by customer type'!$B$56" xr:uid="{00000000-0004-0000-0300-000020000000}"/>
    <hyperlink ref="F32" location="'ARP_Inputs by customer type'!A4" display="'" xr:uid="{00000000-0004-0000-0300-000021000000}"/>
    <hyperlink ref="G32" location="'ARP_Inputs by customer type'!$B$1998" display="'ARP_Inputs by customer type'!$B$1998" xr:uid="{00000000-0004-0000-0300-000022000000}"/>
    <hyperlink ref="F33" location="'ARP_Inputs by customer type'!A4" display="'" xr:uid="{00000000-0004-0000-0300-000023000000}"/>
    <hyperlink ref="G33" location="'ARP_Inputs by customer type'!$B$2072" display="'ARP_Inputs by customer type'!$B$2072" xr:uid="{00000000-0004-0000-0300-000024000000}"/>
    <hyperlink ref="F34" location="'ARP_Inputs by network level'!A4" display="'" xr:uid="{00000000-0004-0000-0300-000025000000}"/>
    <hyperlink ref="G34" location="'ARP_Inputs by network level'!$B$14" display="'ARP_Inputs by network level'!$B$14" xr:uid="{00000000-0004-0000-0300-000026000000}"/>
    <hyperlink ref="F35" location="'ARP_General inputs'!A4" display="'" xr:uid="{00000000-0004-0000-0300-000027000000}"/>
    <hyperlink ref="G35" location="'ARP_General inputs'!$B$14" display="'ARP_General inputs'!$B$14" xr:uid="{00000000-0004-0000-0300-000028000000}"/>
    <hyperlink ref="F36" location="'Fixed inputs'!A4" display="'" xr:uid="{00000000-0004-0000-0300-000029000000}"/>
    <hyperlink ref="G36" location="'Fixed inputs'!$B$11" display="'Fixed inputs'!$B$11" xr:uid="{00000000-0004-0000-0300-00002A000000}"/>
    <hyperlink ref="F37" location="'Inputs by customer type'!A4" display="'" xr:uid="{00000000-0004-0000-0300-00002B000000}"/>
    <hyperlink ref="G37" location="'Inputs by customer type'!$B$14" display="'Inputs by customer type'!$B$14" xr:uid="{00000000-0004-0000-0300-00002C000000}"/>
    <hyperlink ref="F38" location="'Inputs by network level'!A4" display="'" xr:uid="{00000000-0004-0000-0300-00002D000000}"/>
    <hyperlink ref="G38" location="'Inputs by network level'!$B$14" display="'Inputs by network level'!$B$14" xr:uid="{00000000-0004-0000-0300-00002E000000}"/>
    <hyperlink ref="F39" location="'General inputs'!A4" display="'" xr:uid="{00000000-0004-0000-0300-00002F000000}"/>
    <hyperlink ref="G39" location="'General inputs'!$B$14" display="'General inputs'!$B$14" xr:uid="{00000000-0004-0000-0300-000030000000}"/>
    <hyperlink ref="F40" location="'Standing charge factors'!A4" display="'" xr:uid="{00000000-0004-0000-0300-000031000000}"/>
    <hyperlink ref="G40" location="'Standing charge factors'!$B$17" display="'Standing charge factors'!$B$17" xr:uid="{00000000-0004-0000-0300-000032000000}"/>
    <hyperlink ref="F41" location="'Load &amp; loss characteristics'!A4" display="'" xr:uid="{00000000-0004-0000-0300-000033000000}"/>
    <hyperlink ref="G41" location="'Load &amp; loss characteristics'!$B$13" display="'Load &amp; loss characteristics'!$B$13" xr:uid="{00000000-0004-0000-0300-000034000000}"/>
    <hyperlink ref="F42" location="'Load &amp; loss characteristics'!A4" display="'" xr:uid="{00000000-0004-0000-0300-000035000000}"/>
    <hyperlink ref="G42" location="'Load &amp; loss characteristics'!$B$31" display="'Load &amp; loss characteristics'!$B$31" xr:uid="{00000000-0004-0000-0300-000036000000}"/>
    <hyperlink ref="F43" location="'Customer contributions'!A4" display="'" xr:uid="{00000000-0004-0000-0300-000037000000}"/>
    <hyperlink ref="G43" location="'Customer contributions'!$B$12" display="'Customer contributions'!$B$12" xr:uid="{00000000-0004-0000-0300-000038000000}"/>
    <hyperlink ref="F44" location="'Volume adjustments'!A4" display="'" xr:uid="{00000000-0004-0000-0300-000039000000}"/>
    <hyperlink ref="G44" location="'Volume adjustments'!$B$13" display="'Volume adjustments'!$B$13" xr:uid="{00000000-0004-0000-0300-00003A000000}"/>
    <hyperlink ref="F45" location="'Volume adjustments'!A4" display="'" xr:uid="{00000000-0004-0000-0300-00003B000000}"/>
    <hyperlink ref="G45" location="'Volume adjustments'!$B$51" display="'Volume adjustments'!$B$51" xr:uid="{00000000-0004-0000-0300-00003C000000}"/>
    <hyperlink ref="F46" location="'Volume adjustments'!A4" display="'" xr:uid="{00000000-0004-0000-0300-00003D000000}"/>
    <hyperlink ref="G46" location="'Volume adjustments'!$B$310" display="'Volume adjustments'!$B$310" xr:uid="{00000000-0004-0000-0300-00003E000000}"/>
    <hyperlink ref="F47" location="'Pseudo-load coefficients'!A4" display="'" xr:uid="{00000000-0004-0000-0300-00003F000000}"/>
    <hyperlink ref="G47" location="'Pseudo-load coefficients'!$B$13" display="'Pseudo-load coefficients'!$B$13" xr:uid="{00000000-0004-0000-0300-000040000000}"/>
    <hyperlink ref="F48" location="'Pseudo-load coefficients'!A4" display="'" xr:uid="{00000000-0004-0000-0300-000041000000}"/>
    <hyperlink ref="G48" location="'Pseudo-load coefficients'!$B$56" display="'Pseudo-load coefficients'!$B$56" xr:uid="{00000000-0004-0000-0300-000042000000}"/>
    <hyperlink ref="F49" location="'Pseudo-load coefficients'!A4" display="'" xr:uid="{00000000-0004-0000-0300-000043000000}"/>
    <hyperlink ref="G49" location="'Pseudo-load coefficients'!$B$95" display="'Pseudo-load coefficients'!$B$95" xr:uid="{00000000-0004-0000-0300-000044000000}"/>
    <hyperlink ref="F50" location="'Pseudo-load coefficients'!A4" display="'" xr:uid="{00000000-0004-0000-0300-000045000000}"/>
    <hyperlink ref="G50" location="'Pseudo-load coefficients'!$B$261" display="'Pseudo-load coefficients'!$B$261" xr:uid="{00000000-0004-0000-0300-000046000000}"/>
    <hyperlink ref="F51" location="'System peak demand'!A4" display="'" xr:uid="{00000000-0004-0000-0300-000047000000}"/>
    <hyperlink ref="G51" location="'System peak demand'!$B$16" display="'System peak demand'!$B$16" xr:uid="{00000000-0004-0000-0300-000048000000}"/>
    <hyperlink ref="F52" location="'System peak demand'!A4" display="'" xr:uid="{00000000-0004-0000-0300-000049000000}"/>
    <hyperlink ref="G52" location="'System peak demand'!$B$63" display="'System peak demand'!$B$63" xr:uid="{00000000-0004-0000-0300-00004A000000}"/>
    <hyperlink ref="F53" location="'System peak demand'!A4" display="'" xr:uid="{00000000-0004-0000-0300-00004B000000}"/>
    <hyperlink ref="G53" location="'System peak demand'!$B$179" display="'System peak demand'!$B$179" xr:uid="{00000000-0004-0000-0300-00004C000000}"/>
    <hyperlink ref="F54" location="'System peak demand'!A4" display="'" xr:uid="{00000000-0004-0000-0300-00004D000000}"/>
    <hyperlink ref="G54" location="'System peak demand'!$B$262" display="'System peak demand'!$B$262" xr:uid="{00000000-0004-0000-0300-00004E000000}"/>
    <hyperlink ref="F55" location="'Service model assets'!A4" display="'" xr:uid="{00000000-0004-0000-0300-00004F000000}"/>
    <hyperlink ref="G55" location="'Service model assets'!$B$12" display="'Service model assets'!$B$12" xr:uid="{00000000-0004-0000-0300-000050000000}"/>
    <hyperlink ref="F56" location="'Unit costs'!A4" display="'" xr:uid="{00000000-0004-0000-0300-000051000000}"/>
    <hyperlink ref="G56" location="'Unit costs'!$B$15" display="'Unit costs'!$B$15" xr:uid="{00000000-0004-0000-0300-000052000000}"/>
    <hyperlink ref="F57" location="'Unit costs'!A4" display="'" xr:uid="{00000000-0004-0000-0300-000053000000}"/>
    <hyperlink ref="G57" location="'Unit costs'!$B$58" display="'Unit costs'!$B$58" xr:uid="{00000000-0004-0000-0300-000054000000}"/>
    <hyperlink ref="F58" location="'Unit costs'!A4" display="'" xr:uid="{00000000-0004-0000-0300-000055000000}"/>
    <hyperlink ref="G58" location="'Unit costs'!$B$102" display="'Unit costs'!$B$102" xr:uid="{00000000-0004-0000-0300-000056000000}"/>
    <hyperlink ref="F59" location="'Initial unit rates'!A4" display="'" xr:uid="{00000000-0004-0000-0300-000057000000}"/>
    <hyperlink ref="G59" location="'Initial unit rates'!$B$11" display="'Initial unit rates'!$B$11" xr:uid="{00000000-0004-0000-0300-000058000000}"/>
    <hyperlink ref="F60" location="'Initial unit rates'!A4" display="'" xr:uid="{00000000-0004-0000-0300-000059000000}"/>
    <hyperlink ref="G60" location="'Initial unit rates'!$B$116" display="'Initial unit rates'!$B$116" xr:uid="{00000000-0004-0000-0300-00005A000000}"/>
    <hyperlink ref="F61" location="'Service model charges'!A4" display="'" xr:uid="{00000000-0004-0000-0300-00005B000000}"/>
    <hyperlink ref="G61" location="'Service model charges'!$B$13" display="'Service model charges'!$B$13" xr:uid="{00000000-0004-0000-0300-00005C000000}"/>
    <hyperlink ref="F62" location="'Service model charges'!A4" display="'" xr:uid="{00000000-0004-0000-0300-00005D000000}"/>
    <hyperlink ref="G62" location="'Service model charges'!$B$29" display="'Service model charges'!$B$29" xr:uid="{00000000-0004-0000-0300-00005E000000}"/>
    <hyperlink ref="F63" location="'Unit rate charges'!A4" display="'" xr:uid="{00000000-0004-0000-0300-00005F000000}"/>
    <hyperlink ref="G63" location="'Unit rate charges'!$B$15" display="'Unit rate charges'!$B$15" xr:uid="{00000000-0004-0000-0300-000060000000}"/>
    <hyperlink ref="F64" location="'Unit rate charges'!A4" display="'" xr:uid="{00000000-0004-0000-0300-000061000000}"/>
    <hyperlink ref="G64" location="'Unit rate charges'!$B$122" display="'Unit rate charges'!$B$122" xr:uid="{00000000-0004-0000-0300-000062000000}"/>
    <hyperlink ref="F65" location="'Capacity charges'!A4" display="'" xr:uid="{00000000-0004-0000-0300-000063000000}"/>
    <hyperlink ref="G65" location="'Capacity charges'!$B$17" display="'Capacity charges'!$B$17" xr:uid="{00000000-0004-0000-0300-000064000000}"/>
    <hyperlink ref="F66" location="'Capacity charges'!A4" display="'" xr:uid="{00000000-0004-0000-0300-000065000000}"/>
    <hyperlink ref="G66" location="'Capacity charges'!$B$125" display="'Capacity charges'!$B$125" xr:uid="{00000000-0004-0000-0300-000066000000}"/>
    <hyperlink ref="F67" location="'Capacity charges'!A4" display="'" xr:uid="{00000000-0004-0000-0300-000067000000}"/>
    <hyperlink ref="G67" location="'Capacity charges'!$B$249" display="'Capacity charges'!$B$249" xr:uid="{00000000-0004-0000-0300-000068000000}"/>
    <hyperlink ref="F68" location="'Reactive power charges'!A4" display="'" xr:uid="{00000000-0004-0000-0300-000069000000}"/>
    <hyperlink ref="G68" location="'Reactive power charges'!$B$13" display="'Reactive power charges'!$B$13" xr:uid="{00000000-0004-0000-0300-00006A000000}"/>
    <hyperlink ref="F69" location="'Reactive power charges'!A4" display="'" xr:uid="{00000000-0004-0000-0300-00006B000000}"/>
    <hyperlink ref="G69" location="'Reactive power charges'!$B$150" display="'Reactive power charges'!$B$150" xr:uid="{00000000-0004-0000-0300-00006C000000}"/>
    <hyperlink ref="F70" location="'Reactive power charges'!A4" display="'" xr:uid="{00000000-0004-0000-0300-00006D000000}"/>
    <hyperlink ref="G70" location="'Reactive power charges'!$B$185" display="'Reactive power charges'!$B$185" xr:uid="{00000000-0004-0000-0300-00006E000000}"/>
    <hyperlink ref="F71" location="'Fixed charges'!A4" display="'" xr:uid="{00000000-0004-0000-0300-00006F000000}"/>
    <hyperlink ref="G71" location="'Fixed charges'!$B$14" display="'Fixed charges'!$B$14" xr:uid="{00000000-0004-0000-0300-000070000000}"/>
    <hyperlink ref="F72" location="'Fixed charges'!A4" display="'" xr:uid="{00000000-0004-0000-0300-000071000000}"/>
    <hyperlink ref="G72" location="'Fixed charges'!$B$65" display="'Fixed charges'!$B$65" xr:uid="{00000000-0004-0000-0300-000072000000}"/>
    <hyperlink ref="F73" location="'Fixed charge adder'!A4" display="'" xr:uid="{00000000-0004-0000-0300-000073000000}"/>
    <hyperlink ref="G73" location="'Fixed charge adder'!$B$12" display="'Fixed charge adder'!$B$12" xr:uid="{00000000-0004-0000-0300-000074000000}"/>
    <hyperlink ref="F74" location="'Revenue matching'!A4" display="'" xr:uid="{00000000-0004-0000-0300-000075000000}"/>
    <hyperlink ref="G74" location="'Revenue matching'!$B$13" display="'Revenue matching'!$B$13" xr:uid="{00000000-0004-0000-0300-000076000000}"/>
    <hyperlink ref="F75" location="'Revenue matching'!A4" display="'" xr:uid="{00000000-0004-0000-0300-000077000000}"/>
    <hyperlink ref="G75" location="'Revenue matching'!$B$86" display="'Revenue matching'!$B$86" xr:uid="{00000000-0004-0000-0300-000078000000}"/>
    <hyperlink ref="F76" location="'Revenue matching'!A4" display="'" xr:uid="{00000000-0004-0000-0300-000079000000}"/>
    <hyperlink ref="G76" location="'Revenue matching'!$B$209" display="'Revenue matching'!$B$209" xr:uid="{00000000-0004-0000-0300-00007A000000}"/>
    <hyperlink ref="F77" location="'Revenue matching'!A4" display="'" xr:uid="{00000000-0004-0000-0300-00007B000000}"/>
    <hyperlink ref="G77" location="'Revenue matching'!$B$407" display="'Revenue matching'!$B$407" xr:uid="{00000000-0004-0000-0300-00007C000000}"/>
    <hyperlink ref="F78" location="'Rounding'!A4" display="'" xr:uid="{00000000-0004-0000-0300-00007D000000}"/>
    <hyperlink ref="G78" location="'Rounding'!$B$12" display="'Rounding'!$B$12" xr:uid="{00000000-0004-0000-0300-00007E000000}"/>
    <hyperlink ref="F79" location="'Rounding'!A4" display="'" xr:uid="{00000000-0004-0000-0300-00007F000000}"/>
    <hyperlink ref="G79" location="'Rounding'!$B$103" display="'Rounding'!$B$103" xr:uid="{00000000-0004-0000-0300-000080000000}"/>
    <hyperlink ref="F80" location="'Net revenue summary'!A4" display="'" xr:uid="{00000000-0004-0000-0300-000081000000}"/>
    <hyperlink ref="G80" location="'Net revenue summary'!$B$11" display="'Net revenue summary'!$B$11" xr:uid="{00000000-0004-0000-0300-000082000000}"/>
    <hyperlink ref="F81" location="'Net revenue summary'!A4" display="'" xr:uid="{00000000-0004-0000-0300-000083000000}"/>
    <hyperlink ref="G81" location="'Net revenue summary'!$B$90" display="'Net revenue summary'!$B$90" xr:uid="{00000000-0004-0000-0300-000084000000}"/>
    <hyperlink ref="F82" location="'Tariff summary'!A4" display="'" xr:uid="{00000000-0004-0000-0300-000085000000}"/>
    <hyperlink ref="G82" location="'Tariff summary'!$B$13" display="'Tariff summary'!$B$13" xr:uid="{00000000-0004-0000-0300-000086000000}"/>
    <hyperlink ref="F83" location="'Typical bills'!A4" display="'" xr:uid="{00000000-0004-0000-0300-000087000000}"/>
    <hyperlink ref="G83" location="'Typical bills'!$B$13" display="'Typical bills'!$B$13" xr:uid="{00000000-0004-0000-0300-000088000000}"/>
    <hyperlink ref="F90" location="'ARP_CDCM timebands'!A4" display="'" xr:uid="{00000000-0004-0000-0300-000089000000}"/>
    <hyperlink ref="G90" location="'ARP_CDCM timebands'!$C$14" display="'ARP_CDCM timebands'!$C$14" xr:uid="{00000000-0004-0000-0300-00008A000000}"/>
    <hyperlink ref="F91" location="'ARP_CDCM timebands'!A4" display="'" xr:uid="{00000000-0004-0000-0300-00008B000000}"/>
    <hyperlink ref="G91" location="'ARP_CDCM timebands'!$C$26" display="'ARP_CDCM timebands'!$C$26" xr:uid="{00000000-0004-0000-0300-00008C000000}"/>
    <hyperlink ref="F92" location="'ARP_User control'!A4" display="'" xr:uid="{00000000-0004-0000-0300-00008D000000}"/>
    <hyperlink ref="G92" location="'ARP_User control'!$C$15" display="'ARP_User control'!$C$15" xr:uid="{00000000-0004-0000-0300-00008E000000}"/>
    <hyperlink ref="F93" location="'ARP_User control'!A4" display="'" xr:uid="{00000000-0004-0000-0300-00008F000000}"/>
    <hyperlink ref="G93" location="'ARP_User control'!$C$19" display="'ARP_User control'!$C$19" xr:uid="{00000000-0004-0000-0300-000090000000}"/>
    <hyperlink ref="F94" location="'ARP_Inputs by customer type'!A4" display="'" xr:uid="{00000000-0004-0000-0300-000091000000}"/>
    <hyperlink ref="G94" location="'ARP_Inputs by customer type'!$C$16" display="'ARP_Inputs by customer type'!$C$16" xr:uid="{00000000-0004-0000-0300-000092000000}"/>
    <hyperlink ref="F95" location="'ARP_Inputs by customer type'!A4" display="'" xr:uid="{00000000-0004-0000-0300-000093000000}"/>
    <hyperlink ref="G95" location="'ARP_Inputs by customer type'!$C$36" display="'ARP_Inputs by customer type'!$C$36" xr:uid="{00000000-0004-0000-0300-000094000000}"/>
    <hyperlink ref="F96" location="'ARP_Inputs by customer type'!A4" display="'" xr:uid="{00000000-0004-0000-0300-000095000000}"/>
    <hyperlink ref="G96" location="'ARP_Inputs by customer type'!$C$58" display="'ARP_Inputs by customer type'!$C$58" xr:uid="{00000000-0004-0000-0300-000096000000}"/>
    <hyperlink ref="F97" location="'ARP_Inputs by customer type'!A4" display="'" xr:uid="{00000000-0004-0000-0300-000097000000}"/>
    <hyperlink ref="G97" location="'ARP_Inputs by customer type'!$C$186" display="'ARP_Inputs by customer type'!$C$186" xr:uid="{00000000-0004-0000-0300-000098000000}"/>
    <hyperlink ref="F98" location="'ARP_Inputs by customer type'!A4" display="'" xr:uid="{00000000-0004-0000-0300-000099000000}"/>
    <hyperlink ref="G98" location="'ARP_Inputs by customer type'!$C$314" display="'ARP_Inputs by customer type'!$C$314" xr:uid="{00000000-0004-0000-0300-00009A000000}"/>
    <hyperlink ref="F99" location="'ARP_Inputs by customer type'!A4" display="'" xr:uid="{00000000-0004-0000-0300-00009B000000}"/>
    <hyperlink ref="G99" location="'ARP_Inputs by customer type'!$C$442" display="'ARP_Inputs by customer type'!$C$442" xr:uid="{00000000-0004-0000-0300-00009C000000}"/>
    <hyperlink ref="F100" location="'ARP_Inputs by customer type'!A4" display="'" xr:uid="{00000000-0004-0000-0300-00009D000000}"/>
    <hyperlink ref="G100" location="'ARP_Inputs by customer type'!$C$570" display="'ARP_Inputs by customer type'!$C$570" xr:uid="{00000000-0004-0000-0300-00009E000000}"/>
    <hyperlink ref="F101" location="'ARP_Inputs by customer type'!A4" display="'" xr:uid="{00000000-0004-0000-0300-00009F000000}"/>
    <hyperlink ref="G101" location="'ARP_Inputs by customer type'!$C$698" display="'ARP_Inputs by customer type'!$C$698" xr:uid="{00000000-0004-0000-0300-0000A0000000}"/>
    <hyperlink ref="F102" location="'ARP_Inputs by customer type'!A4" display="'" xr:uid="{00000000-0004-0000-0300-0000A1000000}"/>
    <hyperlink ref="G102" location="'ARP_Inputs by customer type'!$C$826" display="'ARP_Inputs by customer type'!$C$826" xr:uid="{00000000-0004-0000-0300-0000A2000000}"/>
    <hyperlink ref="F103" location="'ARP_Inputs by customer type'!A4" display="'" xr:uid="{00000000-0004-0000-0300-0000A3000000}"/>
    <hyperlink ref="G103" location="'ARP_Inputs by customer type'!$C$954" display="'ARP_Inputs by customer type'!$C$954" xr:uid="{00000000-0004-0000-0300-0000A4000000}"/>
    <hyperlink ref="F104" location="'ARP_Inputs by customer type'!A4" display="'" xr:uid="{00000000-0004-0000-0300-0000A5000000}"/>
    <hyperlink ref="G104" location="'ARP_Inputs by customer type'!$C$1082" display="'ARP_Inputs by customer type'!$C$1082" xr:uid="{00000000-0004-0000-0300-0000A6000000}"/>
    <hyperlink ref="F105" location="'ARP_Inputs by customer type'!A4" display="'" xr:uid="{00000000-0004-0000-0300-0000A7000000}"/>
    <hyperlink ref="G105" location="'ARP_Inputs by customer type'!$C$1210" display="'ARP_Inputs by customer type'!$C$1210" xr:uid="{00000000-0004-0000-0300-0000A8000000}"/>
    <hyperlink ref="F106" location="'ARP_Inputs by customer type'!A4" display="'" xr:uid="{00000000-0004-0000-0300-0000A9000000}"/>
    <hyperlink ref="G106" location="'ARP_Inputs by customer type'!$C$1338" display="'ARP_Inputs by customer type'!$C$1338" xr:uid="{00000000-0004-0000-0300-0000AA000000}"/>
    <hyperlink ref="F107" location="'ARP_Inputs by customer type'!A4" display="'" xr:uid="{00000000-0004-0000-0300-0000AB000000}"/>
    <hyperlink ref="G107" location="'ARP_Inputs by customer type'!$C$1466" display="'ARP_Inputs by customer type'!$C$1466" xr:uid="{00000000-0004-0000-0300-0000AC000000}"/>
    <hyperlink ref="F108" location="'ARP_Inputs by customer type'!A4" display="'" xr:uid="{00000000-0004-0000-0300-0000AD000000}"/>
    <hyperlink ref="G108" location="'ARP_Inputs by customer type'!$C$1594" display="'ARP_Inputs by customer type'!$C$1594" xr:uid="{00000000-0004-0000-0300-0000AE000000}"/>
    <hyperlink ref="F109" location="'ARP_Inputs by customer type'!A4" display="'" xr:uid="{00000000-0004-0000-0300-0000AF000000}"/>
    <hyperlink ref="G109" location="'ARP_Inputs by customer type'!$C$1722" display="'ARP_Inputs by customer type'!$C$1722" xr:uid="{00000000-0004-0000-0300-0000B0000000}"/>
    <hyperlink ref="F110" location="'ARP_Inputs by customer type'!A4" display="'" xr:uid="{00000000-0004-0000-0300-0000B1000000}"/>
    <hyperlink ref="G110" location="'ARP_Inputs by customer type'!$C$1850" display="'ARP_Inputs by customer type'!$C$1850" xr:uid="{00000000-0004-0000-0300-0000B2000000}"/>
    <hyperlink ref="F111" location="'ARP_Inputs by customer type'!A4" display="'" xr:uid="{00000000-0004-0000-0300-0000B3000000}"/>
    <hyperlink ref="G111" location="'ARP_Inputs by customer type'!$C$1978" display="'ARP_Inputs by customer type'!$C$1978" xr:uid="{00000000-0004-0000-0300-0000B4000000}"/>
    <hyperlink ref="F112" location="'ARP_Inputs by customer type'!A4" display="'" xr:uid="{00000000-0004-0000-0300-0000B5000000}"/>
    <hyperlink ref="G112" location="'ARP_Inputs by customer type'!$C$2003" display="'ARP_Inputs by customer type'!$C$2003" xr:uid="{00000000-0004-0000-0300-0000B6000000}"/>
    <hyperlink ref="F113" location="'ARP_Inputs by customer type'!A4" display="'" xr:uid="{00000000-0004-0000-0300-0000B7000000}"/>
    <hyperlink ref="G113" location="'ARP_Inputs by customer type'!$C$2026" display="'ARP_Inputs by customer type'!$C$2026" xr:uid="{00000000-0004-0000-0300-0000B8000000}"/>
    <hyperlink ref="F114" location="'ARP_Inputs by customer type'!A4" display="'" xr:uid="{00000000-0004-0000-0300-0000B9000000}"/>
    <hyperlink ref="G114" location="'ARP_Inputs by customer type'!$C$2049" display="'ARP_Inputs by customer type'!$C$2049" xr:uid="{00000000-0004-0000-0300-0000BA000000}"/>
    <hyperlink ref="F115" location="'ARP_Inputs by customer type'!A4" display="'" xr:uid="{00000000-0004-0000-0300-0000BB000000}"/>
    <hyperlink ref="G115" location="'ARP_Inputs by customer type'!$C$2076" display="'ARP_Inputs by customer type'!$C$2076" xr:uid="{00000000-0004-0000-0300-0000BC000000}"/>
    <hyperlink ref="F116" location="'ARP_Inputs by customer type'!A4" display="'" xr:uid="{00000000-0004-0000-0300-0000BD000000}"/>
    <hyperlink ref="G116" location="'ARP_Inputs by customer type'!$C$2096" display="'ARP_Inputs by customer type'!$C$2096" xr:uid="{00000000-0004-0000-0300-0000BE000000}"/>
    <hyperlink ref="F117" location="'ARP_Inputs by customer type'!A4" display="'" xr:uid="{00000000-0004-0000-0300-0000BF000000}"/>
    <hyperlink ref="G117" location="'ARP_Inputs by customer type'!$C$2116" display="'ARP_Inputs by customer type'!$C$2116" xr:uid="{00000000-0004-0000-0300-0000C0000000}"/>
    <hyperlink ref="F118" location="'ARP_Inputs by network level'!A4" display="'" xr:uid="{00000000-0004-0000-0300-0000C1000000}"/>
    <hyperlink ref="G118" location="'ARP_Inputs by network level'!$C$16" display="'ARP_Inputs by network level'!$C$16" xr:uid="{00000000-0004-0000-0300-0000C2000000}"/>
    <hyperlink ref="F119" location="'ARP_Inputs by network level'!A4" display="'" xr:uid="{00000000-0004-0000-0300-0000C3000000}"/>
    <hyperlink ref="G119" location="'ARP_Inputs by network level'!$C$30" display="'ARP_Inputs by network level'!$C$30" xr:uid="{00000000-0004-0000-0300-0000C4000000}"/>
    <hyperlink ref="F120" location="'ARP_Inputs by network level'!A4" display="'" xr:uid="{00000000-0004-0000-0300-0000C5000000}"/>
    <hyperlink ref="G120" location="'ARP_Inputs by network level'!$C$44" display="'ARP_Inputs by network level'!$C$44" xr:uid="{00000000-0004-0000-0300-0000C6000000}"/>
    <hyperlink ref="F121" location="'ARP_Inputs by network level'!A4" display="'" xr:uid="{00000000-0004-0000-0300-0000C7000000}"/>
    <hyperlink ref="G121" location="'ARP_Inputs by network level'!$C$58" display="'ARP_Inputs by network level'!$C$58" xr:uid="{00000000-0004-0000-0300-0000C8000000}"/>
    <hyperlink ref="F122" location="'ARP_Inputs by network level'!A4" display="'" xr:uid="{00000000-0004-0000-0300-0000C9000000}"/>
    <hyperlink ref="G122" location="'ARP_Inputs by network level'!$C$72" display="'ARP_Inputs by network level'!$C$72" xr:uid="{00000000-0004-0000-0300-0000CA000000}"/>
    <hyperlink ref="F123" location="'ARP_Inputs by network level'!A4" display="'" xr:uid="{00000000-0004-0000-0300-0000CB000000}"/>
    <hyperlink ref="G123" location="'ARP_Inputs by network level'!$C$120" display="'ARP_Inputs by network level'!$C$120" xr:uid="{00000000-0004-0000-0300-0000CC000000}"/>
    <hyperlink ref="F124" location="'ARP_Inputs by network level'!A4" display="'" xr:uid="{00000000-0004-0000-0300-0000CD000000}"/>
    <hyperlink ref="G124" location="'ARP_Inputs by network level'!$C$134" display="'ARP_Inputs by network level'!$C$134" xr:uid="{00000000-0004-0000-0300-0000CE000000}"/>
    <hyperlink ref="F125" location="'ARP_General inputs'!A4" display="'" xr:uid="{00000000-0004-0000-0300-0000CF000000}"/>
    <hyperlink ref="G125" location="'ARP_General inputs'!$C$16" display="'ARP_General inputs'!$C$16" xr:uid="{00000000-0004-0000-0300-0000D0000000}"/>
    <hyperlink ref="F126" location="'ARP_General inputs'!A4" display="'" xr:uid="{00000000-0004-0000-0300-0000D1000000}"/>
    <hyperlink ref="G126" location="'ARP_General inputs'!$C$28" display="'ARP_General inputs'!$C$28" xr:uid="{00000000-0004-0000-0300-0000D2000000}"/>
    <hyperlink ref="F127" location="'ARP_General inputs'!A4" display="'" xr:uid="{00000000-0004-0000-0300-0000D3000000}"/>
    <hyperlink ref="G127" location="'ARP_General inputs'!$C$38" display="'ARP_General inputs'!$C$38" xr:uid="{00000000-0004-0000-0300-0000D4000000}"/>
    <hyperlink ref="F128" location="'ARP_General inputs'!A4" display="'" xr:uid="{00000000-0004-0000-0300-0000D5000000}"/>
    <hyperlink ref="G128" location="'ARP_General inputs'!$C$98" display="'ARP_General inputs'!$C$98" xr:uid="{00000000-0004-0000-0300-0000D6000000}"/>
    <hyperlink ref="F129" location="'ARP_General inputs'!A4" display="'" xr:uid="{00000000-0004-0000-0300-0000D7000000}"/>
    <hyperlink ref="G129" location="'ARP_General inputs'!$C$103" display="'ARP_General inputs'!$C$103" xr:uid="{00000000-0004-0000-0300-0000D8000000}"/>
    <hyperlink ref="F130" location="'ARP_General inputs'!A4" display="'" xr:uid="{00000000-0004-0000-0300-0000D9000000}"/>
    <hyperlink ref="G130" location="'ARP_General inputs'!$C$107" display="'ARP_General inputs'!$C$107" xr:uid="{00000000-0004-0000-0300-0000DA000000}"/>
    <hyperlink ref="F131" location="'Fixed inputs'!A4" display="'" xr:uid="{00000000-0004-0000-0300-0000DB000000}"/>
    <hyperlink ref="G131" location="'Fixed inputs'!$C$13" display="'Fixed inputs'!$C$13" xr:uid="{00000000-0004-0000-0300-0000DC000000}"/>
    <hyperlink ref="F132" location="'Fixed inputs'!A4" display="'" xr:uid="{00000000-0004-0000-0300-0000DD000000}"/>
    <hyperlink ref="G132" location="'Fixed inputs'!$C$20" display="'Fixed inputs'!$C$20" xr:uid="{00000000-0004-0000-0300-0000DE000000}"/>
    <hyperlink ref="F133" location="'Fixed inputs'!A4" display="'" xr:uid="{00000000-0004-0000-0300-0000DF000000}"/>
    <hyperlink ref="G133" location="'Fixed inputs'!$C$33" display="'Fixed inputs'!$C$33" xr:uid="{00000000-0004-0000-0300-0000E0000000}"/>
    <hyperlink ref="F134" location="'Fixed inputs'!A4" display="'" xr:uid="{00000000-0004-0000-0300-0000E1000000}"/>
    <hyperlink ref="G134" location="'Fixed inputs'!$C$43" display="'Fixed inputs'!$C$43" xr:uid="{00000000-0004-0000-0300-0000E2000000}"/>
    <hyperlink ref="F135" location="'Fixed inputs'!A4" display="'" xr:uid="{00000000-0004-0000-0300-0000E3000000}"/>
    <hyperlink ref="G135" location="'Fixed inputs'!$C$84" display="'Fixed inputs'!$C$84" xr:uid="{00000000-0004-0000-0300-0000E4000000}"/>
    <hyperlink ref="F136" location="'Fixed inputs'!A4" display="'" xr:uid="{00000000-0004-0000-0300-0000E5000000}"/>
    <hyperlink ref="G136" location="'Fixed inputs'!$C$99" display="'Fixed inputs'!$C$99" xr:uid="{00000000-0004-0000-0300-0000E6000000}"/>
    <hyperlink ref="F137" location="'Fixed inputs'!A4" display="'" xr:uid="{00000000-0004-0000-0300-0000E7000000}"/>
    <hyperlink ref="G137" location="'Fixed inputs'!$C$141" display="'Fixed inputs'!$C$141" xr:uid="{00000000-0004-0000-0300-0000E8000000}"/>
    <hyperlink ref="F138" location="'Fixed inputs'!A4" display="'" xr:uid="{00000000-0004-0000-0300-0000E9000000}"/>
    <hyperlink ref="G138" location="'Fixed inputs'!$C$151" display="'Fixed inputs'!$C$151" xr:uid="{00000000-0004-0000-0300-0000EA000000}"/>
    <hyperlink ref="F139" location="'Fixed inputs'!A4" display="'" xr:uid="{00000000-0004-0000-0300-0000EB000000}"/>
    <hyperlink ref="G139" location="'Fixed inputs'!$C$155" display="'Fixed inputs'!$C$155" xr:uid="{00000000-0004-0000-0300-0000EC000000}"/>
    <hyperlink ref="F140" location="'Fixed inputs'!A4" display="'" xr:uid="{00000000-0004-0000-0300-0000ED000000}"/>
    <hyperlink ref="G140" location="'Fixed inputs'!$C$161" display="'Fixed inputs'!$C$161" xr:uid="{00000000-0004-0000-0300-0000EE000000}"/>
    <hyperlink ref="F141" location="'Inputs by customer type'!A4" display="'" xr:uid="{00000000-0004-0000-0300-0000EF000000}"/>
    <hyperlink ref="G141" location="'Inputs by customer type'!$C$16" display="'Inputs by customer type'!$C$16" xr:uid="{00000000-0004-0000-0300-0000F0000000}"/>
    <hyperlink ref="F142" location="'Inputs by customer type'!A4" display="'" xr:uid="{00000000-0004-0000-0300-0000F1000000}"/>
    <hyperlink ref="G142" location="'Inputs by customer type'!$C$21" display="'Inputs by customer type'!$C$21" xr:uid="{00000000-0004-0000-0300-0000F2000000}"/>
    <hyperlink ref="F143" location="'Inputs by customer type'!A4" display="'" xr:uid="{00000000-0004-0000-0300-0000F3000000}"/>
    <hyperlink ref="G143" location="'Inputs by customer type'!$C$166" display="'Inputs by customer type'!$C$166" xr:uid="{00000000-0004-0000-0300-0000F4000000}"/>
    <hyperlink ref="F144" location="'Inputs by customer type'!A4" display="'" xr:uid="{00000000-0004-0000-0300-0000F5000000}"/>
    <hyperlink ref="G144" location="'Inputs by customer type'!$C$186" display="'Inputs by customer type'!$C$186" xr:uid="{00000000-0004-0000-0300-0000F6000000}"/>
    <hyperlink ref="F145" location="'Inputs by network level'!A4" display="'" xr:uid="{00000000-0004-0000-0300-0000F7000000}"/>
    <hyperlink ref="G145" location="'Inputs by network level'!$C$16" display="'Inputs by network level'!$C$16" xr:uid="{00000000-0004-0000-0300-0000F8000000}"/>
    <hyperlink ref="F146" location="'Inputs by network level'!A4" display="'" xr:uid="{00000000-0004-0000-0300-0000F9000000}"/>
    <hyperlink ref="G146" location="'Inputs by network level'!$C$26" display="'Inputs by network level'!$C$26" xr:uid="{00000000-0004-0000-0300-0000FA000000}"/>
    <hyperlink ref="F147" location="'Inputs by network level'!A4" display="'" xr:uid="{00000000-0004-0000-0300-0000FB000000}"/>
    <hyperlink ref="G147" location="'Inputs by network level'!$C$34" display="'Inputs by network level'!$C$34" xr:uid="{00000000-0004-0000-0300-0000FC000000}"/>
    <hyperlink ref="F148" location="'Inputs by network level'!A4" display="'" xr:uid="{00000000-0004-0000-0300-0000FD000000}"/>
    <hyperlink ref="G148" location="'Inputs by network level'!$C$38" display="'Inputs by network level'!$C$38" xr:uid="{00000000-0004-0000-0300-0000FE000000}"/>
    <hyperlink ref="F149" location="'General inputs'!A4" display="'" xr:uid="{00000000-0004-0000-0300-0000FF000000}"/>
    <hyperlink ref="G149" location="'General inputs'!$C$16" display="'General inputs'!$C$16" xr:uid="{00000000-0004-0000-0300-000000010000}"/>
    <hyperlink ref="F150" location="'General inputs'!A4" display="'" xr:uid="{00000000-0004-0000-0300-000001010000}"/>
    <hyperlink ref="G150" location="'General inputs'!$C$28" display="'General inputs'!$C$28" xr:uid="{00000000-0004-0000-0300-000002010000}"/>
    <hyperlink ref="F151" location="'General inputs'!A4" display="'" xr:uid="{00000000-0004-0000-0300-000003010000}"/>
    <hyperlink ref="G151" location="'General inputs'!$C$38" display="'General inputs'!$C$38" xr:uid="{00000000-0004-0000-0300-000004010000}"/>
    <hyperlink ref="F152" location="'General inputs'!A4" display="'" xr:uid="{00000000-0004-0000-0300-000005010000}"/>
    <hyperlink ref="G152" location="'General inputs'!$C$92" display="'General inputs'!$C$92" xr:uid="{00000000-0004-0000-0300-000006010000}"/>
    <hyperlink ref="F153" location="'General inputs'!A4" display="'" xr:uid="{00000000-0004-0000-0300-000007010000}"/>
    <hyperlink ref="G153" location="'General inputs'!$C$98" display="'General inputs'!$C$98" xr:uid="{00000000-0004-0000-0300-000008010000}"/>
    <hyperlink ref="F154" location="'General inputs'!A4" display="'" xr:uid="{00000000-0004-0000-0300-000009010000}"/>
    <hyperlink ref="G154" location="'General inputs'!$C$102" display="'General inputs'!$C$102" xr:uid="{00000000-0004-0000-0300-00000A010000}"/>
    <hyperlink ref="F155" location="'Standing charge factors'!A4" display="'" xr:uid="{00000000-0004-0000-0300-00000B010000}"/>
    <hyperlink ref="G155" location="'Standing charge factors'!$C$19" display="'Standing charge factors'!$C$19" xr:uid="{00000000-0004-0000-0300-00000C010000}"/>
    <hyperlink ref="F156" location="'Load &amp; loss characteristics'!A4" display="'" xr:uid="{00000000-0004-0000-0300-00000D010000}"/>
    <hyperlink ref="G156" location="'Load &amp; loss characteristics'!$C$17" display="'Load &amp; loss characteristics'!$C$17" xr:uid="{00000000-0004-0000-0300-00000E010000}"/>
    <hyperlink ref="F157" location="'Load &amp; loss characteristics'!A4" display="'" xr:uid="{00000000-0004-0000-0300-00000F010000}"/>
    <hyperlink ref="G157" location="'Load &amp; loss characteristics'!$C$25" display="'Load &amp; loss characteristics'!$C$25" xr:uid="{00000000-0004-0000-0300-000010010000}"/>
    <hyperlink ref="F158" location="'Load &amp; loss characteristics'!A4" display="'" xr:uid="{00000000-0004-0000-0300-000011010000}"/>
    <hyperlink ref="G158" location="'Load &amp; loss characteristics'!$C$35" display="'Load &amp; loss characteristics'!$C$35" xr:uid="{00000000-0004-0000-0300-000012010000}"/>
    <hyperlink ref="F159" location="'Load &amp; loss characteristics'!A4" display="'" xr:uid="{00000000-0004-0000-0300-000013010000}"/>
    <hyperlink ref="G159" location="'Load &amp; loss characteristics'!$C$40" display="'Load &amp; loss characteristics'!$C$40" xr:uid="{00000000-0004-0000-0300-000014010000}"/>
    <hyperlink ref="F160" location="'Load &amp; loss characteristics'!A4" display="'" xr:uid="{00000000-0004-0000-0300-000015010000}"/>
    <hyperlink ref="G160" location="'Load &amp; loss characteristics'!$C$121" display="'Load &amp; loss characteristics'!$C$121" xr:uid="{00000000-0004-0000-0300-000016010000}"/>
    <hyperlink ref="F161" location="'Customer contributions'!A4" display="'" xr:uid="{00000000-0004-0000-0300-000017010000}"/>
    <hyperlink ref="G161" location="'Customer contributions'!$C$16" display="'Customer contributions'!$C$16" xr:uid="{00000000-0004-0000-0300-000018010000}"/>
    <hyperlink ref="F162" location="'Customer contributions'!A4" display="'" xr:uid="{00000000-0004-0000-0300-000019010000}"/>
    <hyperlink ref="G162" location="'Customer contributions'!$C$38" display="'Customer contributions'!$C$38" xr:uid="{00000000-0004-0000-0300-00001A010000}"/>
    <hyperlink ref="F163" location="'Volume adjustments'!A4" display="'" xr:uid="{00000000-0004-0000-0300-00001B010000}"/>
    <hyperlink ref="G163" location="'Volume adjustments'!$C$15" display="'Volume adjustments'!$C$15" xr:uid="{00000000-0004-0000-0300-00001C010000}"/>
    <hyperlink ref="F164" location="'Volume adjustments'!A4" display="'" xr:uid="{00000000-0004-0000-0300-00001D010000}"/>
    <hyperlink ref="G164" location="'Volume adjustments'!$C$53" display="'Volume adjustments'!$C$53" xr:uid="{00000000-0004-0000-0300-00001E010000}"/>
    <hyperlink ref="F165" location="'Volume adjustments'!A4" display="'" xr:uid="{00000000-0004-0000-0300-00001F010000}"/>
    <hyperlink ref="G165" location="'Volume adjustments'!$C$225" display="'Volume adjustments'!$C$225" xr:uid="{00000000-0004-0000-0300-000020010000}"/>
    <hyperlink ref="F166" location="'Volume adjustments'!A4" display="'" xr:uid="{00000000-0004-0000-0300-000021010000}"/>
    <hyperlink ref="G166" location="'Volume adjustments'!$C$332" display="'Volume adjustments'!$C$332" xr:uid="{00000000-0004-0000-0300-000022010000}"/>
    <hyperlink ref="F167" location="'Volume adjustments'!A4" display="'" xr:uid="{00000000-0004-0000-0300-000023010000}"/>
    <hyperlink ref="G167" location="'Volume adjustments'!$C$361" display="'Volume adjustments'!$C$361" xr:uid="{00000000-0004-0000-0300-000024010000}"/>
    <hyperlink ref="F168" location="'Volume adjustments'!A4" display="'" xr:uid="{00000000-0004-0000-0300-000025010000}"/>
    <hyperlink ref="G168" location="'Volume adjustments'!$C$390" display="'Volume adjustments'!$C$390" xr:uid="{00000000-0004-0000-0300-000026010000}"/>
    <hyperlink ref="F169" location="'Volume adjustments'!A4" display="'" xr:uid="{00000000-0004-0000-0300-000027010000}"/>
    <hyperlink ref="G169" location="'Volume adjustments'!$C$419" display="'Volume adjustments'!$C$419" xr:uid="{00000000-0004-0000-0300-000028010000}"/>
    <hyperlink ref="F170" location="'Volume adjustments'!A4" display="'" xr:uid="{00000000-0004-0000-0300-000029010000}"/>
    <hyperlink ref="G170" location="'Volume adjustments'!$C$448" display="'Volume adjustments'!$C$448" xr:uid="{00000000-0004-0000-0300-00002A010000}"/>
    <hyperlink ref="F171" location="'Volume adjustments'!A4" display="'" xr:uid="{00000000-0004-0000-0300-00002B010000}"/>
    <hyperlink ref="G171" location="'Volume adjustments'!$C$477" display="'Volume adjustments'!$C$477" xr:uid="{00000000-0004-0000-0300-00002C010000}"/>
    <hyperlink ref="F172" location="'Volume adjustments'!A4" display="'" xr:uid="{00000000-0004-0000-0300-00002D010000}"/>
    <hyperlink ref="G172" location="'Volume adjustments'!$C$523" display="'Volume adjustments'!$C$523" xr:uid="{00000000-0004-0000-0300-00002E010000}"/>
    <hyperlink ref="F173" location="'Volume adjustments'!A4" display="'" xr:uid="{00000000-0004-0000-0300-00002F010000}"/>
    <hyperlink ref="G173" location="'Volume adjustments'!$C$657" display="'Volume adjustments'!$C$657" xr:uid="{00000000-0004-0000-0300-000030010000}"/>
    <hyperlink ref="F174" location="'Pseudo-load coefficients'!A4" display="'" xr:uid="{00000000-0004-0000-0300-000031010000}"/>
    <hyperlink ref="G174" location="'Pseudo-load coefficients'!$C$18" display="'Pseudo-load coefficients'!$C$18" xr:uid="{00000000-0004-0000-0300-000032010000}"/>
    <hyperlink ref="F175" location="'Pseudo-load coefficients'!A4" display="'" xr:uid="{00000000-0004-0000-0300-000033010000}"/>
    <hyperlink ref="G175" location="'Pseudo-load coefficients'!$C$28" display="'Pseudo-load coefficients'!$C$28" xr:uid="{00000000-0004-0000-0300-000034010000}"/>
    <hyperlink ref="F176" location="'Pseudo-load coefficients'!A4" display="'" xr:uid="{00000000-0004-0000-0300-000035010000}"/>
    <hyperlink ref="G176" location="'Pseudo-load coefficients'!$C$36" display="'Pseudo-load coefficients'!$C$36" xr:uid="{00000000-0004-0000-0300-000036010000}"/>
    <hyperlink ref="F177" location="'Pseudo-load coefficients'!A4" display="'" xr:uid="{00000000-0004-0000-0300-000037010000}"/>
    <hyperlink ref="G177" location="'Pseudo-load coefficients'!$C$52" display="'Pseudo-load coefficients'!$C$52" xr:uid="{00000000-0004-0000-0300-000038010000}"/>
    <hyperlink ref="F178" location="'Pseudo-load coefficients'!A4" display="'" xr:uid="{00000000-0004-0000-0300-000039010000}"/>
    <hyperlink ref="G178" location="'Pseudo-load coefficients'!$C$60" display="'Pseudo-load coefficients'!$C$60" xr:uid="{00000000-0004-0000-0300-00003A010000}"/>
    <hyperlink ref="F179" location="'Pseudo-load coefficients'!A4" display="'" xr:uid="{00000000-0004-0000-0300-00003B010000}"/>
    <hyperlink ref="G179" location="'Pseudo-load coefficients'!$C$65" display="'Pseudo-load coefficients'!$C$65" xr:uid="{00000000-0004-0000-0300-00003C010000}"/>
    <hyperlink ref="F180" location="'Pseudo-load coefficients'!A4" display="'" xr:uid="{00000000-0004-0000-0300-00003D010000}"/>
    <hyperlink ref="G180" location="'Pseudo-load coefficients'!$C$87" display="'Pseudo-load coefficients'!$C$87" xr:uid="{00000000-0004-0000-0300-00003E010000}"/>
    <hyperlink ref="F181" location="'Pseudo-load coefficients'!A4" display="'" xr:uid="{00000000-0004-0000-0300-00003F010000}"/>
    <hyperlink ref="G181" location="'Pseudo-load coefficients'!$C$100" display="'Pseudo-load coefficients'!$C$100" xr:uid="{00000000-0004-0000-0300-000040010000}"/>
    <hyperlink ref="F182" location="'Pseudo-load coefficients'!A4" display="'" xr:uid="{00000000-0004-0000-0300-000041010000}"/>
    <hyperlink ref="G182" location="'Pseudo-load coefficients'!$C$174" display="'Pseudo-load coefficients'!$C$174" xr:uid="{00000000-0004-0000-0300-000042010000}"/>
    <hyperlink ref="F183" location="'Pseudo-load coefficients'!A4" display="'" xr:uid="{00000000-0004-0000-0300-000043010000}"/>
    <hyperlink ref="G183" location="'Pseudo-load coefficients'!$C$221" display="'Pseudo-load coefficients'!$C$221" xr:uid="{00000000-0004-0000-0300-000044010000}"/>
    <hyperlink ref="F184" location="'Pseudo-load coefficients'!A4" display="'" xr:uid="{00000000-0004-0000-0300-000045010000}"/>
    <hyperlink ref="G184" location="'Pseudo-load coefficients'!$C$265" display="'Pseudo-load coefficients'!$C$265" xr:uid="{00000000-0004-0000-0300-000046010000}"/>
    <hyperlink ref="F185" location="'Pseudo-load coefficients'!A4" display="'" xr:uid="{00000000-0004-0000-0300-000047010000}"/>
    <hyperlink ref="G185" location="'Pseudo-load coefficients'!$C$269" display="'Pseudo-load coefficients'!$C$269" xr:uid="{00000000-0004-0000-0300-000048010000}"/>
    <hyperlink ref="F186" location="'System peak demand'!A4" display="'" xr:uid="{00000000-0004-0000-0300-000049010000}"/>
    <hyperlink ref="G186" location="'System peak demand'!$C$18" display="'System peak demand'!$C$18" xr:uid="{00000000-0004-0000-0300-00004A010000}"/>
    <hyperlink ref="F187" location="'System peak demand'!A4" display="'" xr:uid="{00000000-0004-0000-0300-00004B010000}"/>
    <hyperlink ref="G187" location="'System peak demand'!$C$67" display="'System peak demand'!$C$67" xr:uid="{00000000-0004-0000-0300-00004C010000}"/>
    <hyperlink ref="F188" location="'System peak demand'!A4" display="'" xr:uid="{00000000-0004-0000-0300-00004D010000}"/>
    <hyperlink ref="G188" location="'System peak demand'!$C$138" display="'System peak demand'!$C$138" xr:uid="{00000000-0004-0000-0300-00004E010000}"/>
    <hyperlink ref="F189" location="'System peak demand'!A4" display="'" xr:uid="{00000000-0004-0000-0300-00004F010000}"/>
    <hyperlink ref="G189" location="'System peak demand'!$C$164" display="'System peak demand'!$C$164" xr:uid="{00000000-0004-0000-0300-000050010000}"/>
    <hyperlink ref="F190" location="'System peak demand'!A4" display="'" xr:uid="{00000000-0004-0000-0300-000051010000}"/>
    <hyperlink ref="G190" location="'System peak demand'!$C$184" display="'System peak demand'!$C$184" xr:uid="{00000000-0004-0000-0300-000052010000}"/>
    <hyperlink ref="F191" location="'System peak demand'!A4" display="'" xr:uid="{00000000-0004-0000-0300-000053010000}"/>
    <hyperlink ref="G191" location="'System peak demand'!$C$194" display="'System peak demand'!$C$194" xr:uid="{00000000-0004-0000-0300-000054010000}"/>
    <hyperlink ref="F192" location="'System peak demand'!A4" display="'" xr:uid="{00000000-0004-0000-0300-000055010000}"/>
    <hyperlink ref="G192" location="'System peak demand'!$C$236" display="'System peak demand'!$C$236" xr:uid="{00000000-0004-0000-0300-000056010000}"/>
    <hyperlink ref="F193" location="'System peak demand'!A4" display="'" xr:uid="{00000000-0004-0000-0300-000057010000}"/>
    <hyperlink ref="G193" location="'System peak demand'!$C$249" display="'System peak demand'!$C$249" xr:uid="{00000000-0004-0000-0300-000058010000}"/>
    <hyperlink ref="F194" location="'System peak demand'!A4" display="'" xr:uid="{00000000-0004-0000-0300-000059010000}"/>
    <hyperlink ref="G194" location="'System peak demand'!$C$266" display="'System peak demand'!$C$266" xr:uid="{00000000-0004-0000-0300-00005A010000}"/>
    <hyperlink ref="F195" location="'Service model assets'!A4" display="'" xr:uid="{00000000-0004-0000-0300-00005B010000}"/>
    <hyperlink ref="G195" location="'Service model assets'!$C$14" display="'Service model assets'!$C$14" xr:uid="{00000000-0004-0000-0300-00005C010000}"/>
    <hyperlink ref="F196" location="'Unit costs'!A4" display="'" xr:uid="{00000000-0004-0000-0300-00005D010000}"/>
    <hyperlink ref="G196" location="'Unit costs'!$C$19" display="'Unit costs'!$C$19" xr:uid="{00000000-0004-0000-0300-00005E010000}"/>
    <hyperlink ref="F197" location="'Unit costs'!A4" display="'" xr:uid="{00000000-0004-0000-0300-00005F010000}"/>
    <hyperlink ref="G197" location="'Unit costs'!$C$27" display="'Unit costs'!$C$27" xr:uid="{00000000-0004-0000-0300-000060010000}"/>
    <hyperlink ref="F198" location="'Unit costs'!A4" display="'" xr:uid="{00000000-0004-0000-0300-000061010000}"/>
    <hyperlink ref="G198" location="'Unit costs'!$C$35" display="'Unit costs'!$C$35" xr:uid="{00000000-0004-0000-0300-000062010000}"/>
    <hyperlink ref="F199" location="'Unit costs'!A4" display="'" xr:uid="{00000000-0004-0000-0300-000063010000}"/>
    <hyperlink ref="G199" location="'Unit costs'!$C$42" display="'Unit costs'!$C$42" xr:uid="{00000000-0004-0000-0300-000064010000}"/>
    <hyperlink ref="F200" location="'Unit costs'!A4" display="'" xr:uid="{00000000-0004-0000-0300-000065010000}"/>
    <hyperlink ref="G200" location="'Unit costs'!$C$50" display="'Unit costs'!$C$50" xr:uid="{00000000-0004-0000-0300-000066010000}"/>
    <hyperlink ref="F201" location="'Unit costs'!A4" display="'" xr:uid="{00000000-0004-0000-0300-000067010000}"/>
    <hyperlink ref="G201" location="'Unit costs'!$C$62" display="'Unit costs'!$C$62" xr:uid="{00000000-0004-0000-0300-000068010000}"/>
    <hyperlink ref="F202" location="'Unit costs'!A4" display="'" xr:uid="{00000000-0004-0000-0300-000069010000}"/>
    <hyperlink ref="G202" location="'Unit costs'!$C$69" display="'Unit costs'!$C$69" xr:uid="{00000000-0004-0000-0300-00006A010000}"/>
    <hyperlink ref="F203" location="'Unit costs'!A4" display="'" xr:uid="{00000000-0004-0000-0300-00006B010000}"/>
    <hyperlink ref="G203" location="'Unit costs'!$C$80" display="'Unit costs'!$C$80" xr:uid="{00000000-0004-0000-0300-00006C010000}"/>
    <hyperlink ref="F204" location="'Unit costs'!A4" display="'" xr:uid="{00000000-0004-0000-0300-00006D010000}"/>
    <hyperlink ref="G204" location="'Unit costs'!$C$92" display="'Unit costs'!$C$92" xr:uid="{00000000-0004-0000-0300-00006E010000}"/>
    <hyperlink ref="F205" location="'Unit costs'!A4" display="'" xr:uid="{00000000-0004-0000-0300-00006F010000}"/>
    <hyperlink ref="G205" location="'Unit costs'!$C$104" display="'Unit costs'!$C$104" xr:uid="{00000000-0004-0000-0300-000070010000}"/>
    <hyperlink ref="F206" location="'Unit costs'!A4" display="'" xr:uid="{00000000-0004-0000-0300-000071010000}"/>
    <hyperlink ref="G206" location="'Unit costs'!$C$110" display="'Unit costs'!$C$110" xr:uid="{00000000-0004-0000-0300-000072010000}"/>
    <hyperlink ref="F207" location="'Unit costs'!A4" display="'" xr:uid="{00000000-0004-0000-0300-000073010000}"/>
    <hyperlink ref="G207" location="'Unit costs'!$C$117" display="'Unit costs'!$C$117" xr:uid="{00000000-0004-0000-0300-000074010000}"/>
    <hyperlink ref="F208" location="'Initial unit rates'!A4" display="'" xr:uid="{00000000-0004-0000-0300-000075010000}"/>
    <hyperlink ref="G208" location="'Initial unit rates'!$C$13" display="'Initial unit rates'!$C$13" xr:uid="{00000000-0004-0000-0300-000076010000}"/>
    <hyperlink ref="F209" location="'Initial unit rates'!A4" display="'" xr:uid="{00000000-0004-0000-0300-000077010000}"/>
    <hyperlink ref="G209" location="'Initial unit rates'!$C$118" display="'Initial unit rates'!$C$118" xr:uid="{00000000-0004-0000-0300-000078010000}"/>
    <hyperlink ref="F210" location="'Initial unit rates'!A4" display="'" xr:uid="{00000000-0004-0000-0300-000079010000}"/>
    <hyperlink ref="G210" location="'Initial unit rates'!$C$146" display="'Initial unit rates'!$C$146" xr:uid="{00000000-0004-0000-0300-00007A010000}"/>
    <hyperlink ref="F211" location="'Initial unit rates'!A4" display="'" xr:uid="{00000000-0004-0000-0300-00007B010000}"/>
    <hyperlink ref="G211" location="'Initial unit rates'!$C$175" display="'Initial unit rates'!$C$175" xr:uid="{00000000-0004-0000-0300-00007C010000}"/>
    <hyperlink ref="F212" location="'Initial unit rates'!A4" display="'" xr:uid="{00000000-0004-0000-0300-00007D010000}"/>
    <hyperlink ref="G212" location="'Initial unit rates'!$C$204" display="'Initial unit rates'!$C$204" xr:uid="{00000000-0004-0000-0300-00007E010000}"/>
    <hyperlink ref="F213" location="'Service model charges'!A4" display="'" xr:uid="{00000000-0004-0000-0300-00007F010000}"/>
    <hyperlink ref="G213" location="'Service model charges'!$C$17" display="'Service model charges'!$C$17" xr:uid="{00000000-0004-0000-0300-000080010000}"/>
    <hyperlink ref="F214" location="'Service model charges'!A4" display="'" xr:uid="{00000000-0004-0000-0300-000081010000}"/>
    <hyperlink ref="G214" location="'Service model charges'!$C$33" display="'Service model charges'!$C$33" xr:uid="{00000000-0004-0000-0300-000082010000}"/>
    <hyperlink ref="F215" location="'Service model charges'!A4" display="'" xr:uid="{00000000-0004-0000-0300-000083010000}"/>
    <hyperlink ref="G215" location="'Service model charges'!$C$37" display="'Service model charges'!$C$37" xr:uid="{00000000-0004-0000-0300-000084010000}"/>
    <hyperlink ref="F216" location="'Unit rate charges'!A4" display="'" xr:uid="{00000000-0004-0000-0300-000085010000}"/>
    <hyperlink ref="G216" location="'Unit rate charges'!$C$19" display="'Unit rate charges'!$C$19" xr:uid="{00000000-0004-0000-0300-000086010000}"/>
    <hyperlink ref="F217" location="'Unit rate charges'!A4" display="'" xr:uid="{00000000-0004-0000-0300-000087010000}"/>
    <hyperlink ref="G217" location="'Unit rate charges'!$C$49" display="'Unit rate charges'!$C$49" xr:uid="{00000000-0004-0000-0300-000088010000}"/>
    <hyperlink ref="F218" location="'Unit rate charges'!A4" display="'" xr:uid="{00000000-0004-0000-0300-000089010000}"/>
    <hyperlink ref="G218" location="'Unit rate charges'!$C$79" display="'Unit rate charges'!$C$79" xr:uid="{00000000-0004-0000-0300-00008A010000}"/>
    <hyperlink ref="F219" location="'Unit rate charges'!A4" display="'" xr:uid="{00000000-0004-0000-0300-00008B010000}"/>
    <hyperlink ref="G219" location="'Unit rate charges'!$C$109" display="'Unit rate charges'!$C$109" xr:uid="{00000000-0004-0000-0300-00008C010000}"/>
    <hyperlink ref="F220" location="'Unit rate charges'!A4" display="'" xr:uid="{00000000-0004-0000-0300-00008D010000}"/>
    <hyperlink ref="G220" location="'Unit rate charges'!$C$124" display="'Unit rate charges'!$C$124" xr:uid="{00000000-0004-0000-0300-00008E010000}"/>
    <hyperlink ref="F221" location="'Unit rate charges'!A4" display="'" xr:uid="{00000000-0004-0000-0300-00008F010000}"/>
    <hyperlink ref="G221" location="'Unit rate charges'!$C$154" display="'Unit rate charges'!$C$154" xr:uid="{00000000-0004-0000-0300-000090010000}"/>
    <hyperlink ref="F222" location="'Unit rate charges'!A4" display="'" xr:uid="{00000000-0004-0000-0300-000091010000}"/>
    <hyperlink ref="G222" location="'Unit rate charges'!$C$184" display="'Unit rate charges'!$C$184" xr:uid="{00000000-0004-0000-0300-000092010000}"/>
    <hyperlink ref="F223" location="'Unit rate charges'!A4" display="'" xr:uid="{00000000-0004-0000-0300-000093010000}"/>
    <hyperlink ref="G223" location="'Unit rate charges'!$C$214" display="'Unit rate charges'!$C$214" xr:uid="{00000000-0004-0000-0300-000094010000}"/>
    <hyperlink ref="F224" location="'Capacity charges'!A4" display="'" xr:uid="{00000000-0004-0000-0300-000095010000}"/>
    <hyperlink ref="G224" location="'Capacity charges'!$C$19" display="'Capacity charges'!$C$19" xr:uid="{00000000-0004-0000-0300-000096010000}"/>
    <hyperlink ref="F225" location="'Capacity charges'!A4" display="'" xr:uid="{00000000-0004-0000-0300-000097010000}"/>
    <hyperlink ref="G225" location="'Capacity charges'!$C$129" display="'Capacity charges'!$C$129" xr:uid="{00000000-0004-0000-0300-000098010000}"/>
    <hyperlink ref="F226" location="'Capacity charges'!A4" display="'" xr:uid="{00000000-0004-0000-0300-000099010000}"/>
    <hyperlink ref="G226" location="'Capacity charges'!$C$159" display="'Capacity charges'!$C$159" xr:uid="{00000000-0004-0000-0300-00009A010000}"/>
    <hyperlink ref="F227" location="'Capacity charges'!A4" display="'" xr:uid="{00000000-0004-0000-0300-00009B010000}"/>
    <hyperlink ref="G227" location="'Capacity charges'!$C$189" display="'Capacity charges'!$C$189" xr:uid="{00000000-0004-0000-0300-00009C010000}"/>
    <hyperlink ref="F228" location="'Capacity charges'!A4" display="'" xr:uid="{00000000-0004-0000-0300-00009D010000}"/>
    <hyperlink ref="G228" location="'Capacity charges'!$C$219" display="'Capacity charges'!$C$219" xr:uid="{00000000-0004-0000-0300-00009E010000}"/>
    <hyperlink ref="F229" location="'Capacity charges'!A4" display="'" xr:uid="{00000000-0004-0000-0300-00009F010000}"/>
    <hyperlink ref="G229" location="'Capacity charges'!$C$254" display="'Capacity charges'!$C$254" xr:uid="{00000000-0004-0000-0300-0000A0010000}"/>
    <hyperlink ref="F230" location="'Capacity charges'!A4" display="'" xr:uid="{00000000-0004-0000-0300-0000A1010000}"/>
    <hyperlink ref="G230" location="'Capacity charges'!$C$259" display="'Capacity charges'!$C$259" xr:uid="{00000000-0004-0000-0300-0000A2010000}"/>
    <hyperlink ref="F231" location="'Reactive power charges'!A4" display="'" xr:uid="{00000000-0004-0000-0300-0000A3010000}"/>
    <hyperlink ref="G231" location="'Reactive power charges'!$C$17" display="'Reactive power charges'!$C$17" xr:uid="{00000000-0004-0000-0300-0000A4010000}"/>
    <hyperlink ref="F232" location="'Reactive power charges'!A4" display="'" xr:uid="{00000000-0004-0000-0300-0000A5010000}"/>
    <hyperlink ref="G232" location="'Reactive power charges'!$C$120" display="'Reactive power charges'!$C$120" xr:uid="{00000000-0004-0000-0300-0000A6010000}"/>
    <hyperlink ref="F233" location="'Reactive power charges'!A4" display="'" xr:uid="{00000000-0004-0000-0300-0000A7010000}"/>
    <hyperlink ref="G233" location="'Reactive power charges'!$C$155" display="'Reactive power charges'!$C$155" xr:uid="{00000000-0004-0000-0300-0000A8010000}"/>
    <hyperlink ref="F234" location="'Reactive power charges'!A4" display="'" xr:uid="{00000000-0004-0000-0300-0000A9010000}"/>
    <hyperlink ref="G234" location="'Reactive power charges'!$C$190" display="'Reactive power charges'!$C$190" xr:uid="{00000000-0004-0000-0300-0000AA010000}"/>
    <hyperlink ref="F235" location="'Reactive power charges'!A4" display="'" xr:uid="{00000000-0004-0000-0300-0000AB010000}"/>
    <hyperlink ref="G235" location="'Reactive power charges'!$C$220" display="'Reactive power charges'!$C$220" xr:uid="{00000000-0004-0000-0300-0000AC010000}"/>
    <hyperlink ref="F236" location="'Fixed charges'!A4" display="'" xr:uid="{00000000-0004-0000-0300-0000AD010000}"/>
    <hyperlink ref="G236" location="'Fixed charges'!$C$16" display="'Fixed charges'!$C$16" xr:uid="{00000000-0004-0000-0300-0000AE010000}"/>
    <hyperlink ref="F237" location="'Fixed charges'!A4" display="'" xr:uid="{00000000-0004-0000-0300-0000AF010000}"/>
    <hyperlink ref="G237" location="'Fixed charges'!$C$22" display="'Fixed charges'!$C$22" xr:uid="{00000000-0004-0000-0300-0000B0010000}"/>
    <hyperlink ref="F238" location="'Fixed charges'!A4" display="'" xr:uid="{00000000-0004-0000-0300-0000B1010000}"/>
    <hyperlink ref="G238" location="'Fixed charges'!$C$52" display="'Fixed charges'!$C$52" xr:uid="{00000000-0004-0000-0300-0000B2010000}"/>
    <hyperlink ref="F239" location="'Fixed charges'!A4" display="'" xr:uid="{00000000-0004-0000-0300-0000B3010000}"/>
    <hyperlink ref="G239" location="'Fixed charges'!$C$58" display="'Fixed charges'!$C$58" xr:uid="{00000000-0004-0000-0300-0000B4010000}"/>
    <hyperlink ref="F240" location="'Fixed charges'!A4" display="'" xr:uid="{00000000-0004-0000-0300-0000B5010000}"/>
    <hyperlink ref="G240" location="'Fixed charges'!$C$67" display="'Fixed charges'!$C$67" xr:uid="{00000000-0004-0000-0300-0000B6010000}"/>
    <hyperlink ref="F241" location="'Fixed charges'!A4" display="'" xr:uid="{00000000-0004-0000-0300-0000B7010000}"/>
    <hyperlink ref="G241" location="'Fixed charges'!$C$97" display="'Fixed charges'!$C$97" xr:uid="{00000000-0004-0000-0300-0000B8010000}"/>
    <hyperlink ref="F242" location="'Fixed charges'!A4" display="'" xr:uid="{00000000-0004-0000-0300-0000B9010000}"/>
    <hyperlink ref="G242" location="'Fixed charges'!$C$127" display="'Fixed charges'!$C$127" xr:uid="{00000000-0004-0000-0300-0000BA010000}"/>
    <hyperlink ref="F243" location="'Fixed charges'!A4" display="'" xr:uid="{00000000-0004-0000-0300-0000BB010000}"/>
    <hyperlink ref="G243" location="'Fixed charges'!$C$159" display="'Fixed charges'!$C$159" xr:uid="{00000000-0004-0000-0300-0000BC010000}"/>
    <hyperlink ref="F244" location="'Fixed charge adder'!A4" display="'" xr:uid="{00000000-0004-0000-0300-0000BD010000}"/>
    <hyperlink ref="G244" location="'Fixed charge adder'!$C$16" display="'Fixed charge adder'!$C$16" xr:uid="{00000000-0004-0000-0300-0000BE010000}"/>
    <hyperlink ref="F245" location="'Fixed charge adder'!A4" display="'" xr:uid="{00000000-0004-0000-0300-0000BF010000}"/>
    <hyperlink ref="G245" location="'Fixed charge adder'!$C$33" display="'Fixed charge adder'!$C$33" xr:uid="{00000000-0004-0000-0300-0000C0010000}"/>
    <hyperlink ref="F246" location="'Fixed charge adder'!A4" display="'" xr:uid="{00000000-0004-0000-0300-0000C1010000}"/>
    <hyperlink ref="G246" location="'Fixed charge adder'!$C$48" display="'Fixed charge adder'!$C$48" xr:uid="{00000000-0004-0000-0300-0000C2010000}"/>
    <hyperlink ref="F247" location="'Revenue matching'!A4" display="'" xr:uid="{00000000-0004-0000-0300-0000C3010000}"/>
    <hyperlink ref="G247" location="'Revenue matching'!$C$15" display="'Revenue matching'!$C$15" xr:uid="{00000000-0004-0000-0300-0000C4010000}"/>
    <hyperlink ref="F248" location="'Revenue matching'!A4" display="'" xr:uid="{00000000-0004-0000-0300-0000C5010000}"/>
    <hyperlink ref="G248" location="'Revenue matching'!$C$69" display="'Revenue matching'!$C$69" xr:uid="{00000000-0004-0000-0300-0000C6010000}"/>
    <hyperlink ref="F249" location="'Revenue matching'!A4" display="'" xr:uid="{00000000-0004-0000-0300-0000C7010000}"/>
    <hyperlink ref="G249" location="'Revenue matching'!$C$88" display="'Revenue matching'!$C$88" xr:uid="{00000000-0004-0000-0300-0000C8010000}"/>
    <hyperlink ref="F250" location="'Revenue matching'!A4" display="'" xr:uid="{00000000-0004-0000-0300-0000C9010000}"/>
    <hyperlink ref="G250" location="'Revenue matching'!$C$151" display="'Revenue matching'!$C$151" xr:uid="{00000000-0004-0000-0300-0000CA010000}"/>
    <hyperlink ref="F251" location="'Revenue matching'!A4" display="'" xr:uid="{00000000-0004-0000-0300-0000CB010000}"/>
    <hyperlink ref="G251" location="'Revenue matching'!$C$159" display="'Revenue matching'!$C$159" xr:uid="{00000000-0004-0000-0300-0000CC010000}"/>
    <hyperlink ref="F252" location="'Revenue matching'!A4" display="'" xr:uid="{00000000-0004-0000-0300-0000CD010000}"/>
    <hyperlink ref="G252" location="'Revenue matching'!$C$176" display="'Revenue matching'!$C$176" xr:uid="{00000000-0004-0000-0300-0000CE010000}"/>
    <hyperlink ref="F253" location="'Revenue matching'!A4" display="'" xr:uid="{00000000-0004-0000-0300-0000CF010000}"/>
    <hyperlink ref="G253" location="'Revenue matching'!$C$192" display="'Revenue matching'!$C$192" xr:uid="{00000000-0004-0000-0300-0000D0010000}"/>
    <hyperlink ref="F254" location="'Revenue matching'!A4" display="'" xr:uid="{00000000-0004-0000-0300-0000D1010000}"/>
    <hyperlink ref="G254" location="'Revenue matching'!$C$200" display="'Revenue matching'!$C$200" xr:uid="{00000000-0004-0000-0300-0000D2010000}"/>
    <hyperlink ref="F255" location="'Revenue matching'!A4" display="'" xr:uid="{00000000-0004-0000-0300-0000D3010000}"/>
    <hyperlink ref="G255" location="'Revenue matching'!$C$213" display="'Revenue matching'!$C$213" xr:uid="{00000000-0004-0000-0300-0000D4010000}"/>
    <hyperlink ref="F256" location="'Revenue matching'!A4" display="'" xr:uid="{00000000-0004-0000-0300-0000D5010000}"/>
    <hyperlink ref="G256" location="'Revenue matching'!$C$232" display="'Revenue matching'!$C$232" xr:uid="{00000000-0004-0000-0300-0000D6010000}"/>
    <hyperlink ref="F257" location="'Revenue matching'!A4" display="'" xr:uid="{00000000-0004-0000-0300-0000D7010000}"/>
    <hyperlink ref="G257" location="'Revenue matching'!$C$286" display="'Revenue matching'!$C$286" xr:uid="{00000000-0004-0000-0300-0000D8010000}"/>
    <hyperlink ref="F258" location="'Revenue matching'!A4" display="'" xr:uid="{00000000-0004-0000-0300-0000D9010000}"/>
    <hyperlink ref="G258" location="'Revenue matching'!$C$313" display="'Revenue matching'!$C$313" xr:uid="{00000000-0004-0000-0300-0000DA010000}"/>
    <hyperlink ref="F259" location="'Revenue matching'!A4" display="'" xr:uid="{00000000-0004-0000-0300-0000DB010000}"/>
    <hyperlink ref="G259" location="'Revenue matching'!$C$345" display="'Revenue matching'!$C$345" xr:uid="{00000000-0004-0000-0300-0000DC010000}"/>
    <hyperlink ref="F260" location="'Revenue matching'!A4" display="'" xr:uid="{00000000-0004-0000-0300-0000DD010000}"/>
    <hyperlink ref="G260" location="'Revenue matching'!$C$377" display="'Revenue matching'!$C$377" xr:uid="{00000000-0004-0000-0300-0000DE010000}"/>
    <hyperlink ref="F261" location="'Revenue matching'!A4" display="'" xr:uid="{00000000-0004-0000-0300-0000DF010000}"/>
    <hyperlink ref="G261" location="'Revenue matching'!$C$409" display="'Revenue matching'!$C$409" xr:uid="{00000000-0004-0000-0300-0000E0010000}"/>
    <hyperlink ref="F262" location="'Rounding'!A4" display="'" xr:uid="{00000000-0004-0000-0300-0000E1010000}"/>
    <hyperlink ref="G262" location="'Rounding'!$C$16" display="'Rounding'!$C$16" xr:uid="{00000000-0004-0000-0300-0000E2010000}"/>
    <hyperlink ref="F263" location="'Rounding'!A4" display="'" xr:uid="{00000000-0004-0000-0300-0000E3010000}"/>
    <hyperlink ref="G263" location="'Rounding'!$C$28" display="'Rounding'!$C$28" xr:uid="{00000000-0004-0000-0300-0000E4010000}"/>
    <hyperlink ref="F264" location="'Rounding'!A4" display="'" xr:uid="{00000000-0004-0000-0300-0000E5010000}"/>
    <hyperlink ref="G264" location="'Rounding'!$C$40" display="'Rounding'!$C$40" xr:uid="{00000000-0004-0000-0300-0000E6010000}"/>
    <hyperlink ref="F265" location="'Rounding'!A4" display="'" xr:uid="{00000000-0004-0000-0300-0000E7010000}"/>
    <hyperlink ref="G265" location="'Rounding'!$C$52" display="'Rounding'!$C$52" xr:uid="{00000000-0004-0000-0300-0000E8010000}"/>
    <hyperlink ref="F266" location="'Rounding'!A4" display="'" xr:uid="{00000000-0004-0000-0300-0000E9010000}"/>
    <hyperlink ref="G266" location="'Rounding'!$C$92" display="'Rounding'!$C$92" xr:uid="{00000000-0004-0000-0300-0000EA010000}"/>
    <hyperlink ref="F267" location="'Rounding'!A4" display="'" xr:uid="{00000000-0004-0000-0300-0000EB010000}"/>
    <hyperlink ref="G267" location="'Rounding'!$C$107" display="'Rounding'!$C$107" xr:uid="{00000000-0004-0000-0300-0000EC010000}"/>
    <hyperlink ref="F268" location="'Rounding'!A4" display="'" xr:uid="{00000000-0004-0000-0300-0000ED010000}"/>
    <hyperlink ref="G268" location="'Rounding'!$C$118" display="'Rounding'!$C$118" xr:uid="{00000000-0004-0000-0300-0000EE010000}"/>
    <hyperlink ref="F269" location="'Rounding'!A4" display="'" xr:uid="{00000000-0004-0000-0300-0000EF010000}"/>
    <hyperlink ref="G269" location="'Rounding'!$C$147" display="'Rounding'!$C$147" xr:uid="{00000000-0004-0000-0300-0000F0010000}"/>
    <hyperlink ref="F270" location="'Net revenue summary'!A4" display="'" xr:uid="{00000000-0004-0000-0300-0000F1010000}"/>
    <hyperlink ref="G270" location="'Net revenue summary'!$C$13" display="'Net revenue summary'!$C$13" xr:uid="{00000000-0004-0000-0300-0000F2010000}"/>
    <hyperlink ref="F271" location="'Net revenue summary'!A4" display="'" xr:uid="{00000000-0004-0000-0300-0000F3010000}"/>
    <hyperlink ref="G271" location="'Net revenue summary'!$C$52" display="'Net revenue summary'!$C$52" xr:uid="{00000000-0004-0000-0300-0000F4010000}"/>
    <hyperlink ref="F272" location="'Net revenue summary'!A4" display="'" xr:uid="{00000000-0004-0000-0300-0000F5010000}"/>
    <hyperlink ref="G272" location="'Net revenue summary'!$C$81" display="'Net revenue summary'!$C$81" xr:uid="{00000000-0004-0000-0300-0000F6010000}"/>
    <hyperlink ref="F273" location="'Net revenue summary'!A4" display="'" xr:uid="{00000000-0004-0000-0300-0000F7010000}"/>
    <hyperlink ref="G273" location="'Net revenue summary'!$C$92" display="'Net revenue summary'!$C$92" xr:uid="{00000000-0004-0000-0300-0000F8010000}"/>
    <hyperlink ref="F274" location="'Net revenue summary'!A4" display="'" xr:uid="{00000000-0004-0000-0300-0000F9010000}"/>
    <hyperlink ref="G274" location="'Net revenue summary'!$C$124" display="'Net revenue summary'!$C$124" xr:uid="{00000000-0004-0000-0300-0000FA010000}"/>
    <hyperlink ref="F275" location="'Net revenue summary'!A4" display="'" xr:uid="{00000000-0004-0000-0300-0000FB010000}"/>
    <hyperlink ref="G275" location="'Net revenue summary'!$C$138" display="'Net revenue summary'!$C$138" xr:uid="{00000000-0004-0000-0300-0000FC010000}"/>
    <hyperlink ref="F276" location="'Tariff summary'!A4" display="'" xr:uid="{00000000-0004-0000-0300-0000FD010000}"/>
    <hyperlink ref="G276" location="'Tariff summary'!$C$15" display="'Tariff summary'!$C$15" xr:uid="{00000000-0004-0000-0300-0000FE010000}"/>
    <hyperlink ref="F277" location="'Tariff summary'!A4" display="'" xr:uid="{00000000-0004-0000-0300-0000FF010000}"/>
    <hyperlink ref="G277" location="'Tariff summary'!$C$119" display="'Tariff summary'!$C$119" xr:uid="{00000000-0004-0000-0300-000000020000}"/>
    <hyperlink ref="F278" location="'Tariff summary'!A4" display="'" xr:uid="{00000000-0004-0000-0300-000001020000}"/>
    <hyperlink ref="G278" location="'Tariff summary'!$C$223" display="'Tariff summary'!$C$223" xr:uid="{00000000-0004-0000-0300-000002020000}"/>
    <hyperlink ref="F279" location="'Tariff summary'!A4" display="'" xr:uid="{00000000-0004-0000-0300-000003020000}"/>
    <hyperlink ref="G279" location="'Tariff summary'!$C$327" display="'Tariff summary'!$C$327" xr:uid="{00000000-0004-0000-0300-000004020000}"/>
    <hyperlink ref="F280" location="'Tariff summary'!A4" display="'" xr:uid="{00000000-0004-0000-0300-000005020000}"/>
    <hyperlink ref="G280" location="'Tariff summary'!$C$431" display="'Tariff summary'!$C$431" xr:uid="{00000000-0004-0000-0300-000006020000}"/>
    <hyperlink ref="F281" location="'Tariff summary'!A4" display="'" xr:uid="{00000000-0004-0000-0300-000007020000}"/>
    <hyperlink ref="G281" location="'Tariff summary'!$C$535" display="'Tariff summary'!$C$535" xr:uid="{00000000-0004-0000-0300-000008020000}"/>
    <hyperlink ref="F282" location="'Typical bills'!A4" display="'" xr:uid="{00000000-0004-0000-0300-000009020000}"/>
    <hyperlink ref="G282" location="'Typical bills'!$C$15" display="'Typical bills'!$C$15" xr:uid="{00000000-0004-0000-0300-00000A02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28515625" style="85" customWidth="1"/>
    <col min="8" max="8" width="20.7109375" style="85" customWidth="1"/>
    <col min="9" max="9" width="2.7109375" style="85" customWidth="1"/>
    <col min="10" max="16" width="15.42578125" style="85" hidden="1" customWidth="1"/>
    <col min="17" max="17" width="2.710937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Manweb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8" x14ac:dyDescent="0.25">
      <c r="B5" s="51" t="s">
        <v>430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856</v>
      </c>
      <c r="G7" s="195" t="s">
        <v>855</v>
      </c>
      <c r="H7" s="195" t="s">
        <v>595</v>
      </c>
    </row>
    <row r="8" spans="1:8" s="293" customFormat="1" x14ac:dyDescent="0.25">
      <c r="F8" s="205" t="s">
        <v>858</v>
      </c>
      <c r="G8" s="293" t="s">
        <v>857</v>
      </c>
      <c r="H8" s="293" t="s">
        <v>596</v>
      </c>
    </row>
    <row r="9" spans="1:8" s="293" customFormat="1" x14ac:dyDescent="0.25">
      <c r="F9" s="205" t="s">
        <v>860</v>
      </c>
      <c r="G9" s="293" t="s">
        <v>859</v>
      </c>
      <c r="H9" s="293" t="s">
        <v>429</v>
      </c>
    </row>
    <row r="10" spans="1:8" s="293" customFormat="1" x14ac:dyDescent="0.25">
      <c r="F10" s="205" t="s">
        <v>861</v>
      </c>
      <c r="G10" s="293" t="s">
        <v>41</v>
      </c>
      <c r="H10" s="293" t="s">
        <v>553</v>
      </c>
    </row>
    <row r="11" spans="1:8" s="293" customFormat="1" x14ac:dyDescent="0.25">
      <c r="F11" s="205" t="s">
        <v>863</v>
      </c>
      <c r="G11" s="293" t="s">
        <v>862</v>
      </c>
      <c r="H11" s="293" t="s">
        <v>595</v>
      </c>
    </row>
    <row r="12" spans="1:8" s="293" customFormat="1" x14ac:dyDescent="0.25">
      <c r="F12" s="205" t="s">
        <v>864</v>
      </c>
      <c r="G12" s="293" t="s">
        <v>133</v>
      </c>
      <c r="H12" s="293" t="s">
        <v>429</v>
      </c>
    </row>
    <row r="13" spans="1:8" s="293" customFormat="1" x14ac:dyDescent="0.25">
      <c r="F13" s="205" t="s">
        <v>866</v>
      </c>
      <c r="G13" s="293" t="s">
        <v>865</v>
      </c>
      <c r="H13" s="293" t="s">
        <v>553</v>
      </c>
    </row>
    <row r="14" spans="1:8" s="293" customFormat="1" x14ac:dyDescent="0.25">
      <c r="F14" s="205" t="s">
        <v>868</v>
      </c>
      <c r="G14" s="293" t="s">
        <v>867</v>
      </c>
      <c r="H14" s="293" t="s">
        <v>429</v>
      </c>
    </row>
    <row r="15" spans="1:8" s="293" customFormat="1" x14ac:dyDescent="0.25">
      <c r="F15" s="205" t="s">
        <v>870</v>
      </c>
      <c r="G15" s="293" t="s">
        <v>869</v>
      </c>
      <c r="H15" s="293" t="s">
        <v>484</v>
      </c>
    </row>
    <row r="16" spans="1:8" s="293" customFormat="1" x14ac:dyDescent="0.25">
      <c r="F16" s="205" t="s">
        <v>872</v>
      </c>
      <c r="G16" s="293" t="s">
        <v>871</v>
      </c>
      <c r="H16" s="293" t="s">
        <v>437</v>
      </c>
    </row>
    <row r="17" spans="2:8" s="293" customFormat="1" x14ac:dyDescent="0.25">
      <c r="F17" s="205" t="s">
        <v>874</v>
      </c>
      <c r="G17" s="293" t="s">
        <v>873</v>
      </c>
      <c r="H17" s="293" t="s">
        <v>429</v>
      </c>
    </row>
    <row r="18" spans="2:8" s="293" customFormat="1" x14ac:dyDescent="0.25">
      <c r="F18" s="205" t="s">
        <v>876</v>
      </c>
      <c r="G18" s="293" t="s">
        <v>875</v>
      </c>
      <c r="H18" s="293" t="s">
        <v>484</v>
      </c>
    </row>
    <row r="19" spans="2:8" s="293" customFormat="1" x14ac:dyDescent="0.25">
      <c r="F19" s="205" t="s">
        <v>878</v>
      </c>
      <c r="G19" s="293" t="s">
        <v>877</v>
      </c>
      <c r="H19" s="293" t="s">
        <v>437</v>
      </c>
    </row>
    <row r="20" spans="2:8" s="293" customFormat="1" x14ac:dyDescent="0.25">
      <c r="F20" s="205" t="s">
        <v>880</v>
      </c>
      <c r="G20" s="293" t="s">
        <v>879</v>
      </c>
      <c r="H20" s="293" t="s">
        <v>484</v>
      </c>
    </row>
    <row r="21" spans="2:8" s="293" customFormat="1" x14ac:dyDescent="0.25">
      <c r="F21" s="205" t="s">
        <v>882</v>
      </c>
      <c r="G21" s="293" t="s">
        <v>881</v>
      </c>
      <c r="H21" s="293" t="s">
        <v>437</v>
      </c>
    </row>
    <row r="22" spans="2:8" s="293" customFormat="1" x14ac:dyDescent="0.25">
      <c r="F22" s="205" t="s">
        <v>884</v>
      </c>
      <c r="G22" s="293" t="s">
        <v>883</v>
      </c>
      <c r="H22" s="293" t="s">
        <v>484</v>
      </c>
    </row>
    <row r="23" spans="2:8" s="293" customFormat="1" x14ac:dyDescent="0.25">
      <c r="F23" s="205" t="s">
        <v>886</v>
      </c>
      <c r="G23" s="293" t="s">
        <v>885</v>
      </c>
      <c r="H23" s="293" t="s">
        <v>437</v>
      </c>
    </row>
    <row r="24" spans="2:8" s="293" customFormat="1" x14ac:dyDescent="0.25">
      <c r="F24" s="205" t="s">
        <v>888</v>
      </c>
      <c r="G24" s="293" t="s">
        <v>887</v>
      </c>
      <c r="H24" s="293" t="s">
        <v>484</v>
      </c>
    </row>
    <row r="25" spans="2:8" s="293" customFormat="1" x14ac:dyDescent="0.25">
      <c r="F25" s="205" t="s">
        <v>890</v>
      </c>
      <c r="G25" s="293" t="s">
        <v>889</v>
      </c>
      <c r="H25" s="293" t="s">
        <v>437</v>
      </c>
    </row>
    <row r="26" spans="2:8" s="293" customFormat="1" x14ac:dyDescent="0.25">
      <c r="F26" s="205" t="s">
        <v>892</v>
      </c>
      <c r="G26" s="293" t="s">
        <v>891</v>
      </c>
      <c r="H26" s="293" t="s">
        <v>484</v>
      </c>
    </row>
    <row r="27" spans="2:8" s="293" customFormat="1" x14ac:dyDescent="0.25">
      <c r="F27" s="205" t="s">
        <v>894</v>
      </c>
      <c r="G27" s="293" t="s">
        <v>893</v>
      </c>
      <c r="H27" s="293" t="s">
        <v>437</v>
      </c>
    </row>
    <row r="28" spans="2:8" s="293" customFormat="1" x14ac:dyDescent="0.25">
      <c r="F28" s="205" t="s">
        <v>896</v>
      </c>
      <c r="G28" s="293" t="s">
        <v>895</v>
      </c>
      <c r="H28" s="293" t="s">
        <v>429</v>
      </c>
    </row>
    <row r="29" spans="2:8" s="293" customFormat="1" x14ac:dyDescent="0.25">
      <c r="F29" s="205" t="s">
        <v>898</v>
      </c>
      <c r="G29" s="293" t="s">
        <v>897</v>
      </c>
      <c r="H29" s="293" t="s">
        <v>429</v>
      </c>
    </row>
    <row r="30" spans="2:8" s="293" customFormat="1" x14ac:dyDescent="0.25">
      <c r="F30" s="205" t="s">
        <v>900</v>
      </c>
      <c r="G30" s="293" t="s">
        <v>899</v>
      </c>
      <c r="H30" s="293" t="s">
        <v>596</v>
      </c>
    </row>
    <row r="31" spans="2:8" s="293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00000000-0004-0000-0400-000001000000}"/>
    <hyperlink ref="F9" location="'Fixed inputs'!$H$154" display="check_decimals" xr:uid="{00000000-0004-0000-0400-000002000000}"/>
    <hyperlink ref="F10" location="'General inputs'!$H$93" display="days_in_year" xr:uid="{00000000-0004-0000-0400-000003000000}"/>
    <hyperlink ref="F11" location="Cover!$D$21" display="DNO_name" xr:uid="{00000000-0004-0000-0400-000004000000}"/>
    <hyperlink ref="F12" location="'Fixed inputs'!$H$15" display="hours_in_day" xr:uid="{00000000-0004-0000-0400-000005000000}"/>
    <hyperlink ref="F13" location="'General inputs'!$H$94" display="hours_in_year" xr:uid="{00000000-0004-0000-0400-000006000000}"/>
    <hyperlink ref="F14" location="'Fixed inputs'!$H$17" display="hundred" xr:uid="{00000000-0004-0000-0400-000007000000}"/>
    <hyperlink ref="F15" location="'Typical bills'!$J$18:$J$69" display="live_results_bills" xr:uid="{00000000-0004-0000-0400-000008000000}"/>
    <hyperlink ref="F16" location="'Tariff summary'!$J$18:$P$69" display="live_results_tariffs" xr:uid="{00000000-0004-0000-0400-000009000000}"/>
    <hyperlink ref="F17" location="'Fixed inputs'!$H$37" display="PowerFactor" xr:uid="{00000000-0004-0000-0400-00000A000000}"/>
    <hyperlink ref="F18" location="'Typical bills'!$L$18:$L$69" display="results_4_bills" xr:uid="{00000000-0004-0000-0400-00000B000000}"/>
    <hyperlink ref="F19" location="'Tariff summary'!$J$74:$P$125" display="results_4_tariffs" xr:uid="{00000000-0004-0000-0400-00000C000000}"/>
    <hyperlink ref="F20" location="'Typical bills'!$M$18:$M$69" display="results_5_bills" xr:uid="{00000000-0004-0000-0400-00000D000000}"/>
    <hyperlink ref="F21" location="'Tariff summary'!$J$130:$P$181" display="results_5_tariffs" xr:uid="{00000000-0004-0000-0400-00000E000000}"/>
    <hyperlink ref="F22" location="'Typical bills'!$N$18:$N$69" display="results_6_bills" xr:uid="{00000000-0004-0000-0400-00000F000000}"/>
    <hyperlink ref="F23" location="'Tariff summary'!$J$186:$P$237" display="results_6_tariffs" xr:uid="{00000000-0004-0000-0400-000010000000}"/>
    <hyperlink ref="F24" location="'Typical bills'!$O$18:$O$69" display="results_7_bills" xr:uid="{00000000-0004-0000-0400-000011000000}"/>
    <hyperlink ref="F25" location="'Tariff summary'!$J$242:$P$293" display="results_7_tariffs" xr:uid="{00000000-0004-0000-0400-000012000000}"/>
    <hyperlink ref="F26" location="'Typical bills'!$P$18:$P$69" display="results_8_bills" xr:uid="{00000000-0004-0000-0400-000013000000}"/>
    <hyperlink ref="F27" location="'Tariff summary'!$J$298:$P$349" display="results_8_tariffs" xr:uid="{00000000-0004-0000-0400-000014000000}"/>
    <hyperlink ref="F28" location="'Fixed inputs'!$H$16" display="ten" xr:uid="{00000000-0004-0000-0400-000015000000}"/>
    <hyperlink ref="F29" location="'Fixed inputs'!$H$18" display="thousand" xr:uid="{00000000-0004-0000-0400-000016000000}"/>
    <hyperlink ref="F30" location="'ARP_User control'!$G$36" display="year_selection" xr:uid="{00000000-0004-0000-0400-000017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style="85" customWidth="1"/>
    <col min="6" max="6" width="149.28515625" style="85" customWidth="1"/>
    <col min="7" max="7" width="2.7109375" style="85" customWidth="1"/>
    <col min="8" max="14" width="15.42578125" style="85" hidden="1" customWidth="1"/>
    <col min="15" max="15" width="2.710937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Manweb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747</v>
      </c>
      <c r="D7" s="123"/>
      <c r="E7" s="120"/>
      <c r="F7" s="120"/>
    </row>
    <row r="9" spans="1:6" x14ac:dyDescent="0.25">
      <c r="B9" s="51" t="s">
        <v>453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540" t="s">
        <v>1258</v>
      </c>
    </row>
    <row r="12" spans="1:6" x14ac:dyDescent="0.25">
      <c r="B12" s="122"/>
      <c r="C12" s="123"/>
      <c r="E12" s="122"/>
      <c r="F12" s="541"/>
    </row>
    <row r="13" spans="1:6" x14ac:dyDescent="0.25">
      <c r="B13" s="122"/>
      <c r="C13" s="123"/>
      <c r="E13" s="122"/>
      <c r="F13" s="541"/>
    </row>
    <row r="14" spans="1:6" x14ac:dyDescent="0.25">
      <c r="B14" s="122"/>
      <c r="C14" s="123"/>
      <c r="E14" s="122"/>
      <c r="F14" s="541"/>
    </row>
    <row r="15" spans="1:6" x14ac:dyDescent="0.25">
      <c r="B15" s="122"/>
      <c r="C15" s="123"/>
      <c r="E15" s="122"/>
      <c r="F15" s="541"/>
    </row>
    <row r="16" spans="1:6" x14ac:dyDescent="0.25">
      <c r="B16" s="122"/>
      <c r="C16" s="123"/>
      <c r="E16" s="122"/>
      <c r="F16" s="541"/>
    </row>
    <row r="17" spans="2:6" x14ac:dyDescent="0.25">
      <c r="B17" s="122"/>
      <c r="C17" s="123"/>
      <c r="E17" s="122"/>
      <c r="F17" s="541"/>
    </row>
    <row r="18" spans="2:6" x14ac:dyDescent="0.25">
      <c r="B18" s="122"/>
      <c r="C18" s="123"/>
      <c r="D18" s="120"/>
      <c r="E18" s="122"/>
      <c r="F18" s="542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5" activePane="bottomRight" state="frozen"/>
      <selection pane="topRight"/>
      <selection pane="bottomLeft"/>
      <selection pane="bottomRight" activeCell="I24" sqref="I2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28515625" style="85" customWidth="1"/>
    <col min="10" max="14" width="12.7109375" style="85" bestFit="1" customWidth="1"/>
    <col min="15" max="15" width="2.28515625" style="85" customWidth="1"/>
    <col min="16" max="267" width="20.710937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Manweb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14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2022/23</v>
      </c>
      <c r="K5" s="35" t="str">
        <v>2023/24</v>
      </c>
      <c r="L5" s="35" t="str">
        <v>2024/25</v>
      </c>
      <c r="M5" s="35" t="str">
        <v>2025/26</v>
      </c>
      <c r="N5" s="35" t="str">
        <v>2026/27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830</v>
      </c>
    </row>
    <row r="10" spans="1:14" s="293" customFormat="1" x14ac:dyDescent="0.25">
      <c r="C10" s="82" t="s">
        <v>831</v>
      </c>
    </row>
    <row r="11" spans="1:14" x14ac:dyDescent="0.25">
      <c r="D11" s="14"/>
    </row>
    <row r="12" spans="1:14" x14ac:dyDescent="0.25">
      <c r="B12" s="95" t="s">
        <v>454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455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456</v>
      </c>
    </row>
    <row r="17" spans="3:14" x14ac:dyDescent="0.25">
      <c r="F17" s="91" t="s">
        <v>84</v>
      </c>
      <c r="G17" s="129" t="s">
        <v>573</v>
      </c>
      <c r="H17" s="112"/>
      <c r="I17" s="112"/>
      <c r="J17" s="320" t="s">
        <v>1252</v>
      </c>
      <c r="K17" s="320" t="s">
        <v>1252</v>
      </c>
      <c r="L17" s="320" t="s">
        <v>1252</v>
      </c>
      <c r="M17" s="320" t="s">
        <v>1252</v>
      </c>
      <c r="N17" s="320" t="s">
        <v>1252</v>
      </c>
    </row>
    <row r="18" spans="3:14" ht="30" x14ac:dyDescent="0.25">
      <c r="F18" s="92" t="s">
        <v>85</v>
      </c>
      <c r="G18" s="130" t="s">
        <v>573</v>
      </c>
      <c r="H18" s="66"/>
      <c r="I18" s="66"/>
      <c r="J18" s="533" t="s">
        <v>1253</v>
      </c>
      <c r="K18" s="533" t="s">
        <v>1253</v>
      </c>
      <c r="L18" s="533" t="s">
        <v>1253</v>
      </c>
      <c r="M18" s="533" t="s">
        <v>1253</v>
      </c>
      <c r="N18" s="533" t="s">
        <v>1253</v>
      </c>
    </row>
    <row r="19" spans="3:14" ht="30" x14ac:dyDescent="0.25">
      <c r="F19" s="93" t="s">
        <v>86</v>
      </c>
      <c r="G19" s="131" t="s">
        <v>573</v>
      </c>
      <c r="H19" s="145"/>
      <c r="I19" s="145"/>
      <c r="J19" s="534" t="s">
        <v>1254</v>
      </c>
      <c r="K19" s="534" t="s">
        <v>1254</v>
      </c>
      <c r="L19" s="534" t="s">
        <v>1254</v>
      </c>
      <c r="M19" s="534" t="s">
        <v>1254</v>
      </c>
      <c r="N19" s="534" t="s">
        <v>1254</v>
      </c>
    </row>
    <row r="20" spans="3:14" x14ac:dyDescent="0.2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457</v>
      </c>
      <c r="H21" s="111"/>
      <c r="I21" s="111"/>
      <c r="J21" s="111"/>
      <c r="K21" s="111"/>
      <c r="L21" s="111"/>
      <c r="M21" s="111"/>
      <c r="N21" s="111"/>
    </row>
    <row r="22" spans="3:14" x14ac:dyDescent="0.25">
      <c r="F22" s="91" t="s">
        <v>84</v>
      </c>
      <c r="G22" s="129" t="s">
        <v>573</v>
      </c>
      <c r="H22" s="112"/>
      <c r="I22" s="112"/>
      <c r="J22" s="320"/>
      <c r="K22" s="320"/>
      <c r="L22" s="320"/>
      <c r="M22" s="320"/>
      <c r="N22" s="320"/>
    </row>
    <row r="23" spans="3:14" x14ac:dyDescent="0.25">
      <c r="F23" s="92" t="s">
        <v>85</v>
      </c>
      <c r="G23" s="130" t="s">
        <v>573</v>
      </c>
      <c r="H23" s="66"/>
      <c r="I23" s="66"/>
      <c r="J23" s="321" t="s">
        <v>1255</v>
      </c>
      <c r="K23" s="321" t="s">
        <v>1255</v>
      </c>
      <c r="L23" s="321" t="s">
        <v>1255</v>
      </c>
      <c r="M23" s="321" t="s">
        <v>1255</v>
      </c>
      <c r="N23" s="321" t="s">
        <v>1255</v>
      </c>
    </row>
    <row r="24" spans="3:14" ht="30" x14ac:dyDescent="0.25">
      <c r="F24" s="93" t="s">
        <v>86</v>
      </c>
      <c r="G24" s="131" t="s">
        <v>573</v>
      </c>
      <c r="H24" s="145"/>
      <c r="I24" s="145"/>
      <c r="J24" s="534" t="s">
        <v>1256</v>
      </c>
      <c r="K24" s="534" t="s">
        <v>1256</v>
      </c>
      <c r="L24" s="534" t="s">
        <v>1256</v>
      </c>
      <c r="M24" s="534" t="s">
        <v>1256</v>
      </c>
      <c r="N24" s="534" t="s">
        <v>1256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458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459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91" t="s">
        <v>87</v>
      </c>
      <c r="G29" s="129" t="s">
        <v>573</v>
      </c>
      <c r="H29" s="112"/>
      <c r="I29" s="112"/>
      <c r="J29" s="320" t="s">
        <v>1252</v>
      </c>
      <c r="K29" s="320" t="s">
        <v>1252</v>
      </c>
      <c r="L29" s="320" t="s">
        <v>1252</v>
      </c>
      <c r="M29" s="320" t="s">
        <v>1252</v>
      </c>
      <c r="N29" s="320" t="s">
        <v>1252</v>
      </c>
    </row>
    <row r="30" spans="3:14" ht="30" x14ac:dyDescent="0.25">
      <c r="F30" s="92" t="s">
        <v>88</v>
      </c>
      <c r="G30" s="130" t="s">
        <v>573</v>
      </c>
      <c r="H30" s="66"/>
      <c r="I30" s="66"/>
      <c r="J30" s="533" t="s">
        <v>1253</v>
      </c>
      <c r="K30" s="533" t="s">
        <v>1253</v>
      </c>
      <c r="L30" s="533" t="s">
        <v>1253</v>
      </c>
      <c r="M30" s="533" t="s">
        <v>1253</v>
      </c>
      <c r="N30" s="533" t="s">
        <v>1253</v>
      </c>
    </row>
    <row r="31" spans="3:14" ht="30" x14ac:dyDescent="0.25">
      <c r="F31" s="93" t="s">
        <v>86</v>
      </c>
      <c r="G31" s="131" t="s">
        <v>573</v>
      </c>
      <c r="H31" s="145"/>
      <c r="I31" s="145"/>
      <c r="J31" s="534" t="s">
        <v>1254</v>
      </c>
      <c r="K31" s="534" t="s">
        <v>1254</v>
      </c>
      <c r="L31" s="534" t="s">
        <v>1254</v>
      </c>
      <c r="M31" s="534" t="s">
        <v>1254</v>
      </c>
      <c r="N31" s="534" t="s">
        <v>1254</v>
      </c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460</v>
      </c>
      <c r="H33" s="111"/>
      <c r="I33" s="111"/>
      <c r="J33" s="111"/>
      <c r="K33" s="111"/>
      <c r="L33" s="111"/>
      <c r="M33" s="111"/>
      <c r="N33" s="111"/>
    </row>
    <row r="34" spans="2:14" x14ac:dyDescent="0.25">
      <c r="F34" s="91" t="s">
        <v>87</v>
      </c>
      <c r="G34" s="129" t="s">
        <v>573</v>
      </c>
      <c r="H34" s="112"/>
      <c r="I34" s="112"/>
      <c r="J34" s="320"/>
      <c r="K34" s="320"/>
      <c r="L34" s="320"/>
      <c r="M34" s="320"/>
      <c r="N34" s="320"/>
    </row>
    <row r="35" spans="2:14" x14ac:dyDescent="0.25">
      <c r="F35" s="92" t="s">
        <v>88</v>
      </c>
      <c r="G35" s="130" t="s">
        <v>573</v>
      </c>
      <c r="H35" s="66"/>
      <c r="I35" s="66"/>
      <c r="J35" s="321" t="s">
        <v>1257</v>
      </c>
      <c r="K35" s="321" t="s">
        <v>1257</v>
      </c>
      <c r="L35" s="321" t="s">
        <v>1257</v>
      </c>
      <c r="M35" s="321" t="s">
        <v>1257</v>
      </c>
      <c r="N35" s="321" t="s">
        <v>1257</v>
      </c>
    </row>
    <row r="36" spans="2:14" ht="30" x14ac:dyDescent="0.25">
      <c r="F36" s="93" t="s">
        <v>86</v>
      </c>
      <c r="G36" s="131" t="s">
        <v>573</v>
      </c>
      <c r="H36" s="145"/>
      <c r="I36" s="145"/>
      <c r="J36" s="534" t="s">
        <v>1254</v>
      </c>
      <c r="K36" s="534" t="s">
        <v>1254</v>
      </c>
      <c r="L36" s="534" t="s">
        <v>1254</v>
      </c>
      <c r="M36" s="534" t="s">
        <v>1254</v>
      </c>
      <c r="N36" s="534" t="s">
        <v>1254</v>
      </c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457</v>
      </c>
      <c r="H38" s="111"/>
      <c r="I38" s="111"/>
      <c r="J38" s="111"/>
      <c r="K38" s="111"/>
      <c r="L38" s="111"/>
      <c r="M38" s="111"/>
      <c r="N38" s="111"/>
    </row>
    <row r="39" spans="2:14" x14ac:dyDescent="0.25">
      <c r="F39" s="91" t="s">
        <v>87</v>
      </c>
      <c r="G39" s="129" t="s">
        <v>573</v>
      </c>
      <c r="H39" s="112"/>
      <c r="I39" s="112"/>
      <c r="J39" s="320"/>
      <c r="K39" s="320"/>
      <c r="L39" s="320"/>
      <c r="M39" s="320"/>
      <c r="N39" s="320"/>
    </row>
    <row r="40" spans="2:14" x14ac:dyDescent="0.25">
      <c r="F40" s="92" t="s">
        <v>88</v>
      </c>
      <c r="G40" s="130" t="s">
        <v>573</v>
      </c>
      <c r="H40" s="66"/>
      <c r="I40" s="66"/>
      <c r="J40" s="321" t="s">
        <v>1255</v>
      </c>
      <c r="K40" s="321" t="s">
        <v>1255</v>
      </c>
      <c r="L40" s="321" t="s">
        <v>1255</v>
      </c>
      <c r="M40" s="321" t="s">
        <v>1255</v>
      </c>
      <c r="N40" s="321" t="s">
        <v>1255</v>
      </c>
    </row>
    <row r="41" spans="2:14" ht="30" x14ac:dyDescent="0.25">
      <c r="F41" s="93" t="s">
        <v>86</v>
      </c>
      <c r="G41" s="131" t="s">
        <v>573</v>
      </c>
      <c r="H41" s="145"/>
      <c r="I41" s="145"/>
      <c r="J41" s="534" t="s">
        <v>1256</v>
      </c>
      <c r="K41" s="534" t="s">
        <v>1256</v>
      </c>
      <c r="L41" s="534" t="s">
        <v>1256</v>
      </c>
      <c r="M41" s="534" t="s">
        <v>1256</v>
      </c>
      <c r="N41" s="534" t="s">
        <v>1256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5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29" sqref="J29:Q31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25" width="17" style="85" customWidth="1"/>
    <col min="26" max="26" width="2.28515625" style="85" customWidth="1"/>
    <col min="27" max="302" width="20.710937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Manweb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v7 - 2022/23</v>
      </c>
      <c r="G3" s="296"/>
    </row>
    <row r="5" spans="1:26" ht="60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748</v>
      </c>
      <c r="Z9" s="195"/>
    </row>
    <row r="10" spans="1:26" x14ac:dyDescent="0.25">
      <c r="C10" s="82" t="s">
        <v>461</v>
      </c>
      <c r="Z10" s="195"/>
    </row>
    <row r="11" spans="1:26" x14ac:dyDescent="0.25">
      <c r="C11" s="82" t="s">
        <v>462</v>
      </c>
      <c r="Z11" s="195"/>
    </row>
    <row r="12" spans="1:26" x14ac:dyDescent="0.25">
      <c r="D12" s="14"/>
      <c r="Z12" s="195"/>
    </row>
    <row r="13" spans="1:26" x14ac:dyDescent="0.2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463</v>
      </c>
      <c r="Z15" s="195"/>
    </row>
    <row r="16" spans="1:26" x14ac:dyDescent="0.25">
      <c r="F16" s="91" t="s">
        <v>495</v>
      </c>
      <c r="G16" s="129" t="s">
        <v>483</v>
      </c>
      <c r="H16" s="199" t="str">
        <f>LEFT(H17,4) - 1 &amp; "/" &amp; RIGHT(H17,2) - 1</f>
        <v>2017/18</v>
      </c>
      <c r="Z16" s="195"/>
    </row>
    <row r="17" spans="2:26" x14ac:dyDescent="0.25">
      <c r="F17" s="196" t="s">
        <v>496</v>
      </c>
      <c r="G17" s="130" t="s">
        <v>483</v>
      </c>
      <c r="H17" s="84" t="str">
        <f>LEFT(H18,4) - 1 &amp; "/" &amp; RIGHT(H18,2) - 1</f>
        <v>2018/19</v>
      </c>
      <c r="Z17" s="195"/>
    </row>
    <row r="18" spans="2:26" x14ac:dyDescent="0.25">
      <c r="F18" s="93" t="s">
        <v>497</v>
      </c>
      <c r="G18" s="131" t="s">
        <v>483</v>
      </c>
      <c r="H18" s="198" t="str">
        <f>'ARP_User control'!$G$28</f>
        <v>2019/20</v>
      </c>
      <c r="Z18" s="195"/>
    </row>
    <row r="19" spans="2:26" x14ac:dyDescent="0.25">
      <c r="Z19" s="195"/>
    </row>
    <row r="20" spans="2:26" x14ac:dyDescent="0.2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2017/18</v>
      </c>
      <c r="G23" s="129" t="s">
        <v>94</v>
      </c>
      <c r="H23" s="112"/>
      <c r="I23" s="112"/>
      <c r="J23" s="322">
        <v>0.46899999999999997</v>
      </c>
      <c r="K23" s="322">
        <v>0.122</v>
      </c>
      <c r="L23" s="322">
        <v>0.41799999999999998</v>
      </c>
      <c r="M23" s="322">
        <v>0.156</v>
      </c>
      <c r="N23" s="322">
        <v>0.56100000000000005</v>
      </c>
      <c r="O23" s="322">
        <v>0.55500000000000005</v>
      </c>
      <c r="P23" s="322">
        <v>0.74399999999999999</v>
      </c>
      <c r="Q23" s="322">
        <v>0.47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2018/19</v>
      </c>
      <c r="G24" s="130" t="s">
        <v>94</v>
      </c>
      <c r="H24" s="66"/>
      <c r="I24" s="66"/>
      <c r="J24" s="323">
        <v>0.45100000000000001</v>
      </c>
      <c r="K24" s="323">
        <v>0.13200000000000001</v>
      </c>
      <c r="L24" s="323">
        <v>0.432</v>
      </c>
      <c r="M24" s="323">
        <v>0.17299999999999999</v>
      </c>
      <c r="N24" s="323">
        <v>0.59199999999999997</v>
      </c>
      <c r="O24" s="323">
        <v>0.57999999999999996</v>
      </c>
      <c r="P24" s="323">
        <v>0.747</v>
      </c>
      <c r="Q24" s="323">
        <v>0.45900000000000002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2019/20</v>
      </c>
      <c r="G25" s="131" t="s">
        <v>94</v>
      </c>
      <c r="H25" s="145"/>
      <c r="I25" s="145"/>
      <c r="J25" s="324">
        <v>0.442</v>
      </c>
      <c r="K25" s="324">
        <v>0.14399999999999999</v>
      </c>
      <c r="L25" s="324">
        <v>0.45700000000000002</v>
      </c>
      <c r="M25" s="324">
        <v>0.19900000000000001</v>
      </c>
      <c r="N25" s="324">
        <v>0.59099999999999997</v>
      </c>
      <c r="O25" s="324">
        <v>0.57099999999999995</v>
      </c>
      <c r="P25" s="324">
        <v>0.73199999999999998</v>
      </c>
      <c r="Q25" s="324">
        <v>0.40899999999999997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464</v>
      </c>
      <c r="G26" s="169" t="s">
        <v>94</v>
      </c>
      <c r="H26" s="305"/>
      <c r="I26" s="305"/>
      <c r="J26" s="306">
        <f>AVERAGE(J23:J25)</f>
        <v>0.45399999999999996</v>
      </c>
      <c r="K26" s="306">
        <f t="shared" ref="K26:Q26" si="0">AVERAGE(K23:K25)</f>
        <v>0.13266666666666668</v>
      </c>
      <c r="L26" s="306">
        <f t="shared" si="0"/>
        <v>0.43566666666666665</v>
      </c>
      <c r="M26" s="306">
        <f t="shared" si="0"/>
        <v>0.17600000000000002</v>
      </c>
      <c r="N26" s="306">
        <f t="shared" si="0"/>
        <v>0.58133333333333337</v>
      </c>
      <c r="O26" s="306">
        <f t="shared" si="0"/>
        <v>0.56866666666666665</v>
      </c>
      <c r="P26" s="306">
        <f t="shared" si="0"/>
        <v>0.74099999999999999</v>
      </c>
      <c r="Q26" s="306">
        <f t="shared" si="0"/>
        <v>0.44600000000000001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2017/18</v>
      </c>
      <c r="G29" s="129" t="s">
        <v>94</v>
      </c>
      <c r="H29" s="112"/>
      <c r="I29" s="112"/>
      <c r="J29" s="322">
        <v>0.92300000000000004</v>
      </c>
      <c r="K29" s="170"/>
      <c r="L29" s="322">
        <v>0.69299999999999995</v>
      </c>
      <c r="M29" s="170"/>
      <c r="N29" s="322">
        <v>0.78500000000000003</v>
      </c>
      <c r="O29" s="322">
        <v>0.71599999999999997</v>
      </c>
      <c r="P29" s="322">
        <v>0.83799999999999997</v>
      </c>
      <c r="Q29" s="322">
        <v>0.88700000000000001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2018/19</v>
      </c>
      <c r="G30" s="130" t="s">
        <v>94</v>
      </c>
      <c r="H30" s="66"/>
      <c r="I30" s="66"/>
      <c r="J30" s="323">
        <v>0.85399999999999998</v>
      </c>
      <c r="K30" s="159"/>
      <c r="L30" s="323">
        <v>0.71</v>
      </c>
      <c r="M30" s="159"/>
      <c r="N30" s="323">
        <v>0.85899999999999999</v>
      </c>
      <c r="O30" s="323">
        <v>0.78800000000000003</v>
      </c>
      <c r="P30" s="323">
        <v>0.83799999999999997</v>
      </c>
      <c r="Q30" s="323">
        <v>0.78400000000000003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2019/20</v>
      </c>
      <c r="G31" s="130" t="s">
        <v>94</v>
      </c>
      <c r="H31" s="66"/>
      <c r="I31" s="66"/>
      <c r="J31" s="323">
        <v>0.80300000000000005</v>
      </c>
      <c r="K31" s="159"/>
      <c r="L31" s="323">
        <v>0.69099999999999995</v>
      </c>
      <c r="M31" s="159"/>
      <c r="N31" s="323">
        <v>0.79900000000000004</v>
      </c>
      <c r="O31" s="323">
        <v>0.753</v>
      </c>
      <c r="P31" s="323">
        <v>0.82199999999999995</v>
      </c>
      <c r="Q31" s="323">
        <v>0.83499999999999996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464</v>
      </c>
      <c r="G32" s="169" t="s">
        <v>94</v>
      </c>
      <c r="H32" s="305"/>
      <c r="I32" s="305"/>
      <c r="J32" s="306">
        <f>AVERAGE(J29:J31)</f>
        <v>0.86</v>
      </c>
      <c r="K32" s="307"/>
      <c r="L32" s="306">
        <f t="shared" ref="L32:O32" si="1">AVERAGE(L29:L31)</f>
        <v>0.69799999999999995</v>
      </c>
      <c r="M32" s="307"/>
      <c r="N32" s="306">
        <f t="shared" si="1"/>
        <v>0.81433333333333335</v>
      </c>
      <c r="O32" s="306">
        <f t="shared" si="1"/>
        <v>0.75233333333333341</v>
      </c>
      <c r="P32" s="306">
        <f t="shared" ref="P32:Q32" si="2">AVERAGE(P29:P31)</f>
        <v>0.83266666666666656</v>
      </c>
      <c r="Q32" s="306">
        <f t="shared" si="2"/>
        <v>0.83533333333333337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6" spans="2:26" x14ac:dyDescent="0.25">
      <c r="K36" s="293"/>
      <c r="L36" s="293"/>
      <c r="M36" s="293"/>
      <c r="N36" s="293"/>
      <c r="O36" s="293"/>
      <c r="P36" s="293"/>
      <c r="Q36" s="293"/>
    </row>
    <row r="37" spans="2:26" x14ac:dyDescent="0.25">
      <c r="J37" s="293"/>
      <c r="K37" s="293"/>
      <c r="L37" s="293"/>
      <c r="M37" s="293"/>
      <c r="N37" s="293"/>
      <c r="O37" s="293"/>
      <c r="P37" s="293"/>
      <c r="Q37" s="293"/>
    </row>
    <row r="38" spans="2:26" x14ac:dyDescent="0.25">
      <c r="J38" s="293"/>
    </row>
    <row r="39" spans="2:26" x14ac:dyDescent="0.25">
      <c r="J39" s="293"/>
    </row>
    <row r="40" spans="2:26" x14ac:dyDescent="0.25">
      <c r="J40" s="293"/>
    </row>
    <row r="41" spans="2:26" x14ac:dyDescent="0.25">
      <c r="J41" s="293"/>
    </row>
    <row r="42" spans="2:26" x14ac:dyDescent="0.25">
      <c r="J42" s="293"/>
      <c r="K42" s="293"/>
      <c r="L42" s="293"/>
      <c r="M42" s="293"/>
      <c r="N42" s="293"/>
      <c r="O42" s="293"/>
      <c r="P42" s="293"/>
      <c r="Q42" s="293"/>
    </row>
    <row r="43" spans="2:26" x14ac:dyDescent="0.25">
      <c r="J43" s="293"/>
      <c r="K43" s="293"/>
      <c r="L43" s="293"/>
      <c r="M43" s="293"/>
      <c r="N43" s="293"/>
      <c r="O43" s="293"/>
      <c r="P43" s="293"/>
      <c r="Q43" s="293"/>
    </row>
    <row r="44" spans="2:26" x14ac:dyDescent="0.25">
      <c r="J44" s="293"/>
      <c r="K44" s="293"/>
      <c r="L44" s="293"/>
      <c r="M44" s="293"/>
      <c r="N44" s="293"/>
      <c r="O44" s="293"/>
      <c r="P44" s="293"/>
      <c r="Q44" s="293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9" activePane="bottomRight" state="frozen"/>
      <selection pane="topRight"/>
      <selection pane="bottomLeft"/>
      <selection pane="bottomRight" activeCell="K42" sqref="K42:S4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19" width="17" style="85" customWidth="1"/>
    <col min="20" max="20" width="2.28515625" style="85" customWidth="1"/>
    <col min="21" max="301" width="20.710937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Manweb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v7 - 2022/23</v>
      </c>
      <c r="G3" s="296"/>
    </row>
    <row r="5" spans="1:19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832</v>
      </c>
    </row>
    <row r="10" spans="1:19" s="293" customFormat="1" x14ac:dyDescent="0.25">
      <c r="C10" s="82" t="s">
        <v>833</v>
      </c>
      <c r="G10" s="108"/>
    </row>
    <row r="11" spans="1:19" x14ac:dyDescent="0.25">
      <c r="C11" s="82" t="s">
        <v>465</v>
      </c>
    </row>
    <row r="12" spans="1:19" x14ac:dyDescent="0.25">
      <c r="C12" s="82" t="s">
        <v>462</v>
      </c>
    </row>
    <row r="13" spans="1:19" x14ac:dyDescent="0.25">
      <c r="D13" s="14"/>
    </row>
    <row r="14" spans="1:19" x14ac:dyDescent="0.2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463</v>
      </c>
    </row>
    <row r="17" spans="2:19" x14ac:dyDescent="0.25">
      <c r="F17" s="91" t="s">
        <v>495</v>
      </c>
      <c r="G17" s="129" t="s">
        <v>483</v>
      </c>
      <c r="H17" s="199" t="str">
        <f>LEFT(H18,4) - 1 &amp; "/" &amp; RIGHT(H18,2) - 1</f>
        <v>2017/18</v>
      </c>
    </row>
    <row r="18" spans="2:19" x14ac:dyDescent="0.25">
      <c r="F18" s="196" t="s">
        <v>496</v>
      </c>
      <c r="G18" s="130" t="s">
        <v>483</v>
      </c>
      <c r="H18" s="84" t="str">
        <f>LEFT(H19,4) - 1 &amp; "/" &amp; RIGHT(H19,2) - 1</f>
        <v>2018/19</v>
      </c>
    </row>
    <row r="19" spans="2:19" x14ac:dyDescent="0.25">
      <c r="F19" s="93" t="s">
        <v>497</v>
      </c>
      <c r="G19" s="131" t="s">
        <v>483</v>
      </c>
      <c r="H19" s="198" t="str">
        <f>'ARP_User control'!$G$28</f>
        <v>2019/20</v>
      </c>
    </row>
    <row r="21" spans="2:19" x14ac:dyDescent="0.25">
      <c r="B21" s="95" t="s">
        <v>498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499</v>
      </c>
    </row>
    <row r="24" spans="2:19" x14ac:dyDescent="0.25">
      <c r="E24" s="92"/>
      <c r="F24" s="91" t="str">
        <f>$H$17</f>
        <v>2017/18</v>
      </c>
      <c r="G24" s="129" t="s">
        <v>94</v>
      </c>
      <c r="H24" s="112"/>
      <c r="I24" s="112"/>
      <c r="J24" s="132"/>
      <c r="K24" s="322">
        <v>0.81972028061697999</v>
      </c>
      <c r="L24" s="322">
        <v>0.81972028061697999</v>
      </c>
      <c r="M24" s="322">
        <v>0.52373221773787038</v>
      </c>
      <c r="N24" s="322">
        <v>0.52373221773787038</v>
      </c>
      <c r="O24" s="322">
        <v>0.46872765315734238</v>
      </c>
      <c r="P24" s="322">
        <v>0.46872765315734238</v>
      </c>
      <c r="Q24" s="322">
        <v>0.46872765315734238</v>
      </c>
      <c r="R24" s="322">
        <v>0.46872765315734238</v>
      </c>
      <c r="S24" s="322">
        <v>0.46872765315734238</v>
      </c>
    </row>
    <row r="25" spans="2:19" x14ac:dyDescent="0.25">
      <c r="E25" s="92"/>
      <c r="F25" s="196" t="str">
        <f>$H$18</f>
        <v>2018/19</v>
      </c>
      <c r="G25" s="130" t="s">
        <v>94</v>
      </c>
      <c r="H25" s="66"/>
      <c r="I25" s="66"/>
      <c r="J25" s="37"/>
      <c r="K25" s="323">
        <v>0.58722001054132578</v>
      </c>
      <c r="L25" s="323">
        <v>0.58722001054132578</v>
      </c>
      <c r="M25" s="323">
        <v>0.49930797130049565</v>
      </c>
      <c r="N25" s="323">
        <v>0.49930797130049565</v>
      </c>
      <c r="O25" s="323">
        <v>0.42550407304798138</v>
      </c>
      <c r="P25" s="323">
        <v>0.42550407304798138</v>
      </c>
      <c r="Q25" s="323">
        <v>0.42550407304798138</v>
      </c>
      <c r="R25" s="323">
        <v>0.42550407304798138</v>
      </c>
      <c r="S25" s="323">
        <v>0.42550407304798138</v>
      </c>
    </row>
    <row r="26" spans="2:19" x14ac:dyDescent="0.25">
      <c r="E26" s="92"/>
      <c r="F26" s="93" t="str">
        <f>$H$19</f>
        <v>2019/20</v>
      </c>
      <c r="G26" s="131" t="s">
        <v>94</v>
      </c>
      <c r="H26" s="145"/>
      <c r="I26" s="145"/>
      <c r="J26" s="38"/>
      <c r="K26" s="324">
        <v>0.67211573978584616</v>
      </c>
      <c r="L26" s="324">
        <v>0.67211573978584616</v>
      </c>
      <c r="M26" s="324">
        <v>0.38504838034431677</v>
      </c>
      <c r="N26" s="324">
        <v>0.38504838034431677</v>
      </c>
      <c r="O26" s="324">
        <v>0.29342847217594997</v>
      </c>
      <c r="P26" s="324">
        <v>0.29342847217594997</v>
      </c>
      <c r="Q26" s="324">
        <v>0.29342847217594997</v>
      </c>
      <c r="R26" s="324">
        <v>0.29342847217594997</v>
      </c>
      <c r="S26" s="324">
        <v>0.29342847217594997</v>
      </c>
    </row>
    <row r="27" spans="2:19" x14ac:dyDescent="0.25">
      <c r="E27" s="92"/>
      <c r="F27" s="93" t="s">
        <v>464</v>
      </c>
      <c r="G27" s="131" t="s">
        <v>94</v>
      </c>
      <c r="H27" s="145"/>
      <c r="I27" s="145"/>
      <c r="J27" s="38"/>
      <c r="K27" s="308">
        <f t="shared" ref="K27:S27" si="0">AVERAGE(K24:K26)</f>
        <v>0.69301867698138386</v>
      </c>
      <c r="L27" s="308">
        <f t="shared" si="0"/>
        <v>0.69301867698138386</v>
      </c>
      <c r="M27" s="308">
        <f t="shared" si="0"/>
        <v>0.46936285646089426</v>
      </c>
      <c r="N27" s="308">
        <f t="shared" si="0"/>
        <v>0.46936285646089426</v>
      </c>
      <c r="O27" s="308">
        <f t="shared" si="0"/>
        <v>0.39588673279375791</v>
      </c>
      <c r="P27" s="308">
        <f t="shared" si="0"/>
        <v>0.39588673279375791</v>
      </c>
      <c r="Q27" s="308">
        <f t="shared" si="0"/>
        <v>0.39588673279375791</v>
      </c>
      <c r="R27" s="308">
        <f t="shared" si="0"/>
        <v>0.39588673279375791</v>
      </c>
      <c r="S27" s="308">
        <f t="shared" si="0"/>
        <v>0.39588673279375791</v>
      </c>
    </row>
    <row r="29" spans="2:19" x14ac:dyDescent="0.25">
      <c r="E29" s="96" t="s">
        <v>500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2017/18</v>
      </c>
      <c r="G30" s="129" t="s">
        <v>94</v>
      </c>
      <c r="H30" s="112"/>
      <c r="I30" s="112"/>
      <c r="J30" s="132"/>
      <c r="K30" s="322">
        <v>0.1267927646662878</v>
      </c>
      <c r="L30" s="322">
        <v>0.1267927646662878</v>
      </c>
      <c r="M30" s="322">
        <v>0.38902526360814194</v>
      </c>
      <c r="N30" s="322">
        <v>0.38902526360814194</v>
      </c>
      <c r="O30" s="322">
        <v>0.48644915386518622</v>
      </c>
      <c r="P30" s="322">
        <v>0.48644915386518622</v>
      </c>
      <c r="Q30" s="322">
        <v>0.48644915386518622</v>
      </c>
      <c r="R30" s="322">
        <v>0.48644915386518622</v>
      </c>
      <c r="S30" s="322">
        <v>0.48644915386518622</v>
      </c>
    </row>
    <row r="31" spans="2:19" x14ac:dyDescent="0.25">
      <c r="E31" s="92"/>
      <c r="F31" s="196" t="str">
        <f>$H$18</f>
        <v>2018/19</v>
      </c>
      <c r="G31" s="130" t="s">
        <v>94</v>
      </c>
      <c r="H31" s="66"/>
      <c r="I31" s="66"/>
      <c r="J31" s="37"/>
      <c r="K31" s="323">
        <v>0.35048221269368213</v>
      </c>
      <c r="L31" s="323">
        <v>0.35048221269368213</v>
      </c>
      <c r="M31" s="323">
        <v>0.38204540525593028</v>
      </c>
      <c r="N31" s="323">
        <v>0.38204540525593028</v>
      </c>
      <c r="O31" s="323">
        <v>0.52551405419759734</v>
      </c>
      <c r="P31" s="323">
        <v>0.52551405419759734</v>
      </c>
      <c r="Q31" s="323">
        <v>0.52551405419759734</v>
      </c>
      <c r="R31" s="323">
        <v>0.52551405419759734</v>
      </c>
      <c r="S31" s="323">
        <v>0.52551405419759734</v>
      </c>
    </row>
    <row r="32" spans="2:19" x14ac:dyDescent="0.25">
      <c r="E32" s="92"/>
      <c r="F32" s="93" t="str">
        <f>$H$19</f>
        <v>2019/20</v>
      </c>
      <c r="G32" s="131" t="s">
        <v>94</v>
      </c>
      <c r="H32" s="145"/>
      <c r="I32" s="145"/>
      <c r="J32" s="38"/>
      <c r="K32" s="324">
        <v>0.32788426021415396</v>
      </c>
      <c r="L32" s="324">
        <v>0.32788426021415396</v>
      </c>
      <c r="M32" s="324">
        <v>0.54914593643520404</v>
      </c>
      <c r="N32" s="324">
        <v>0.54914593643520404</v>
      </c>
      <c r="O32" s="324">
        <v>0.61118407933452001</v>
      </c>
      <c r="P32" s="324">
        <v>0.61118407933452001</v>
      </c>
      <c r="Q32" s="324">
        <v>0.61118407933452001</v>
      </c>
      <c r="R32" s="324">
        <v>0.61118407933452001</v>
      </c>
      <c r="S32" s="324">
        <v>0.61118407933452001</v>
      </c>
    </row>
    <row r="33" spans="2:19" x14ac:dyDescent="0.25">
      <c r="E33" s="92"/>
      <c r="F33" s="93" t="s">
        <v>464</v>
      </c>
      <c r="G33" s="131" t="s">
        <v>94</v>
      </c>
      <c r="H33" s="145"/>
      <c r="I33" s="145"/>
      <c r="J33" s="38"/>
      <c r="K33" s="308">
        <f t="shared" ref="K33:S33" si="1">AVERAGE(K30:K32)</f>
        <v>0.26838641252470796</v>
      </c>
      <c r="L33" s="308">
        <f t="shared" si="1"/>
        <v>0.26838641252470796</v>
      </c>
      <c r="M33" s="308">
        <f t="shared" si="1"/>
        <v>0.44007220176642542</v>
      </c>
      <c r="N33" s="308">
        <f t="shared" si="1"/>
        <v>0.44007220176642542</v>
      </c>
      <c r="O33" s="308">
        <f t="shared" si="1"/>
        <v>0.54104909579910121</v>
      </c>
      <c r="P33" s="308">
        <f t="shared" si="1"/>
        <v>0.54104909579910121</v>
      </c>
      <c r="Q33" s="308">
        <f t="shared" si="1"/>
        <v>0.54104909579910121</v>
      </c>
      <c r="R33" s="308">
        <f t="shared" si="1"/>
        <v>0.54104909579910121</v>
      </c>
      <c r="S33" s="308">
        <f t="shared" si="1"/>
        <v>0.54104909579910121</v>
      </c>
    </row>
    <row r="35" spans="2:19" x14ac:dyDescent="0.25">
      <c r="E35" s="96" t="s">
        <v>501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2017/18</v>
      </c>
      <c r="G36" s="129" t="s">
        <v>94</v>
      </c>
      <c r="H36" s="112"/>
      <c r="I36" s="112"/>
      <c r="J36" s="132"/>
      <c r="K36" s="322">
        <v>5.3486954716732274E-2</v>
      </c>
      <c r="L36" s="322">
        <v>5.3486954716732274E-2</v>
      </c>
      <c r="M36" s="322">
        <v>8.7242518653988022E-2</v>
      </c>
      <c r="N36" s="322">
        <v>8.7242518653988022E-2</v>
      </c>
      <c r="O36" s="322">
        <v>4.4823192977471865E-2</v>
      </c>
      <c r="P36" s="322">
        <v>4.4823192977471865E-2</v>
      </c>
      <c r="Q36" s="322">
        <v>4.4823192977471865E-2</v>
      </c>
      <c r="R36" s="322">
        <v>4.4823192977471865E-2</v>
      </c>
      <c r="S36" s="322">
        <v>4.4823192977471865E-2</v>
      </c>
    </row>
    <row r="37" spans="2:19" x14ac:dyDescent="0.25">
      <c r="E37" s="92"/>
      <c r="F37" s="196" t="str">
        <f>$H$18</f>
        <v>2018/19</v>
      </c>
      <c r="G37" s="130" t="s">
        <v>94</v>
      </c>
      <c r="H37" s="66"/>
      <c r="I37" s="66"/>
      <c r="J37" s="37"/>
      <c r="K37" s="323">
        <v>6.2297776764992131E-2</v>
      </c>
      <c r="L37" s="323">
        <v>6.2297776764992131E-2</v>
      </c>
      <c r="M37" s="323">
        <v>0.11864662344357424</v>
      </c>
      <c r="N37" s="323">
        <v>0.11864662344357424</v>
      </c>
      <c r="O37" s="323">
        <v>4.8981872754422055E-2</v>
      </c>
      <c r="P37" s="323">
        <v>4.8981872754422055E-2</v>
      </c>
      <c r="Q37" s="323">
        <v>4.8981872754422055E-2</v>
      </c>
      <c r="R37" s="323">
        <v>4.8981872754422055E-2</v>
      </c>
      <c r="S37" s="323">
        <v>4.8981872754422055E-2</v>
      </c>
    </row>
    <row r="38" spans="2:19" x14ac:dyDescent="0.25">
      <c r="E38" s="92"/>
      <c r="F38" s="93" t="str">
        <f>$H$19</f>
        <v>2019/20</v>
      </c>
      <c r="G38" s="131" t="s">
        <v>94</v>
      </c>
      <c r="H38" s="145"/>
      <c r="I38" s="145"/>
      <c r="J38" s="38"/>
      <c r="K38" s="324">
        <v>0</v>
      </c>
      <c r="L38" s="324">
        <v>0</v>
      </c>
      <c r="M38" s="324">
        <v>6.5805683220479458E-2</v>
      </c>
      <c r="N38" s="324">
        <v>6.5805683220479458E-2</v>
      </c>
      <c r="O38" s="324">
        <v>9.5387448489528473E-2</v>
      </c>
      <c r="P38" s="324">
        <v>9.5387448489528473E-2</v>
      </c>
      <c r="Q38" s="324">
        <v>9.5387448489528473E-2</v>
      </c>
      <c r="R38" s="324">
        <v>9.5387448489528473E-2</v>
      </c>
      <c r="S38" s="324">
        <v>9.5387448489528473E-2</v>
      </c>
    </row>
    <row r="39" spans="2:19" x14ac:dyDescent="0.25">
      <c r="F39" s="93" t="s">
        <v>464</v>
      </c>
      <c r="G39" s="131" t="s">
        <v>94</v>
      </c>
      <c r="H39" s="145"/>
      <c r="I39" s="145"/>
      <c r="J39" s="38"/>
      <c r="K39" s="308">
        <f t="shared" ref="K39:S39" si="2">AVERAGE(K36:K38)</f>
        <v>3.859491049390814E-2</v>
      </c>
      <c r="L39" s="308">
        <f t="shared" si="2"/>
        <v>3.859491049390814E-2</v>
      </c>
      <c r="M39" s="308">
        <f t="shared" si="2"/>
        <v>9.0564941772680582E-2</v>
      </c>
      <c r="N39" s="308">
        <f t="shared" si="2"/>
        <v>9.0564941772680582E-2</v>
      </c>
      <c r="O39" s="308">
        <f t="shared" si="2"/>
        <v>6.3064171407140809E-2</v>
      </c>
      <c r="P39" s="308">
        <f t="shared" si="2"/>
        <v>6.3064171407140809E-2</v>
      </c>
      <c r="Q39" s="308">
        <f t="shared" si="2"/>
        <v>6.3064171407140809E-2</v>
      </c>
      <c r="R39" s="308">
        <f t="shared" si="2"/>
        <v>6.3064171407140809E-2</v>
      </c>
      <c r="S39" s="308">
        <f t="shared" si="2"/>
        <v>6.3064171407140809E-2</v>
      </c>
    </row>
    <row r="41" spans="2:19" x14ac:dyDescent="0.25">
      <c r="E41" s="96" t="s">
        <v>502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2017/18</v>
      </c>
      <c r="G42" s="129" t="s">
        <v>94</v>
      </c>
      <c r="H42" s="112"/>
      <c r="I42" s="112"/>
      <c r="J42" s="132"/>
      <c r="K42" s="322">
        <v>0.33688640969576167</v>
      </c>
      <c r="L42" s="322">
        <v>0.33688640969576167</v>
      </c>
      <c r="M42" s="322">
        <v>0.2682280745331147</v>
      </c>
      <c r="N42" s="322">
        <v>0.2682280745331147</v>
      </c>
      <c r="O42" s="322">
        <v>0.1862505707620882</v>
      </c>
      <c r="P42" s="322">
        <v>0.1862505707620882</v>
      </c>
      <c r="Q42" s="322">
        <v>0.1862505707620882</v>
      </c>
      <c r="R42" s="322">
        <v>0.1862505707620882</v>
      </c>
      <c r="S42" s="322">
        <v>0.1862505707620882</v>
      </c>
    </row>
    <row r="43" spans="2:19" x14ac:dyDescent="0.25">
      <c r="E43" s="92"/>
      <c r="F43" s="196" t="str">
        <f>$H$18</f>
        <v>2018/19</v>
      </c>
      <c r="G43" s="130" t="s">
        <v>94</v>
      </c>
      <c r="H43" s="66"/>
      <c r="I43" s="66"/>
      <c r="J43" s="37"/>
      <c r="K43" s="323">
        <v>0.45184784296052738</v>
      </c>
      <c r="L43" s="323">
        <v>0.45184784296052738</v>
      </c>
      <c r="M43" s="323">
        <v>0.19826250582777502</v>
      </c>
      <c r="N43" s="323">
        <v>0.19826250582777502</v>
      </c>
      <c r="O43" s="323">
        <v>0.33110804517285913</v>
      </c>
      <c r="P43" s="323">
        <v>0.33110804517285913</v>
      </c>
      <c r="Q43" s="323">
        <v>0.33110804517285913</v>
      </c>
      <c r="R43" s="323">
        <v>0.33110804517285913</v>
      </c>
      <c r="S43" s="323">
        <v>0.33110804517285913</v>
      </c>
    </row>
    <row r="44" spans="2:19" x14ac:dyDescent="0.25">
      <c r="E44" s="92"/>
      <c r="F44" s="93" t="str">
        <f>$H$19</f>
        <v>2019/20</v>
      </c>
      <c r="G44" s="131" t="s">
        <v>94</v>
      </c>
      <c r="H44" s="145"/>
      <c r="I44" s="145"/>
      <c r="J44" s="38"/>
      <c r="K44" s="324">
        <v>0.48410176403956401</v>
      </c>
      <c r="L44" s="324">
        <v>0.48410176403956401</v>
      </c>
      <c r="M44" s="324">
        <v>0.19156559967234887</v>
      </c>
      <c r="N44" s="324">
        <v>0.19156559967234887</v>
      </c>
      <c r="O44" s="324">
        <v>0.19943114609748461</v>
      </c>
      <c r="P44" s="324">
        <v>0.19943114609748461</v>
      </c>
      <c r="Q44" s="324">
        <v>0.19943114609748461</v>
      </c>
      <c r="R44" s="324">
        <v>0.19943114609748461</v>
      </c>
      <c r="S44" s="324">
        <v>0.19943114609748461</v>
      </c>
    </row>
    <row r="45" spans="2:19" x14ac:dyDescent="0.25">
      <c r="F45" s="93" t="s">
        <v>464</v>
      </c>
      <c r="G45" s="131" t="s">
        <v>94</v>
      </c>
      <c r="H45" s="145"/>
      <c r="I45" s="145"/>
      <c r="J45" s="38"/>
      <c r="K45" s="308">
        <f t="shared" ref="K45:S45" si="3">AVERAGE(K42:K44)</f>
        <v>0.42427867223195098</v>
      </c>
      <c r="L45" s="308">
        <f t="shared" si="3"/>
        <v>0.42427867223195098</v>
      </c>
      <c r="M45" s="308">
        <f t="shared" si="3"/>
        <v>0.21935206001107954</v>
      </c>
      <c r="N45" s="308">
        <f t="shared" si="3"/>
        <v>0.21935206001107954</v>
      </c>
      <c r="O45" s="308">
        <f t="shared" si="3"/>
        <v>0.23892992067747731</v>
      </c>
      <c r="P45" s="308">
        <f t="shared" si="3"/>
        <v>0.23892992067747731</v>
      </c>
      <c r="Q45" s="308">
        <f t="shared" si="3"/>
        <v>0.23892992067747731</v>
      </c>
      <c r="R45" s="308">
        <f t="shared" si="3"/>
        <v>0.23892992067747731</v>
      </c>
      <c r="S45" s="308">
        <f t="shared" si="3"/>
        <v>0.23892992067747731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285156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684</v>
      </c>
    </row>
    <row r="8" spans="1:9" s="293" customFormat="1" x14ac:dyDescent="0.25">
      <c r="C8" s="82" t="s">
        <v>685</v>
      </c>
    </row>
    <row r="9" spans="1:9" x14ac:dyDescent="0.25">
      <c r="E9" s="14"/>
    </row>
    <row r="10" spans="1:9" x14ac:dyDescent="0.25">
      <c r="B10" s="95" t="s">
        <v>466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686</v>
      </c>
    </row>
    <row r="13" spans="1:9" x14ac:dyDescent="0.25">
      <c r="C13" s="82" t="s">
        <v>687</v>
      </c>
    </row>
    <row r="14" spans="1:9" s="195" customFormat="1" x14ac:dyDescent="0.25">
      <c r="C14" s="82"/>
    </row>
    <row r="15" spans="1:9" s="195" customFormat="1" x14ac:dyDescent="0.25">
      <c r="C15" s="7" t="s">
        <v>594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468</v>
      </c>
      <c r="G17" s="321" t="s">
        <v>1233</v>
      </c>
    </row>
    <row r="18" spans="2:9" x14ac:dyDescent="0.25">
      <c r="H18" s="108"/>
    </row>
    <row r="19" spans="2:9" s="195" customFormat="1" x14ac:dyDescent="0.25">
      <c r="C19" s="7" t="s">
        <v>574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575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490</v>
      </c>
      <c r="H27" s="108"/>
    </row>
    <row r="28" spans="2:9" x14ac:dyDescent="0.25">
      <c r="E28" s="40" t="s">
        <v>469</v>
      </c>
      <c r="F28" s="91"/>
      <c r="G28" s="156" t="str">
        <f>LEFT(G29,4) - 1 &amp; "/" &amp; RIGHT(G29,2) - 1</f>
        <v>2019/20</v>
      </c>
      <c r="H28" s="325" t="s">
        <v>470</v>
      </c>
    </row>
    <row r="29" spans="2:9" x14ac:dyDescent="0.25">
      <c r="E29" s="39" t="s">
        <v>471</v>
      </c>
      <c r="F29" s="92"/>
      <c r="G29" s="148" t="str">
        <f>LEFT(G30,4) - 1 &amp; "/" &amp; RIGHT(G30,2) - 1</f>
        <v>2020/21</v>
      </c>
      <c r="H29" s="326" t="s">
        <v>470</v>
      </c>
    </row>
    <row r="30" spans="2:9" x14ac:dyDescent="0.25">
      <c r="E30" s="39" t="s">
        <v>472</v>
      </c>
      <c r="F30" s="92"/>
      <c r="G30" s="148" t="str">
        <f>LEFT(G31,4) - 1 &amp; "/" &amp; RIGHT(G31,2) - 1</f>
        <v>2021/22</v>
      </c>
      <c r="H30" s="326" t="s">
        <v>470</v>
      </c>
    </row>
    <row r="31" spans="2:9" x14ac:dyDescent="0.25">
      <c r="E31" s="39" t="str">
        <f>"Charging year (" &amp; charging_year &amp;")"</f>
        <v>Charging year (2022/23)</v>
      </c>
      <c r="F31" s="92"/>
      <c r="G31" s="148" t="str">
        <f>charging_year</f>
        <v>2022/23</v>
      </c>
      <c r="H31" s="326" t="s">
        <v>473</v>
      </c>
    </row>
    <row r="32" spans="2:9" x14ac:dyDescent="0.25">
      <c r="E32" s="39" t="s">
        <v>474</v>
      </c>
      <c r="F32" s="92"/>
      <c r="G32" s="148" t="str">
        <f>LEFT(G31,4) + 1 &amp; "/" &amp; RIGHT(G31,2) + 1</f>
        <v>2023/24</v>
      </c>
      <c r="H32" s="326" t="s">
        <v>475</v>
      </c>
    </row>
    <row r="33" spans="2:9" x14ac:dyDescent="0.25">
      <c r="E33" s="39" t="s">
        <v>476</v>
      </c>
      <c r="F33" s="92"/>
      <c r="G33" s="148" t="str">
        <f t="shared" ref="G33:G35" si="0">LEFT(G32,4) + 1 &amp; "/" &amp; RIGHT(G32,2) + 1</f>
        <v>2024/25</v>
      </c>
      <c r="H33" s="326" t="s">
        <v>475</v>
      </c>
    </row>
    <row r="34" spans="2:9" x14ac:dyDescent="0.25">
      <c r="E34" s="39" t="s">
        <v>477</v>
      </c>
      <c r="F34" s="92"/>
      <c r="G34" s="148" t="str">
        <f t="shared" si="0"/>
        <v>2025/26</v>
      </c>
      <c r="H34" s="326" t="s">
        <v>475</v>
      </c>
    </row>
    <row r="35" spans="2:9" x14ac:dyDescent="0.25">
      <c r="E35" s="36" t="s">
        <v>478</v>
      </c>
      <c r="F35" s="93"/>
      <c r="G35" s="155" t="str">
        <f t="shared" si="0"/>
        <v>2026/27</v>
      </c>
      <c r="H35" s="327" t="s">
        <v>475</v>
      </c>
    </row>
    <row r="36" spans="2:9" x14ac:dyDescent="0.25">
      <c r="E36" s="157" t="s">
        <v>479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25">
      <c r="F39" s="88"/>
      <c r="G39" s="88"/>
      <c r="H39" s="88"/>
      <c r="I39" s="88"/>
    </row>
    <row r="40" spans="2:9" x14ac:dyDescent="0.25">
      <c r="F40" s="88"/>
      <c r="G40" s="88"/>
      <c r="H40" s="88"/>
      <c r="I40" s="88"/>
    </row>
  </sheetData>
  <sheetProtection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2104" activePane="bottomRight" state="frozen"/>
      <selection pane="topRight"/>
      <selection pane="bottomLeft"/>
      <selection pane="bottomRight" activeCell="L7" sqref="L7:S213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111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Manweb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  <c r="I3" s="309"/>
    </row>
    <row r="4" spans="1:97" s="195" customFormat="1" x14ac:dyDescent="0.2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K5" s="111"/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688</v>
      </c>
    </row>
    <row r="11" spans="1:97" s="293" customFormat="1" x14ac:dyDescent="0.25">
      <c r="C11" s="82" t="s">
        <v>689</v>
      </c>
      <c r="I11" s="111"/>
    </row>
    <row r="12" spans="1:97" s="293" customFormat="1" x14ac:dyDescent="0.25">
      <c r="C12" s="82" t="s">
        <v>782</v>
      </c>
      <c r="I12" s="111"/>
    </row>
    <row r="13" spans="1:97" x14ac:dyDescent="0.25">
      <c r="D13" s="14"/>
    </row>
    <row r="14" spans="1:97" x14ac:dyDescent="0.2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359</v>
      </c>
      <c r="U18" s="85" t="s">
        <v>808</v>
      </c>
    </row>
    <row r="19" spans="3:21" x14ac:dyDescent="0.25">
      <c r="F19" s="91" t="s">
        <v>928</v>
      </c>
      <c r="G19" s="91" t="s">
        <v>94</v>
      </c>
      <c r="H19" s="112"/>
      <c r="I19" s="112"/>
      <c r="J19" s="184">
        <f>CHOOSE(year_selection, L19,M19,N19,O19,P19,Q19,R19,S19)</f>
        <v>0.45400000000000001</v>
      </c>
      <c r="K19" s="161"/>
      <c r="L19" s="322"/>
      <c r="M19" s="322"/>
      <c r="N19" s="322"/>
      <c r="O19" s="322">
        <v>0.45400000000000001</v>
      </c>
      <c r="P19" s="322">
        <v>0.45400000000000001</v>
      </c>
      <c r="Q19" s="322">
        <v>0.45400000000000001</v>
      </c>
      <c r="R19" s="322">
        <v>0.45400000000000001</v>
      </c>
      <c r="S19" s="322">
        <v>0.45400000000000001</v>
      </c>
    </row>
    <row r="20" spans="3:21" x14ac:dyDescent="0.25">
      <c r="F20" s="196" t="s">
        <v>929</v>
      </c>
      <c r="G20" s="196" t="s">
        <v>94</v>
      </c>
      <c r="H20" s="66"/>
      <c r="I20" s="66"/>
      <c r="J20" s="185">
        <f t="shared" ref="J20:J26" si="0">CHOOSE(year_selection, L20,M20,N20,O20,P20,Q20,R20,S20)</f>
        <v>0.13266666666666668</v>
      </c>
      <c r="K20" s="162"/>
      <c r="L20" s="323"/>
      <c r="M20" s="323"/>
      <c r="N20" s="323"/>
      <c r="O20" s="323">
        <v>0.13266666666666668</v>
      </c>
      <c r="P20" s="323">
        <v>0.13266666666666668</v>
      </c>
      <c r="Q20" s="323">
        <v>0.13266666666666668</v>
      </c>
      <c r="R20" s="323">
        <v>0.13266666666666668</v>
      </c>
      <c r="S20" s="323">
        <v>0.13266666666666668</v>
      </c>
    </row>
    <row r="21" spans="3:21" x14ac:dyDescent="0.25">
      <c r="F21" s="196" t="s">
        <v>930</v>
      </c>
      <c r="G21" s="196" t="s">
        <v>94</v>
      </c>
      <c r="H21" s="66"/>
      <c r="I21" s="66"/>
      <c r="J21" s="185">
        <f t="shared" si="0"/>
        <v>0.43566666666666665</v>
      </c>
      <c r="K21" s="162"/>
      <c r="L21" s="323"/>
      <c r="M21" s="323"/>
      <c r="N21" s="323"/>
      <c r="O21" s="323">
        <v>0.43566666666666665</v>
      </c>
      <c r="P21" s="323">
        <v>0.43566666666666665</v>
      </c>
      <c r="Q21" s="323">
        <v>0.43566666666666665</v>
      </c>
      <c r="R21" s="323">
        <v>0.43566666666666665</v>
      </c>
      <c r="S21" s="323">
        <v>0.43566666666666665</v>
      </c>
    </row>
    <row r="22" spans="3:21" x14ac:dyDescent="0.25">
      <c r="F22" s="196" t="s">
        <v>931</v>
      </c>
      <c r="G22" s="196" t="s">
        <v>94</v>
      </c>
      <c r="H22" s="66"/>
      <c r="I22" s="66"/>
      <c r="J22" s="185">
        <f t="shared" si="0"/>
        <v>0.17600000000000002</v>
      </c>
      <c r="K22" s="162"/>
      <c r="L22" s="323"/>
      <c r="M22" s="323"/>
      <c r="N22" s="323"/>
      <c r="O22" s="323">
        <v>0.17600000000000002</v>
      </c>
      <c r="P22" s="323">
        <v>0.17600000000000002</v>
      </c>
      <c r="Q22" s="323">
        <v>0.17600000000000002</v>
      </c>
      <c r="R22" s="323">
        <v>0.17600000000000002</v>
      </c>
      <c r="S22" s="323">
        <v>0.17600000000000002</v>
      </c>
    </row>
    <row r="23" spans="3:21" x14ac:dyDescent="0.25">
      <c r="F23" s="196" t="s">
        <v>932</v>
      </c>
      <c r="G23" s="196" t="s">
        <v>94</v>
      </c>
      <c r="H23" s="66"/>
      <c r="I23" s="66"/>
      <c r="J23" s="185">
        <f t="shared" si="0"/>
        <v>0.58133333333333326</v>
      </c>
      <c r="K23" s="162"/>
      <c r="L23" s="323"/>
      <c r="M23" s="323"/>
      <c r="N23" s="323"/>
      <c r="O23" s="323">
        <v>0.58133333333333326</v>
      </c>
      <c r="P23" s="323">
        <v>0.58133333333333326</v>
      </c>
      <c r="Q23" s="323">
        <v>0.58133333333333326</v>
      </c>
      <c r="R23" s="323">
        <v>0.58133333333333326</v>
      </c>
      <c r="S23" s="323">
        <v>0.58133333333333326</v>
      </c>
    </row>
    <row r="24" spans="3:21" x14ac:dyDescent="0.25">
      <c r="F24" s="196" t="s">
        <v>933</v>
      </c>
      <c r="G24" s="196" t="s">
        <v>94</v>
      </c>
      <c r="H24" s="66"/>
      <c r="I24" s="66"/>
      <c r="J24" s="185">
        <f t="shared" si="0"/>
        <v>0.56866666666666665</v>
      </c>
      <c r="K24" s="162"/>
      <c r="L24" s="323"/>
      <c r="M24" s="323"/>
      <c r="N24" s="323"/>
      <c r="O24" s="323">
        <v>0.56866666666666665</v>
      </c>
      <c r="P24" s="323">
        <v>0.56866666666666665</v>
      </c>
      <c r="Q24" s="323">
        <v>0.56866666666666665</v>
      </c>
      <c r="R24" s="323">
        <v>0.56866666666666665</v>
      </c>
      <c r="S24" s="323">
        <v>0.56866666666666665</v>
      </c>
    </row>
    <row r="25" spans="3:21" x14ac:dyDescent="0.25">
      <c r="F25" s="196" t="s">
        <v>934</v>
      </c>
      <c r="G25" s="196" t="s">
        <v>94</v>
      </c>
      <c r="H25" s="66"/>
      <c r="I25" s="66"/>
      <c r="J25" s="185">
        <f t="shared" si="0"/>
        <v>0.74099999999999999</v>
      </c>
      <c r="K25" s="162"/>
      <c r="L25" s="323"/>
      <c r="M25" s="323"/>
      <c r="N25" s="323"/>
      <c r="O25" s="323">
        <v>0.74099999999999999</v>
      </c>
      <c r="P25" s="323">
        <v>0.74099999999999999</v>
      </c>
      <c r="Q25" s="323">
        <v>0.74099999999999999</v>
      </c>
      <c r="R25" s="323">
        <v>0.74099999999999999</v>
      </c>
      <c r="S25" s="323">
        <v>0.74099999999999999</v>
      </c>
    </row>
    <row r="26" spans="3:21" x14ac:dyDescent="0.25">
      <c r="F26" s="196" t="s">
        <v>935</v>
      </c>
      <c r="G26" s="196" t="s">
        <v>94</v>
      </c>
      <c r="H26" s="66"/>
      <c r="I26" s="66"/>
      <c r="J26" s="185">
        <f t="shared" si="0"/>
        <v>0.44600000000000001</v>
      </c>
      <c r="K26" s="162"/>
      <c r="L26" s="323"/>
      <c r="M26" s="323"/>
      <c r="N26" s="323"/>
      <c r="O26" s="323">
        <v>0.44600000000000001</v>
      </c>
      <c r="P26" s="323">
        <v>0.44600000000000001</v>
      </c>
      <c r="Q26" s="323">
        <v>0.44600000000000001</v>
      </c>
      <c r="R26" s="323">
        <v>0.44600000000000001</v>
      </c>
      <c r="S26" s="323">
        <v>0.44600000000000001</v>
      </c>
    </row>
    <row r="27" spans="3:21" x14ac:dyDescent="0.25">
      <c r="F27" s="196" t="s">
        <v>936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937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938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939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940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941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942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943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2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809</v>
      </c>
    </row>
    <row r="39" spans="3:21" x14ac:dyDescent="0.25">
      <c r="F39" s="91" t="s">
        <v>928</v>
      </c>
      <c r="G39" s="91" t="s">
        <v>94</v>
      </c>
      <c r="H39" s="112"/>
      <c r="I39" s="112"/>
      <c r="J39" s="184">
        <f t="shared" ref="J39:J46" si="1">CHOOSE(year_selection, L39,M39,N39,O39,P39,Q39,R39,S39)</f>
        <v>0.86</v>
      </c>
      <c r="K39" s="161"/>
      <c r="L39" s="322"/>
      <c r="M39" s="322"/>
      <c r="N39" s="322"/>
      <c r="O39" s="322">
        <v>0.86</v>
      </c>
      <c r="P39" s="322">
        <v>0.86</v>
      </c>
      <c r="Q39" s="322">
        <v>0.86</v>
      </c>
      <c r="R39" s="322">
        <v>0.86</v>
      </c>
      <c r="S39" s="322">
        <v>0.86</v>
      </c>
    </row>
    <row r="40" spans="3:21" x14ac:dyDescent="0.25">
      <c r="F40" s="196" t="s">
        <v>929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930</v>
      </c>
      <c r="G41" s="196" t="s">
        <v>94</v>
      </c>
      <c r="H41" s="66"/>
      <c r="I41" s="66"/>
      <c r="J41" s="185">
        <f t="shared" si="1"/>
        <v>0.69799999999999995</v>
      </c>
      <c r="K41" s="162"/>
      <c r="L41" s="323"/>
      <c r="M41" s="323"/>
      <c r="N41" s="323"/>
      <c r="O41" s="323">
        <v>0.69799999999999995</v>
      </c>
      <c r="P41" s="323">
        <v>0.69799999999999995</v>
      </c>
      <c r="Q41" s="323">
        <v>0.69799999999999995</v>
      </c>
      <c r="R41" s="323">
        <v>0.69799999999999995</v>
      </c>
      <c r="S41" s="323">
        <v>0.69799999999999995</v>
      </c>
    </row>
    <row r="42" spans="3:21" x14ac:dyDescent="0.25">
      <c r="F42" s="196" t="s">
        <v>931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932</v>
      </c>
      <c r="G43" s="196" t="s">
        <v>94</v>
      </c>
      <c r="H43" s="66"/>
      <c r="I43" s="66"/>
      <c r="J43" s="185">
        <f t="shared" si="1"/>
        <v>0.81433333333333335</v>
      </c>
      <c r="K43" s="162"/>
      <c r="L43" s="323"/>
      <c r="M43" s="323"/>
      <c r="N43" s="323"/>
      <c r="O43" s="323">
        <v>0.81433333333333335</v>
      </c>
      <c r="P43" s="323">
        <v>0.81433333333333335</v>
      </c>
      <c r="Q43" s="323">
        <v>0.81433333333333335</v>
      </c>
      <c r="R43" s="323">
        <v>0.81433333333333335</v>
      </c>
      <c r="S43" s="323">
        <v>0.81433333333333335</v>
      </c>
    </row>
    <row r="44" spans="3:21" x14ac:dyDescent="0.25">
      <c r="F44" s="196" t="s">
        <v>933</v>
      </c>
      <c r="G44" s="196" t="s">
        <v>94</v>
      </c>
      <c r="H44" s="66"/>
      <c r="I44" s="66"/>
      <c r="J44" s="185">
        <f t="shared" si="1"/>
        <v>0.75233333333333319</v>
      </c>
      <c r="K44" s="162"/>
      <c r="L44" s="323"/>
      <c r="M44" s="323"/>
      <c r="N44" s="323"/>
      <c r="O44" s="323">
        <v>0.75233333333333319</v>
      </c>
      <c r="P44" s="323">
        <v>0.75233333333333319</v>
      </c>
      <c r="Q44" s="323">
        <v>0.75233333333333319</v>
      </c>
      <c r="R44" s="323">
        <v>0.75233333333333319</v>
      </c>
      <c r="S44" s="323">
        <v>0.75233333333333319</v>
      </c>
    </row>
    <row r="45" spans="3:21" x14ac:dyDescent="0.25">
      <c r="F45" s="196" t="s">
        <v>934</v>
      </c>
      <c r="G45" s="196" t="s">
        <v>94</v>
      </c>
      <c r="H45" s="66"/>
      <c r="I45" s="66"/>
      <c r="J45" s="185">
        <f t="shared" si="1"/>
        <v>0.83266666666666656</v>
      </c>
      <c r="K45" s="162"/>
      <c r="L45" s="323"/>
      <c r="M45" s="323"/>
      <c r="N45" s="323"/>
      <c r="O45" s="323">
        <v>0.83266666666666656</v>
      </c>
      <c r="P45" s="323">
        <v>0.83266666666666656</v>
      </c>
      <c r="Q45" s="323">
        <v>0.83266666666666656</v>
      </c>
      <c r="R45" s="323">
        <v>0.83266666666666656</v>
      </c>
      <c r="S45" s="323">
        <v>0.83266666666666656</v>
      </c>
    </row>
    <row r="46" spans="3:21" x14ac:dyDescent="0.25">
      <c r="F46" s="196" t="s">
        <v>935</v>
      </c>
      <c r="G46" s="196" t="s">
        <v>94</v>
      </c>
      <c r="H46" s="66"/>
      <c r="I46" s="66"/>
      <c r="J46" s="185">
        <f t="shared" si="1"/>
        <v>0.83533333333333337</v>
      </c>
      <c r="K46" s="162"/>
      <c r="L46" s="323"/>
      <c r="M46" s="323"/>
      <c r="N46" s="323"/>
      <c r="O46" s="323">
        <v>0.83533333333333337</v>
      </c>
      <c r="P46" s="323">
        <v>0.83533333333333337</v>
      </c>
      <c r="Q46" s="323">
        <v>0.83533333333333337</v>
      </c>
      <c r="R46" s="323">
        <v>0.83533333333333337</v>
      </c>
      <c r="S46" s="323">
        <v>0.83533333333333337</v>
      </c>
    </row>
    <row r="47" spans="3:21" x14ac:dyDescent="0.25">
      <c r="F47" s="196" t="s">
        <v>936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937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938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939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940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941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942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943</v>
      </c>
      <c r="G54" s="93" t="s">
        <v>94</v>
      </c>
      <c r="H54" s="145"/>
      <c r="I54" s="145"/>
      <c r="J54" s="240"/>
      <c r="K54" s="164"/>
      <c r="L54" s="429"/>
      <c r="M54" s="429"/>
      <c r="N54" s="429"/>
      <c r="O54" s="429"/>
      <c r="P54" s="429"/>
      <c r="Q54" s="429"/>
      <c r="R54" s="429"/>
      <c r="S54" s="429"/>
    </row>
    <row r="55" spans="2:21" x14ac:dyDescent="0.2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25">
      <c r="B56" s="95" t="s">
        <v>626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25">
      <c r="C58" s="7" t="str">
        <f ca="1">INDEX('Version control'!$H$34:$H$60,MATCH($A$1,'Version control'!$F$34:$F$60,0),1)&amp;"-C: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2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692</v>
      </c>
    </row>
    <row r="61" spans="2:21" x14ac:dyDescent="0.25">
      <c r="F61" s="91" t="s">
        <v>928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25">
      <c r="F62" s="196" t="s">
        <v>929</v>
      </c>
      <c r="G62" s="196" t="s">
        <v>120</v>
      </c>
      <c r="H62" s="196" t="s">
        <v>145</v>
      </c>
      <c r="I62" s="66"/>
      <c r="J62" s="233">
        <f t="shared" ref="J62:J76" si="2">CHOOSE(year_selection, L62,M62,N62,O62,P62,Q62,R62,S62)</f>
        <v>50.685541167972772</v>
      </c>
      <c r="K62" s="234"/>
      <c r="L62" s="329"/>
      <c r="M62" s="329"/>
      <c r="N62" s="329"/>
      <c r="O62" s="329">
        <v>50.685541167972772</v>
      </c>
      <c r="P62" s="329">
        <v>50.685541167972772</v>
      </c>
      <c r="Q62" s="329">
        <v>50.685541167972772</v>
      </c>
      <c r="R62" s="329">
        <v>50.685541167972772</v>
      </c>
      <c r="S62" s="329">
        <v>50.685541167972772</v>
      </c>
    </row>
    <row r="63" spans="2:21" x14ac:dyDescent="0.25">
      <c r="F63" s="196" t="s">
        <v>930</v>
      </c>
      <c r="G63" s="196" t="s">
        <v>120</v>
      </c>
      <c r="H63" s="196" t="s">
        <v>145</v>
      </c>
      <c r="I63" s="66"/>
      <c r="J63" s="233">
        <f t="shared" si="2"/>
        <v>0</v>
      </c>
      <c r="K63" s="234"/>
      <c r="L63" s="329"/>
      <c r="M63" s="329"/>
      <c r="N63" s="329"/>
      <c r="O63" s="329">
        <v>0</v>
      </c>
      <c r="P63" s="329">
        <v>0</v>
      </c>
      <c r="Q63" s="329">
        <v>0</v>
      </c>
      <c r="R63" s="329">
        <v>0</v>
      </c>
      <c r="S63" s="329">
        <v>0</v>
      </c>
    </row>
    <row r="64" spans="2:21" x14ac:dyDescent="0.25">
      <c r="F64" s="196" t="s">
        <v>931</v>
      </c>
      <c r="G64" s="196" t="s">
        <v>120</v>
      </c>
      <c r="H64" s="196" t="s">
        <v>145</v>
      </c>
      <c r="I64" s="66"/>
      <c r="J64" s="233">
        <f t="shared" si="2"/>
        <v>6.1226977807298875</v>
      </c>
      <c r="K64" s="234"/>
      <c r="L64" s="329"/>
      <c r="M64" s="329"/>
      <c r="N64" s="329"/>
      <c r="O64" s="329">
        <v>6.1226977807298875</v>
      </c>
      <c r="P64" s="329">
        <v>6.1226977807298875</v>
      </c>
      <c r="Q64" s="329">
        <v>6.1226977807298875</v>
      </c>
      <c r="R64" s="329">
        <v>6.1226977807298875</v>
      </c>
      <c r="S64" s="329">
        <v>6.1226977807298875</v>
      </c>
    </row>
    <row r="65" spans="5:19" x14ac:dyDescent="0.25">
      <c r="F65" s="196" t="s">
        <v>932</v>
      </c>
      <c r="G65" s="196" t="s">
        <v>120</v>
      </c>
      <c r="H65" s="196" t="s">
        <v>145</v>
      </c>
      <c r="I65" s="66"/>
      <c r="J65" s="233">
        <f t="shared" si="2"/>
        <v>0</v>
      </c>
      <c r="K65" s="234"/>
      <c r="L65" s="329"/>
      <c r="M65" s="329"/>
      <c r="N65" s="329"/>
      <c r="O65" s="329">
        <v>0</v>
      </c>
      <c r="P65" s="329">
        <v>0</v>
      </c>
      <c r="Q65" s="329">
        <v>0</v>
      </c>
      <c r="R65" s="329">
        <v>0</v>
      </c>
      <c r="S65" s="329">
        <v>0</v>
      </c>
    </row>
    <row r="66" spans="5:19" x14ac:dyDescent="0.25">
      <c r="F66" s="196" t="s">
        <v>933</v>
      </c>
      <c r="G66" s="196" t="s">
        <v>120</v>
      </c>
      <c r="H66" s="196" t="s">
        <v>145</v>
      </c>
      <c r="I66" s="66"/>
      <c r="J66" s="233">
        <f t="shared" si="2"/>
        <v>0</v>
      </c>
      <c r="K66" s="234"/>
      <c r="L66" s="329"/>
      <c r="M66" s="329"/>
      <c r="N66" s="329"/>
      <c r="O66" s="329">
        <v>0</v>
      </c>
      <c r="P66" s="329">
        <v>0</v>
      </c>
      <c r="Q66" s="329">
        <v>0</v>
      </c>
      <c r="R66" s="329">
        <v>0</v>
      </c>
      <c r="S66" s="329">
        <v>0</v>
      </c>
    </row>
    <row r="67" spans="5:19" x14ac:dyDescent="0.25">
      <c r="F67" s="196" t="s">
        <v>934</v>
      </c>
      <c r="G67" s="196" t="s">
        <v>120</v>
      </c>
      <c r="H67" s="196" t="s">
        <v>145</v>
      </c>
      <c r="I67" s="66"/>
      <c r="J67" s="233">
        <f t="shared" si="2"/>
        <v>0</v>
      </c>
      <c r="K67" s="234"/>
      <c r="L67" s="329"/>
      <c r="M67" s="329"/>
      <c r="N67" s="329"/>
      <c r="O67" s="329">
        <v>0</v>
      </c>
      <c r="P67" s="329">
        <v>0</v>
      </c>
      <c r="Q67" s="329">
        <v>0</v>
      </c>
      <c r="R67" s="329">
        <v>0</v>
      </c>
      <c r="S67" s="329">
        <v>0</v>
      </c>
    </row>
    <row r="68" spans="5:19" x14ac:dyDescent="0.25">
      <c r="F68" s="196" t="s">
        <v>935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25">
      <c r="F69" s="196" t="s">
        <v>936</v>
      </c>
      <c r="G69" s="196" t="s">
        <v>120</v>
      </c>
      <c r="H69" s="196" t="s">
        <v>145</v>
      </c>
      <c r="I69" s="66"/>
      <c r="J69" s="233">
        <f t="shared" si="2"/>
        <v>138.20714502602834</v>
      </c>
      <c r="K69" s="234"/>
      <c r="L69" s="329"/>
      <c r="M69" s="329"/>
      <c r="N69" s="329"/>
      <c r="O69" s="329">
        <v>138.20714502602834</v>
      </c>
      <c r="P69" s="329">
        <v>138.20714502602834</v>
      </c>
      <c r="Q69" s="329">
        <v>138.20714502602834</v>
      </c>
      <c r="R69" s="329">
        <v>138.20714502602834</v>
      </c>
      <c r="S69" s="329">
        <v>138.20714502602834</v>
      </c>
    </row>
    <row r="70" spans="5:19" x14ac:dyDescent="0.25">
      <c r="F70" s="196" t="s">
        <v>937</v>
      </c>
      <c r="G70" s="196" t="s">
        <v>120</v>
      </c>
      <c r="H70" s="196" t="s">
        <v>145</v>
      </c>
      <c r="I70" s="66"/>
      <c r="J70" s="233">
        <f t="shared" si="2"/>
        <v>19.850977162721037</v>
      </c>
      <c r="K70" s="234"/>
      <c r="L70" s="329"/>
      <c r="M70" s="329"/>
      <c r="N70" s="329"/>
      <c r="O70" s="329">
        <v>19.850977162721037</v>
      </c>
      <c r="P70" s="329">
        <v>19.850977162721037</v>
      </c>
      <c r="Q70" s="329">
        <v>19.850977162721037</v>
      </c>
      <c r="R70" s="329">
        <v>19.850977162721037</v>
      </c>
      <c r="S70" s="329">
        <v>19.850977162721037</v>
      </c>
    </row>
    <row r="71" spans="5:19" x14ac:dyDescent="0.25">
      <c r="F71" s="196" t="s">
        <v>938</v>
      </c>
      <c r="G71" s="196" t="s">
        <v>120</v>
      </c>
      <c r="H71" s="196" t="s">
        <v>145</v>
      </c>
      <c r="I71" s="66"/>
      <c r="J71" s="233">
        <f t="shared" si="2"/>
        <v>4602.4299730524672</v>
      </c>
      <c r="K71" s="234"/>
      <c r="L71" s="329"/>
      <c r="M71" s="329"/>
      <c r="N71" s="329"/>
      <c r="O71" s="329">
        <v>4602.4299730524672</v>
      </c>
      <c r="P71" s="329">
        <v>4602.4299730524672</v>
      </c>
      <c r="Q71" s="329">
        <v>4602.4299730524672</v>
      </c>
      <c r="R71" s="329">
        <v>4602.4299730524672</v>
      </c>
      <c r="S71" s="329">
        <v>4602.4299730524672</v>
      </c>
    </row>
    <row r="72" spans="5:19" x14ac:dyDescent="0.25">
      <c r="F72" s="196" t="s">
        <v>939</v>
      </c>
      <c r="G72" s="196" t="s">
        <v>120</v>
      </c>
      <c r="H72" s="196" t="s">
        <v>145</v>
      </c>
      <c r="I72" s="66"/>
      <c r="J72" s="233">
        <f t="shared" si="2"/>
        <v>0</v>
      </c>
      <c r="K72" s="234"/>
      <c r="L72" s="329"/>
      <c r="M72" s="329"/>
      <c r="N72" s="329"/>
      <c r="O72" s="329">
        <v>0</v>
      </c>
      <c r="P72" s="329">
        <v>0</v>
      </c>
      <c r="Q72" s="329">
        <v>0</v>
      </c>
      <c r="R72" s="329">
        <v>0</v>
      </c>
      <c r="S72" s="329">
        <v>0</v>
      </c>
    </row>
    <row r="73" spans="5:19" x14ac:dyDescent="0.25">
      <c r="F73" s="196" t="s">
        <v>940</v>
      </c>
      <c r="G73" s="196" t="s">
        <v>120</v>
      </c>
      <c r="H73" s="196" t="s">
        <v>145</v>
      </c>
      <c r="I73" s="66"/>
      <c r="J73" s="233">
        <f t="shared" si="2"/>
        <v>1319.5926901394901</v>
      </c>
      <c r="K73" s="234"/>
      <c r="L73" s="329"/>
      <c r="M73" s="329"/>
      <c r="N73" s="329"/>
      <c r="O73" s="329">
        <v>1319.5926901394901</v>
      </c>
      <c r="P73" s="329">
        <v>1319.5926901394901</v>
      </c>
      <c r="Q73" s="329">
        <v>1319.5926901394901</v>
      </c>
      <c r="R73" s="329">
        <v>1319.5926901394901</v>
      </c>
      <c r="S73" s="329">
        <v>1319.5926901394901</v>
      </c>
    </row>
    <row r="74" spans="5:19" x14ac:dyDescent="0.25">
      <c r="F74" s="196" t="s">
        <v>941</v>
      </c>
      <c r="G74" s="196" t="s">
        <v>120</v>
      </c>
      <c r="H74" s="196" t="s">
        <v>145</v>
      </c>
      <c r="I74" s="66"/>
      <c r="J74" s="233">
        <f t="shared" si="2"/>
        <v>0</v>
      </c>
      <c r="K74" s="234"/>
      <c r="L74" s="329"/>
      <c r="M74" s="329"/>
      <c r="N74" s="329"/>
      <c r="O74" s="329">
        <v>0</v>
      </c>
      <c r="P74" s="329">
        <v>0</v>
      </c>
      <c r="Q74" s="329">
        <v>0</v>
      </c>
      <c r="R74" s="329">
        <v>0</v>
      </c>
      <c r="S74" s="329">
        <v>0</v>
      </c>
    </row>
    <row r="75" spans="5:19" x14ac:dyDescent="0.25">
      <c r="F75" s="196" t="s">
        <v>942</v>
      </c>
      <c r="G75" s="196" t="s">
        <v>120</v>
      </c>
      <c r="H75" s="196" t="s">
        <v>145</v>
      </c>
      <c r="I75" s="66"/>
      <c r="J75" s="233">
        <f t="shared" si="2"/>
        <v>42346.377102139319</v>
      </c>
      <c r="K75" s="234"/>
      <c r="L75" s="329"/>
      <c r="M75" s="329"/>
      <c r="N75" s="329"/>
      <c r="O75" s="329">
        <v>42346.377102139319</v>
      </c>
      <c r="P75" s="329">
        <v>42346.377102139319</v>
      </c>
      <c r="Q75" s="329">
        <v>42346.377102139319</v>
      </c>
      <c r="R75" s="329">
        <v>42346.377102139319</v>
      </c>
      <c r="S75" s="329">
        <v>42346.377102139319</v>
      </c>
    </row>
    <row r="76" spans="5:19" x14ac:dyDescent="0.25">
      <c r="F76" s="93" t="s">
        <v>943</v>
      </c>
      <c r="G76" s="93" t="s">
        <v>120</v>
      </c>
      <c r="H76" s="93" t="s">
        <v>145</v>
      </c>
      <c r="I76" s="145"/>
      <c r="J76" s="235">
        <f t="shared" si="2"/>
        <v>0</v>
      </c>
      <c r="K76" s="236"/>
      <c r="L76" s="330"/>
      <c r="M76" s="330"/>
      <c r="N76" s="330"/>
      <c r="O76" s="330">
        <v>0</v>
      </c>
      <c r="P76" s="330">
        <v>0</v>
      </c>
      <c r="Q76" s="330">
        <v>0</v>
      </c>
      <c r="R76" s="330">
        <v>0</v>
      </c>
      <c r="S76" s="330">
        <v>0</v>
      </c>
    </row>
    <row r="77" spans="5:19" x14ac:dyDescent="0.2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2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25">
      <c r="F79" s="91" t="s">
        <v>928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25">
      <c r="F80" s="196" t="s">
        <v>929</v>
      </c>
      <c r="G80" s="196" t="s">
        <v>120</v>
      </c>
      <c r="H80" s="196" t="s">
        <v>145</v>
      </c>
      <c r="I80" s="66"/>
      <c r="J80" s="233">
        <f t="shared" ref="J80:J85" si="3">CHOOSE(year_selection, L80,M80,N80,O80,P80,Q80,R80,S80)</f>
        <v>876.88932002307558</v>
      </c>
      <c r="K80" s="234"/>
      <c r="L80" s="329"/>
      <c r="M80" s="329"/>
      <c r="N80" s="329"/>
      <c r="O80" s="329">
        <v>876.88932002307558</v>
      </c>
      <c r="P80" s="329">
        <v>876.88932002307558</v>
      </c>
      <c r="Q80" s="329">
        <v>876.88932002307558</v>
      </c>
      <c r="R80" s="329">
        <v>876.88932002307558</v>
      </c>
      <c r="S80" s="329">
        <v>876.88932002307558</v>
      </c>
    </row>
    <row r="81" spans="5:19" x14ac:dyDescent="0.25">
      <c r="F81" s="196" t="s">
        <v>930</v>
      </c>
      <c r="G81" s="196" t="s">
        <v>120</v>
      </c>
      <c r="H81" s="196" t="s">
        <v>145</v>
      </c>
      <c r="I81" s="66"/>
      <c r="J81" s="233">
        <f t="shared" si="3"/>
        <v>0</v>
      </c>
      <c r="K81" s="234"/>
      <c r="L81" s="329"/>
      <c r="M81" s="329"/>
      <c r="N81" s="329"/>
      <c r="O81" s="329">
        <v>0</v>
      </c>
      <c r="P81" s="329">
        <v>0</v>
      </c>
      <c r="Q81" s="329">
        <v>0</v>
      </c>
      <c r="R81" s="329">
        <v>0</v>
      </c>
      <c r="S81" s="329">
        <v>0</v>
      </c>
    </row>
    <row r="82" spans="5:19" x14ac:dyDescent="0.25">
      <c r="F82" s="196" t="s">
        <v>931</v>
      </c>
      <c r="G82" s="196" t="s">
        <v>120</v>
      </c>
      <c r="H82" s="196" t="s">
        <v>145</v>
      </c>
      <c r="I82" s="66"/>
      <c r="J82" s="233">
        <f t="shared" si="3"/>
        <v>315.99830541136959</v>
      </c>
      <c r="K82" s="234"/>
      <c r="L82" s="329"/>
      <c r="M82" s="329"/>
      <c r="N82" s="329"/>
      <c r="O82" s="329">
        <v>315.99830541136959</v>
      </c>
      <c r="P82" s="329">
        <v>315.99830541136959</v>
      </c>
      <c r="Q82" s="329">
        <v>315.99830541136959</v>
      </c>
      <c r="R82" s="329">
        <v>315.99830541136959</v>
      </c>
      <c r="S82" s="329">
        <v>315.99830541136959</v>
      </c>
    </row>
    <row r="83" spans="5:19" x14ac:dyDescent="0.25">
      <c r="F83" s="196" t="s">
        <v>932</v>
      </c>
      <c r="G83" s="196" t="s">
        <v>120</v>
      </c>
      <c r="H83" s="196" t="s">
        <v>145</v>
      </c>
      <c r="I83" s="66"/>
      <c r="J83" s="233">
        <f t="shared" si="3"/>
        <v>0</v>
      </c>
      <c r="K83" s="234"/>
      <c r="L83" s="329"/>
      <c r="M83" s="329"/>
      <c r="N83" s="329"/>
      <c r="O83" s="329">
        <v>0</v>
      </c>
      <c r="P83" s="329">
        <v>0</v>
      </c>
      <c r="Q83" s="329">
        <v>0</v>
      </c>
      <c r="R83" s="329">
        <v>0</v>
      </c>
      <c r="S83" s="329">
        <v>0</v>
      </c>
    </row>
    <row r="84" spans="5:19" x14ac:dyDescent="0.25">
      <c r="F84" s="196" t="s">
        <v>933</v>
      </c>
      <c r="G84" s="196" t="s">
        <v>120</v>
      </c>
      <c r="H84" s="196" t="s">
        <v>145</v>
      </c>
      <c r="I84" s="66"/>
      <c r="J84" s="233">
        <f t="shared" si="3"/>
        <v>0</v>
      </c>
      <c r="K84" s="234"/>
      <c r="L84" s="329"/>
      <c r="M84" s="329"/>
      <c r="N84" s="329"/>
      <c r="O84" s="329">
        <v>0</v>
      </c>
      <c r="P84" s="329">
        <v>0</v>
      </c>
      <c r="Q84" s="329">
        <v>0</v>
      </c>
      <c r="R84" s="329">
        <v>0</v>
      </c>
      <c r="S84" s="329">
        <v>0</v>
      </c>
    </row>
    <row r="85" spans="5:19" x14ac:dyDescent="0.25">
      <c r="F85" s="196" t="s">
        <v>934</v>
      </c>
      <c r="G85" s="196" t="s">
        <v>120</v>
      </c>
      <c r="H85" s="196" t="s">
        <v>145</v>
      </c>
      <c r="I85" s="66"/>
      <c r="J85" s="233">
        <f t="shared" si="3"/>
        <v>0</v>
      </c>
      <c r="K85" s="234"/>
      <c r="L85" s="329"/>
      <c r="M85" s="329"/>
      <c r="N85" s="329"/>
      <c r="O85" s="329">
        <v>0</v>
      </c>
      <c r="P85" s="329">
        <v>0</v>
      </c>
      <c r="Q85" s="329">
        <v>0</v>
      </c>
      <c r="R85" s="329">
        <v>0</v>
      </c>
      <c r="S85" s="329">
        <v>0</v>
      </c>
    </row>
    <row r="86" spans="5:19" x14ac:dyDescent="0.25">
      <c r="F86" s="196" t="s">
        <v>935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25">
      <c r="F87" s="196" t="s">
        <v>936</v>
      </c>
      <c r="G87" s="196" t="s">
        <v>120</v>
      </c>
      <c r="H87" s="196" t="s">
        <v>145</v>
      </c>
      <c r="I87" s="66"/>
      <c r="J87" s="233">
        <f t="shared" ref="J87:J94" si="4">CHOOSE(year_selection, L87,M87,N87,O87,P87,Q87,R87,S87)</f>
        <v>675.42262204083556</v>
      </c>
      <c r="K87" s="234"/>
      <c r="L87" s="329"/>
      <c r="M87" s="329"/>
      <c r="N87" s="329"/>
      <c r="O87" s="329">
        <v>675.42262204083556</v>
      </c>
      <c r="P87" s="329">
        <v>675.42262204083556</v>
      </c>
      <c r="Q87" s="329">
        <v>675.42262204083556</v>
      </c>
      <c r="R87" s="329">
        <v>675.42262204083556</v>
      </c>
      <c r="S87" s="329">
        <v>675.42262204083556</v>
      </c>
    </row>
    <row r="88" spans="5:19" x14ac:dyDescent="0.25">
      <c r="F88" s="196" t="s">
        <v>937</v>
      </c>
      <c r="G88" s="196" t="s">
        <v>120</v>
      </c>
      <c r="H88" s="196" t="s">
        <v>145</v>
      </c>
      <c r="I88" s="66"/>
      <c r="J88" s="233">
        <f t="shared" si="4"/>
        <v>89.283262919470644</v>
      </c>
      <c r="K88" s="234"/>
      <c r="L88" s="329"/>
      <c r="M88" s="329"/>
      <c r="N88" s="329"/>
      <c r="O88" s="329">
        <v>89.283262919470644</v>
      </c>
      <c r="P88" s="329">
        <v>89.283262919470644</v>
      </c>
      <c r="Q88" s="329">
        <v>89.283262919470644</v>
      </c>
      <c r="R88" s="329">
        <v>89.283262919470644</v>
      </c>
      <c r="S88" s="329">
        <v>89.283262919470644</v>
      </c>
    </row>
    <row r="89" spans="5:19" x14ac:dyDescent="0.25">
      <c r="F89" s="196" t="s">
        <v>938</v>
      </c>
      <c r="G89" s="196" t="s">
        <v>120</v>
      </c>
      <c r="H89" s="196" t="s">
        <v>145</v>
      </c>
      <c r="I89" s="66"/>
      <c r="J89" s="233">
        <f t="shared" si="4"/>
        <v>22397.414037263683</v>
      </c>
      <c r="K89" s="234"/>
      <c r="L89" s="329"/>
      <c r="M89" s="329"/>
      <c r="N89" s="329"/>
      <c r="O89" s="329">
        <v>22397.414037263683</v>
      </c>
      <c r="P89" s="329">
        <v>22397.414037263683</v>
      </c>
      <c r="Q89" s="329">
        <v>22397.414037263683</v>
      </c>
      <c r="R89" s="329">
        <v>22397.414037263683</v>
      </c>
      <c r="S89" s="329">
        <v>22397.414037263683</v>
      </c>
    </row>
    <row r="90" spans="5:19" x14ac:dyDescent="0.25">
      <c r="F90" s="196" t="s">
        <v>939</v>
      </c>
      <c r="G90" s="196" t="s">
        <v>120</v>
      </c>
      <c r="H90" s="196" t="s">
        <v>145</v>
      </c>
      <c r="I90" s="66"/>
      <c r="J90" s="233">
        <f t="shared" si="4"/>
        <v>0</v>
      </c>
      <c r="K90" s="234"/>
      <c r="L90" s="329"/>
      <c r="M90" s="329"/>
      <c r="N90" s="329"/>
      <c r="O90" s="329">
        <v>0</v>
      </c>
      <c r="P90" s="329">
        <v>0</v>
      </c>
      <c r="Q90" s="329">
        <v>0</v>
      </c>
      <c r="R90" s="329">
        <v>0</v>
      </c>
      <c r="S90" s="329">
        <v>0</v>
      </c>
    </row>
    <row r="91" spans="5:19" x14ac:dyDescent="0.25">
      <c r="F91" s="196" t="s">
        <v>940</v>
      </c>
      <c r="G91" s="196" t="s">
        <v>120</v>
      </c>
      <c r="H91" s="196" t="s">
        <v>145</v>
      </c>
      <c r="I91" s="66"/>
      <c r="J91" s="233">
        <f t="shared" si="4"/>
        <v>5938.0182101575592</v>
      </c>
      <c r="K91" s="234"/>
      <c r="L91" s="329"/>
      <c r="M91" s="329"/>
      <c r="N91" s="329"/>
      <c r="O91" s="329">
        <v>5938.0182101575592</v>
      </c>
      <c r="P91" s="329">
        <v>5938.0182101575592</v>
      </c>
      <c r="Q91" s="329">
        <v>5938.0182101575592</v>
      </c>
      <c r="R91" s="329">
        <v>5938.0182101575592</v>
      </c>
      <c r="S91" s="329">
        <v>5938.0182101575592</v>
      </c>
    </row>
    <row r="92" spans="5:19" x14ac:dyDescent="0.25">
      <c r="F92" s="196" t="s">
        <v>941</v>
      </c>
      <c r="G92" s="196" t="s">
        <v>120</v>
      </c>
      <c r="H92" s="196" t="s">
        <v>145</v>
      </c>
      <c r="I92" s="66"/>
      <c r="J92" s="233">
        <f t="shared" si="4"/>
        <v>0</v>
      </c>
      <c r="K92" s="234"/>
      <c r="L92" s="329"/>
      <c r="M92" s="329"/>
      <c r="N92" s="329"/>
      <c r="O92" s="329">
        <v>0</v>
      </c>
      <c r="P92" s="329">
        <v>0</v>
      </c>
      <c r="Q92" s="329">
        <v>0</v>
      </c>
      <c r="R92" s="329">
        <v>0</v>
      </c>
      <c r="S92" s="329">
        <v>0</v>
      </c>
    </row>
    <row r="93" spans="5:19" x14ac:dyDescent="0.25">
      <c r="F93" s="196" t="s">
        <v>942</v>
      </c>
      <c r="G93" s="196" t="s">
        <v>120</v>
      </c>
      <c r="H93" s="196" t="s">
        <v>145</v>
      </c>
      <c r="I93" s="66"/>
      <c r="J93" s="233">
        <f t="shared" si="4"/>
        <v>169950.37671525255</v>
      </c>
      <c r="K93" s="234"/>
      <c r="L93" s="329"/>
      <c r="M93" s="329"/>
      <c r="N93" s="329"/>
      <c r="O93" s="329">
        <v>169950.37671525255</v>
      </c>
      <c r="P93" s="329">
        <v>169950.37671525255</v>
      </c>
      <c r="Q93" s="329">
        <v>169950.37671525255</v>
      </c>
      <c r="R93" s="329">
        <v>169950.37671525255</v>
      </c>
      <c r="S93" s="329">
        <v>169950.37671525255</v>
      </c>
    </row>
    <row r="94" spans="5:19" x14ac:dyDescent="0.25">
      <c r="F94" s="93" t="s">
        <v>943</v>
      </c>
      <c r="G94" s="93" t="s">
        <v>120</v>
      </c>
      <c r="H94" s="93" t="s">
        <v>145</v>
      </c>
      <c r="I94" s="145"/>
      <c r="J94" s="235">
        <f t="shared" si="4"/>
        <v>0</v>
      </c>
      <c r="K94" s="236"/>
      <c r="L94" s="330"/>
      <c r="M94" s="330"/>
      <c r="N94" s="330"/>
      <c r="O94" s="330">
        <v>0</v>
      </c>
      <c r="P94" s="330">
        <v>0</v>
      </c>
      <c r="Q94" s="330">
        <v>0</v>
      </c>
      <c r="R94" s="330">
        <v>0</v>
      </c>
      <c r="S94" s="330">
        <v>0</v>
      </c>
    </row>
    <row r="95" spans="5:19" x14ac:dyDescent="0.2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2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25">
      <c r="F97" s="91" t="s">
        <v>928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25">
      <c r="F98" s="196" t="s">
        <v>929</v>
      </c>
      <c r="G98" s="196" t="s">
        <v>120</v>
      </c>
      <c r="H98" s="196" t="s">
        <v>145</v>
      </c>
      <c r="I98" s="66"/>
      <c r="J98" s="233">
        <f t="shared" ref="J98:J103" si="5">CHOOSE(year_selection, L98,M98,N98,O98,P98,Q98,R98,S98)</f>
        <v>11792.873278266205</v>
      </c>
      <c r="K98" s="234"/>
      <c r="L98" s="329"/>
      <c r="M98" s="329"/>
      <c r="N98" s="329"/>
      <c r="O98" s="329">
        <v>11792.873278266205</v>
      </c>
      <c r="P98" s="329">
        <v>11792.873278266205</v>
      </c>
      <c r="Q98" s="329">
        <v>11792.873278266205</v>
      </c>
      <c r="R98" s="329">
        <v>11792.873278266205</v>
      </c>
      <c r="S98" s="329">
        <v>11792.873278266205</v>
      </c>
    </row>
    <row r="99" spans="6:19" x14ac:dyDescent="0.25">
      <c r="F99" s="196" t="s">
        <v>930</v>
      </c>
      <c r="G99" s="196" t="s">
        <v>120</v>
      </c>
      <c r="H99" s="196" t="s">
        <v>145</v>
      </c>
      <c r="I99" s="66"/>
      <c r="J99" s="233">
        <f t="shared" si="5"/>
        <v>0</v>
      </c>
      <c r="K99" s="234"/>
      <c r="L99" s="329"/>
      <c r="M99" s="329"/>
      <c r="N99" s="329"/>
      <c r="O99" s="329">
        <v>0</v>
      </c>
      <c r="P99" s="329">
        <v>0</v>
      </c>
      <c r="Q99" s="329">
        <v>0</v>
      </c>
      <c r="R99" s="329">
        <v>0</v>
      </c>
      <c r="S99" s="329">
        <v>0</v>
      </c>
    </row>
    <row r="100" spans="6:19" x14ac:dyDescent="0.25">
      <c r="F100" s="196" t="s">
        <v>931</v>
      </c>
      <c r="G100" s="196" t="s">
        <v>120</v>
      </c>
      <c r="H100" s="196" t="s">
        <v>145</v>
      </c>
      <c r="I100" s="66"/>
      <c r="J100" s="233">
        <f t="shared" si="5"/>
        <v>3822.6277485878222</v>
      </c>
      <c r="K100" s="234"/>
      <c r="L100" s="329"/>
      <c r="M100" s="329"/>
      <c r="N100" s="329"/>
      <c r="O100" s="329">
        <v>3822.6277485878222</v>
      </c>
      <c r="P100" s="329">
        <v>3822.6277485878222</v>
      </c>
      <c r="Q100" s="329">
        <v>3822.6277485878222</v>
      </c>
      <c r="R100" s="329">
        <v>3822.6277485878222</v>
      </c>
      <c r="S100" s="329">
        <v>3822.6277485878222</v>
      </c>
    </row>
    <row r="101" spans="6:19" x14ac:dyDescent="0.25">
      <c r="F101" s="196" t="s">
        <v>932</v>
      </c>
      <c r="G101" s="196" t="s">
        <v>120</v>
      </c>
      <c r="H101" s="196" t="s">
        <v>145</v>
      </c>
      <c r="I101" s="66"/>
      <c r="J101" s="233">
        <f t="shared" si="5"/>
        <v>0</v>
      </c>
      <c r="K101" s="234"/>
      <c r="L101" s="329"/>
      <c r="M101" s="329"/>
      <c r="N101" s="329"/>
      <c r="O101" s="329">
        <v>0</v>
      </c>
      <c r="P101" s="329">
        <v>0</v>
      </c>
      <c r="Q101" s="329">
        <v>0</v>
      </c>
      <c r="R101" s="329">
        <v>0</v>
      </c>
      <c r="S101" s="329">
        <v>0</v>
      </c>
    </row>
    <row r="102" spans="6:19" x14ac:dyDescent="0.25">
      <c r="F102" s="196" t="s">
        <v>933</v>
      </c>
      <c r="G102" s="196" t="s">
        <v>120</v>
      </c>
      <c r="H102" s="196" t="s">
        <v>145</v>
      </c>
      <c r="I102" s="66"/>
      <c r="J102" s="233">
        <f t="shared" si="5"/>
        <v>0</v>
      </c>
      <c r="K102" s="234"/>
      <c r="L102" s="329"/>
      <c r="M102" s="329"/>
      <c r="N102" s="329"/>
      <c r="O102" s="329">
        <v>0</v>
      </c>
      <c r="P102" s="329">
        <v>0</v>
      </c>
      <c r="Q102" s="329">
        <v>0</v>
      </c>
      <c r="R102" s="329">
        <v>0</v>
      </c>
      <c r="S102" s="329">
        <v>0</v>
      </c>
    </row>
    <row r="103" spans="6:19" x14ac:dyDescent="0.25">
      <c r="F103" s="196" t="s">
        <v>934</v>
      </c>
      <c r="G103" s="196" t="s">
        <v>120</v>
      </c>
      <c r="H103" s="196" t="s">
        <v>145</v>
      </c>
      <c r="I103" s="66"/>
      <c r="J103" s="233">
        <f t="shared" si="5"/>
        <v>0</v>
      </c>
      <c r="K103" s="234"/>
      <c r="L103" s="329"/>
      <c r="M103" s="329"/>
      <c r="N103" s="329"/>
      <c r="O103" s="329">
        <v>0</v>
      </c>
      <c r="P103" s="329">
        <v>0</v>
      </c>
      <c r="Q103" s="329">
        <v>0</v>
      </c>
      <c r="R103" s="329">
        <v>0</v>
      </c>
      <c r="S103" s="329">
        <v>0</v>
      </c>
    </row>
    <row r="104" spans="6:19" x14ac:dyDescent="0.25">
      <c r="F104" s="196" t="s">
        <v>935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25">
      <c r="F105" s="196" t="s">
        <v>936</v>
      </c>
      <c r="G105" s="196" t="s">
        <v>120</v>
      </c>
      <c r="H105" s="196" t="s">
        <v>145</v>
      </c>
      <c r="I105" s="66"/>
      <c r="J105" s="233">
        <f t="shared" ref="J105:J112" si="6">CHOOSE(year_selection, L105,M105,N105,O105,P105,Q105,R105,S105)</f>
        <v>734.62430353180275</v>
      </c>
      <c r="K105" s="234"/>
      <c r="L105" s="329"/>
      <c r="M105" s="329"/>
      <c r="N105" s="329"/>
      <c r="O105" s="329">
        <v>734.62430353180275</v>
      </c>
      <c r="P105" s="329">
        <v>734.62430353180275</v>
      </c>
      <c r="Q105" s="329">
        <v>734.62430353180275</v>
      </c>
      <c r="R105" s="329">
        <v>734.62430353180275</v>
      </c>
      <c r="S105" s="329">
        <v>734.62430353180275</v>
      </c>
    </row>
    <row r="106" spans="6:19" x14ac:dyDescent="0.25">
      <c r="F106" s="196" t="s">
        <v>937</v>
      </c>
      <c r="G106" s="196" t="s">
        <v>120</v>
      </c>
      <c r="H106" s="196" t="s">
        <v>145</v>
      </c>
      <c r="I106" s="66"/>
      <c r="J106" s="233">
        <f t="shared" si="6"/>
        <v>112.33780697547499</v>
      </c>
      <c r="K106" s="234"/>
      <c r="L106" s="329"/>
      <c r="M106" s="329"/>
      <c r="N106" s="329"/>
      <c r="O106" s="329">
        <v>112.33780697547499</v>
      </c>
      <c r="P106" s="329">
        <v>112.33780697547499</v>
      </c>
      <c r="Q106" s="329">
        <v>112.33780697547499</v>
      </c>
      <c r="R106" s="329">
        <v>112.33780697547499</v>
      </c>
      <c r="S106" s="329">
        <v>112.33780697547499</v>
      </c>
    </row>
    <row r="107" spans="6:19" x14ac:dyDescent="0.25">
      <c r="F107" s="196" t="s">
        <v>938</v>
      </c>
      <c r="G107" s="196" t="s">
        <v>120</v>
      </c>
      <c r="H107" s="196" t="s">
        <v>145</v>
      </c>
      <c r="I107" s="66"/>
      <c r="J107" s="233">
        <f t="shared" si="6"/>
        <v>25989.195328374855</v>
      </c>
      <c r="K107" s="234"/>
      <c r="L107" s="329"/>
      <c r="M107" s="329"/>
      <c r="N107" s="329"/>
      <c r="O107" s="329">
        <v>25989.195328374855</v>
      </c>
      <c r="P107" s="329">
        <v>25989.195328374855</v>
      </c>
      <c r="Q107" s="329">
        <v>25989.195328374855</v>
      </c>
      <c r="R107" s="329">
        <v>25989.195328374855</v>
      </c>
      <c r="S107" s="329">
        <v>25989.195328374855</v>
      </c>
    </row>
    <row r="108" spans="6:19" x14ac:dyDescent="0.25">
      <c r="F108" s="196" t="s">
        <v>939</v>
      </c>
      <c r="G108" s="196" t="s">
        <v>120</v>
      </c>
      <c r="H108" s="196" t="s">
        <v>145</v>
      </c>
      <c r="I108" s="66"/>
      <c r="J108" s="233">
        <f t="shared" si="6"/>
        <v>0</v>
      </c>
      <c r="K108" s="234"/>
      <c r="L108" s="329"/>
      <c r="M108" s="329"/>
      <c r="N108" s="329"/>
      <c r="O108" s="329">
        <v>0</v>
      </c>
      <c r="P108" s="329">
        <v>0</v>
      </c>
      <c r="Q108" s="329">
        <v>0</v>
      </c>
      <c r="R108" s="329">
        <v>0</v>
      </c>
      <c r="S108" s="329">
        <v>0</v>
      </c>
    </row>
    <row r="109" spans="6:19" x14ac:dyDescent="0.25">
      <c r="F109" s="196" t="s">
        <v>940</v>
      </c>
      <c r="G109" s="196" t="s">
        <v>120</v>
      </c>
      <c r="H109" s="196" t="s">
        <v>145</v>
      </c>
      <c r="I109" s="66"/>
      <c r="J109" s="233">
        <f t="shared" si="6"/>
        <v>7475.1781511239524</v>
      </c>
      <c r="K109" s="234"/>
      <c r="L109" s="329"/>
      <c r="M109" s="329"/>
      <c r="N109" s="329"/>
      <c r="O109" s="329">
        <v>7475.1781511239524</v>
      </c>
      <c r="P109" s="329">
        <v>7475.1781511239524</v>
      </c>
      <c r="Q109" s="329">
        <v>7475.1781511239524</v>
      </c>
      <c r="R109" s="329">
        <v>7475.1781511239524</v>
      </c>
      <c r="S109" s="329">
        <v>7475.1781511239524</v>
      </c>
    </row>
    <row r="110" spans="6:19" x14ac:dyDescent="0.25">
      <c r="F110" s="196" t="s">
        <v>941</v>
      </c>
      <c r="G110" s="196" t="s">
        <v>120</v>
      </c>
      <c r="H110" s="196" t="s">
        <v>145</v>
      </c>
      <c r="I110" s="66"/>
      <c r="J110" s="233">
        <f t="shared" si="6"/>
        <v>0</v>
      </c>
      <c r="K110" s="234"/>
      <c r="L110" s="329"/>
      <c r="M110" s="329"/>
      <c r="N110" s="329"/>
      <c r="O110" s="329">
        <v>0</v>
      </c>
      <c r="P110" s="329">
        <v>0</v>
      </c>
      <c r="Q110" s="329">
        <v>0</v>
      </c>
      <c r="R110" s="329">
        <v>0</v>
      </c>
      <c r="S110" s="329">
        <v>0</v>
      </c>
    </row>
    <row r="111" spans="6:19" x14ac:dyDescent="0.25">
      <c r="F111" s="196" t="s">
        <v>942</v>
      </c>
      <c r="G111" s="196" t="s">
        <v>120</v>
      </c>
      <c r="H111" s="196" t="s">
        <v>145</v>
      </c>
      <c r="I111" s="66"/>
      <c r="J111" s="233">
        <f t="shared" si="6"/>
        <v>176946.04662843214</v>
      </c>
      <c r="K111" s="234"/>
      <c r="L111" s="329"/>
      <c r="M111" s="329"/>
      <c r="N111" s="329"/>
      <c r="O111" s="329">
        <v>176946.04662843214</v>
      </c>
      <c r="P111" s="329">
        <v>176946.04662843214</v>
      </c>
      <c r="Q111" s="329">
        <v>176946.04662843214</v>
      </c>
      <c r="R111" s="329">
        <v>176946.04662843214</v>
      </c>
      <c r="S111" s="329">
        <v>176946.04662843214</v>
      </c>
    </row>
    <row r="112" spans="6:19" x14ac:dyDescent="0.25">
      <c r="F112" s="93" t="s">
        <v>943</v>
      </c>
      <c r="G112" s="93" t="s">
        <v>120</v>
      </c>
      <c r="H112" s="93" t="s">
        <v>145</v>
      </c>
      <c r="I112" s="145"/>
      <c r="J112" s="235">
        <f t="shared" si="6"/>
        <v>0</v>
      </c>
      <c r="K112" s="236"/>
      <c r="L112" s="330"/>
      <c r="M112" s="330"/>
      <c r="N112" s="330"/>
      <c r="O112" s="330">
        <v>0</v>
      </c>
      <c r="P112" s="330">
        <v>0</v>
      </c>
      <c r="Q112" s="330">
        <v>0</v>
      </c>
      <c r="R112" s="330">
        <v>0</v>
      </c>
      <c r="S112" s="330">
        <v>0</v>
      </c>
    </row>
    <row r="113" spans="5:19" x14ac:dyDescent="0.2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2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25">
      <c r="F115" s="91" t="s">
        <v>928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25">
      <c r="F116" s="196" t="s">
        <v>929</v>
      </c>
      <c r="G116" s="196" t="s">
        <v>74</v>
      </c>
      <c r="H116" s="196" t="s">
        <v>145</v>
      </c>
      <c r="I116" s="66"/>
      <c r="J116" s="233">
        <f t="shared" ref="J116:J121" si="7">CHOOSE(year_selection, L116,M116,N116,O116,P116,Q116,R116,S116)</f>
        <v>3156</v>
      </c>
      <c r="K116" s="234"/>
      <c r="L116" s="329"/>
      <c r="M116" s="329"/>
      <c r="N116" s="329"/>
      <c r="O116" s="329">
        <v>3156</v>
      </c>
      <c r="P116" s="329">
        <v>3156</v>
      </c>
      <c r="Q116" s="329">
        <v>3156</v>
      </c>
      <c r="R116" s="329">
        <v>3156</v>
      </c>
      <c r="S116" s="329">
        <v>3156</v>
      </c>
    </row>
    <row r="117" spans="5:19" x14ac:dyDescent="0.25">
      <c r="F117" s="196" t="s">
        <v>930</v>
      </c>
      <c r="G117" s="196" t="s">
        <v>74</v>
      </c>
      <c r="H117" s="196" t="s">
        <v>145</v>
      </c>
      <c r="I117" s="66"/>
      <c r="J117" s="233">
        <f t="shared" si="7"/>
        <v>0</v>
      </c>
      <c r="K117" s="234"/>
      <c r="L117" s="329"/>
      <c r="M117" s="329"/>
      <c r="N117" s="329"/>
      <c r="O117" s="329">
        <v>0</v>
      </c>
      <c r="P117" s="329">
        <v>0</v>
      </c>
      <c r="Q117" s="329">
        <v>0</v>
      </c>
      <c r="R117" s="329">
        <v>0</v>
      </c>
      <c r="S117" s="329">
        <v>0</v>
      </c>
    </row>
    <row r="118" spans="5:19" x14ac:dyDescent="0.25">
      <c r="F118" s="196" t="s">
        <v>931</v>
      </c>
      <c r="G118" s="196" t="s">
        <v>74</v>
      </c>
      <c r="H118" s="196" t="s">
        <v>145</v>
      </c>
      <c r="I118" s="66"/>
      <c r="J118" s="233">
        <f t="shared" si="7"/>
        <v>997</v>
      </c>
      <c r="K118" s="234"/>
      <c r="L118" s="329"/>
      <c r="M118" s="329"/>
      <c r="N118" s="329"/>
      <c r="O118" s="329">
        <v>997</v>
      </c>
      <c r="P118" s="329">
        <v>997</v>
      </c>
      <c r="Q118" s="329">
        <v>997</v>
      </c>
      <c r="R118" s="329">
        <v>997</v>
      </c>
      <c r="S118" s="329">
        <v>997</v>
      </c>
    </row>
    <row r="119" spans="5:19" x14ac:dyDescent="0.25">
      <c r="F119" s="196" t="s">
        <v>932</v>
      </c>
      <c r="G119" s="196" t="s">
        <v>74</v>
      </c>
      <c r="H119" s="196" t="s">
        <v>145</v>
      </c>
      <c r="I119" s="66"/>
      <c r="J119" s="233">
        <f t="shared" si="7"/>
        <v>0</v>
      </c>
      <c r="K119" s="234"/>
      <c r="L119" s="329"/>
      <c r="M119" s="329"/>
      <c r="N119" s="329"/>
      <c r="O119" s="329">
        <v>0</v>
      </c>
      <c r="P119" s="329">
        <v>0</v>
      </c>
      <c r="Q119" s="329">
        <v>0</v>
      </c>
      <c r="R119" s="329">
        <v>0</v>
      </c>
      <c r="S119" s="329">
        <v>0</v>
      </c>
    </row>
    <row r="120" spans="5:19" x14ac:dyDescent="0.25">
      <c r="F120" s="196" t="s">
        <v>933</v>
      </c>
      <c r="G120" s="196" t="s">
        <v>74</v>
      </c>
      <c r="H120" s="196" t="s">
        <v>145</v>
      </c>
      <c r="I120" s="66"/>
      <c r="J120" s="233">
        <f t="shared" si="7"/>
        <v>0</v>
      </c>
      <c r="K120" s="234"/>
      <c r="L120" s="329"/>
      <c r="M120" s="329"/>
      <c r="N120" s="329"/>
      <c r="O120" s="329">
        <v>0</v>
      </c>
      <c r="P120" s="329">
        <v>0</v>
      </c>
      <c r="Q120" s="329">
        <v>0</v>
      </c>
      <c r="R120" s="329">
        <v>0</v>
      </c>
      <c r="S120" s="329">
        <v>0</v>
      </c>
    </row>
    <row r="121" spans="5:19" x14ac:dyDescent="0.25">
      <c r="F121" s="196" t="s">
        <v>934</v>
      </c>
      <c r="G121" s="196" t="s">
        <v>74</v>
      </c>
      <c r="H121" s="196" t="s">
        <v>145</v>
      </c>
      <c r="I121" s="66"/>
      <c r="J121" s="233">
        <f t="shared" si="7"/>
        <v>0</v>
      </c>
      <c r="K121" s="234"/>
      <c r="L121" s="329"/>
      <c r="M121" s="329"/>
      <c r="N121" s="329"/>
      <c r="O121" s="329">
        <v>0</v>
      </c>
      <c r="P121" s="329">
        <v>0</v>
      </c>
      <c r="Q121" s="329">
        <v>0</v>
      </c>
      <c r="R121" s="329">
        <v>0</v>
      </c>
      <c r="S121" s="329">
        <v>0</v>
      </c>
    </row>
    <row r="122" spans="5:19" x14ac:dyDescent="0.25">
      <c r="F122" s="196" t="s">
        <v>935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25">
      <c r="F123" s="196" t="s">
        <v>936</v>
      </c>
      <c r="G123" s="196" t="s">
        <v>74</v>
      </c>
      <c r="H123" s="196" t="s">
        <v>145</v>
      </c>
      <c r="I123" s="66"/>
      <c r="J123" s="233">
        <f t="shared" ref="J123:J130" si="8">CHOOSE(year_selection, L123,M123,N123,O123,P123,Q123,R123,S123)</f>
        <v>283</v>
      </c>
      <c r="K123" s="234"/>
      <c r="L123" s="329"/>
      <c r="M123" s="329"/>
      <c r="N123" s="329"/>
      <c r="O123" s="329">
        <v>283</v>
      </c>
      <c r="P123" s="329">
        <v>283</v>
      </c>
      <c r="Q123" s="329">
        <v>283</v>
      </c>
      <c r="R123" s="329">
        <v>283</v>
      </c>
      <c r="S123" s="329">
        <v>283</v>
      </c>
    </row>
    <row r="124" spans="5:19" x14ac:dyDescent="0.25">
      <c r="F124" s="196" t="s">
        <v>937</v>
      </c>
      <c r="G124" s="196" t="s">
        <v>74</v>
      </c>
      <c r="H124" s="196" t="s">
        <v>145</v>
      </c>
      <c r="I124" s="66"/>
      <c r="J124" s="233">
        <f t="shared" si="8"/>
        <v>25</v>
      </c>
      <c r="K124" s="234"/>
      <c r="L124" s="329"/>
      <c r="M124" s="329"/>
      <c r="N124" s="329"/>
      <c r="O124" s="329">
        <v>25</v>
      </c>
      <c r="P124" s="329">
        <v>25</v>
      </c>
      <c r="Q124" s="329">
        <v>25</v>
      </c>
      <c r="R124" s="329">
        <v>25</v>
      </c>
      <c r="S124" s="329">
        <v>25</v>
      </c>
    </row>
    <row r="125" spans="5:19" x14ac:dyDescent="0.25">
      <c r="F125" s="196" t="s">
        <v>938</v>
      </c>
      <c r="G125" s="196" t="s">
        <v>74</v>
      </c>
      <c r="H125" s="196" t="s">
        <v>145</v>
      </c>
      <c r="I125" s="66"/>
      <c r="J125" s="233">
        <f t="shared" si="8"/>
        <v>317</v>
      </c>
      <c r="K125" s="234"/>
      <c r="L125" s="329"/>
      <c r="M125" s="329"/>
      <c r="N125" s="329"/>
      <c r="O125" s="329">
        <v>317</v>
      </c>
      <c r="P125" s="329">
        <v>317</v>
      </c>
      <c r="Q125" s="329">
        <v>317</v>
      </c>
      <c r="R125" s="329">
        <v>317</v>
      </c>
      <c r="S125" s="329">
        <v>317</v>
      </c>
    </row>
    <row r="126" spans="5:19" x14ac:dyDescent="0.25">
      <c r="F126" s="196" t="s">
        <v>939</v>
      </c>
      <c r="G126" s="196" t="s">
        <v>74</v>
      </c>
      <c r="H126" s="196" t="s">
        <v>145</v>
      </c>
      <c r="I126" s="66"/>
      <c r="J126" s="233">
        <f t="shared" si="8"/>
        <v>0</v>
      </c>
      <c r="K126" s="234"/>
      <c r="L126" s="329"/>
      <c r="M126" s="329"/>
      <c r="N126" s="329"/>
      <c r="O126" s="329">
        <v>0</v>
      </c>
      <c r="P126" s="329">
        <v>0</v>
      </c>
      <c r="Q126" s="329">
        <v>0</v>
      </c>
      <c r="R126" s="329">
        <v>0</v>
      </c>
      <c r="S126" s="329">
        <v>0</v>
      </c>
    </row>
    <row r="127" spans="5:19" x14ac:dyDescent="0.25">
      <c r="F127" s="196" t="s">
        <v>940</v>
      </c>
      <c r="G127" s="196" t="s">
        <v>74</v>
      </c>
      <c r="H127" s="196" t="s">
        <v>145</v>
      </c>
      <c r="I127" s="66"/>
      <c r="J127" s="233">
        <f t="shared" si="8"/>
        <v>41</v>
      </c>
      <c r="K127" s="234"/>
      <c r="L127" s="329"/>
      <c r="M127" s="329"/>
      <c r="N127" s="329"/>
      <c r="O127" s="329">
        <v>41</v>
      </c>
      <c r="P127" s="329">
        <v>41</v>
      </c>
      <c r="Q127" s="329">
        <v>41</v>
      </c>
      <c r="R127" s="329">
        <v>41</v>
      </c>
      <c r="S127" s="329">
        <v>41</v>
      </c>
    </row>
    <row r="128" spans="5:19" x14ac:dyDescent="0.25">
      <c r="F128" s="196" t="s">
        <v>941</v>
      </c>
      <c r="G128" s="196" t="s">
        <v>74</v>
      </c>
      <c r="H128" s="196" t="s">
        <v>145</v>
      </c>
      <c r="I128" s="66"/>
      <c r="J128" s="233">
        <f t="shared" si="8"/>
        <v>0</v>
      </c>
      <c r="K128" s="234"/>
      <c r="L128" s="329"/>
      <c r="M128" s="329"/>
      <c r="N128" s="329"/>
      <c r="O128" s="329">
        <v>0</v>
      </c>
      <c r="P128" s="329">
        <v>0</v>
      </c>
      <c r="Q128" s="329">
        <v>0</v>
      </c>
      <c r="R128" s="329">
        <v>0</v>
      </c>
      <c r="S128" s="329">
        <v>0</v>
      </c>
    </row>
    <row r="129" spans="5:19" x14ac:dyDescent="0.25">
      <c r="F129" s="196" t="s">
        <v>942</v>
      </c>
      <c r="G129" s="196" t="s">
        <v>74</v>
      </c>
      <c r="H129" s="196" t="s">
        <v>145</v>
      </c>
      <c r="I129" s="66"/>
      <c r="J129" s="233">
        <f t="shared" si="8"/>
        <v>138</v>
      </c>
      <c r="K129" s="234"/>
      <c r="L129" s="329"/>
      <c r="M129" s="329"/>
      <c r="N129" s="329"/>
      <c r="O129" s="329">
        <v>138</v>
      </c>
      <c r="P129" s="329">
        <v>138</v>
      </c>
      <c r="Q129" s="329">
        <v>138</v>
      </c>
      <c r="R129" s="329">
        <v>138</v>
      </c>
      <c r="S129" s="329">
        <v>138</v>
      </c>
    </row>
    <row r="130" spans="5:19" x14ac:dyDescent="0.25">
      <c r="F130" s="93" t="s">
        <v>943</v>
      </c>
      <c r="G130" s="93" t="s">
        <v>74</v>
      </c>
      <c r="H130" s="93" t="s">
        <v>145</v>
      </c>
      <c r="I130" s="145"/>
      <c r="J130" s="235">
        <f t="shared" si="8"/>
        <v>0</v>
      </c>
      <c r="K130" s="236"/>
      <c r="L130" s="330"/>
      <c r="M130" s="330"/>
      <c r="N130" s="330"/>
      <c r="O130" s="330">
        <v>0</v>
      </c>
      <c r="P130" s="330">
        <v>0</v>
      </c>
      <c r="Q130" s="330">
        <v>0</v>
      </c>
      <c r="R130" s="330">
        <v>0</v>
      </c>
      <c r="S130" s="330">
        <v>0</v>
      </c>
    </row>
    <row r="131" spans="5:19" x14ac:dyDescent="0.2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2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25">
      <c r="F133" s="91" t="s">
        <v>928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25">
      <c r="F134" s="196" t="s">
        <v>929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25">
      <c r="F135" s="196" t="s">
        <v>930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25">
      <c r="F136" s="196" t="s">
        <v>931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25">
      <c r="F137" s="196" t="s">
        <v>932</v>
      </c>
      <c r="G137" s="196" t="s">
        <v>169</v>
      </c>
      <c r="H137" s="196" t="s">
        <v>145</v>
      </c>
      <c r="I137" s="66"/>
      <c r="J137" s="233">
        <f t="shared" ref="J137:J139" si="9">CHOOSE(year_selection, L137,M137,N137,O137,P137,Q137,R137,S137)</f>
        <v>0</v>
      </c>
      <c r="K137" s="234"/>
      <c r="L137" s="329"/>
      <c r="M137" s="329"/>
      <c r="N137" s="329"/>
      <c r="O137" s="329">
        <v>0</v>
      </c>
      <c r="P137" s="329">
        <v>0</v>
      </c>
      <c r="Q137" s="329">
        <v>0</v>
      </c>
      <c r="R137" s="329">
        <v>0</v>
      </c>
      <c r="S137" s="329">
        <v>0</v>
      </c>
    </row>
    <row r="138" spans="5:19" x14ac:dyDescent="0.25">
      <c r="F138" s="196" t="s">
        <v>933</v>
      </c>
      <c r="G138" s="196" t="s">
        <v>169</v>
      </c>
      <c r="H138" s="196" t="s">
        <v>145</v>
      </c>
      <c r="I138" s="66"/>
      <c r="J138" s="233">
        <f t="shared" si="9"/>
        <v>0</v>
      </c>
      <c r="K138" s="234"/>
      <c r="L138" s="329"/>
      <c r="M138" s="329"/>
      <c r="N138" s="329"/>
      <c r="O138" s="329">
        <v>0</v>
      </c>
      <c r="P138" s="329">
        <v>0</v>
      </c>
      <c r="Q138" s="329">
        <v>0</v>
      </c>
      <c r="R138" s="329">
        <v>0</v>
      </c>
      <c r="S138" s="329">
        <v>0</v>
      </c>
    </row>
    <row r="139" spans="5:19" x14ac:dyDescent="0.25">
      <c r="F139" s="196" t="s">
        <v>934</v>
      </c>
      <c r="G139" s="196" t="s">
        <v>169</v>
      </c>
      <c r="H139" s="196" t="s">
        <v>145</v>
      </c>
      <c r="I139" s="66"/>
      <c r="J139" s="233">
        <f t="shared" si="9"/>
        <v>0</v>
      </c>
      <c r="K139" s="234"/>
      <c r="L139" s="329"/>
      <c r="M139" s="329"/>
      <c r="N139" s="329"/>
      <c r="O139" s="329">
        <v>0</v>
      </c>
      <c r="P139" s="329">
        <v>0</v>
      </c>
      <c r="Q139" s="329">
        <v>0</v>
      </c>
      <c r="R139" s="329">
        <v>0</v>
      </c>
      <c r="S139" s="329">
        <v>0</v>
      </c>
    </row>
    <row r="140" spans="5:19" x14ac:dyDescent="0.25">
      <c r="F140" s="196" t="s">
        <v>935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25">
      <c r="F141" s="196" t="s">
        <v>936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25">
      <c r="F142" s="196" t="s">
        <v>937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25">
      <c r="F143" s="196" t="s">
        <v>938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25">
      <c r="F144" s="196" t="s">
        <v>939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25">
      <c r="F145" s="196" t="s">
        <v>940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25">
      <c r="F146" s="196" t="s">
        <v>941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25">
      <c r="F147" s="196" t="s">
        <v>942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25">
      <c r="F148" s="93" t="s">
        <v>943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2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2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25">
      <c r="F151" s="91" t="s">
        <v>928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25">
      <c r="F152" s="196" t="s">
        <v>929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25">
      <c r="F153" s="196" t="s">
        <v>930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25">
      <c r="F154" s="196" t="s">
        <v>931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25">
      <c r="F155" s="196" t="s">
        <v>932</v>
      </c>
      <c r="G155" s="196" t="s">
        <v>169</v>
      </c>
      <c r="H155" s="196" t="s">
        <v>145</v>
      </c>
      <c r="I155" s="66"/>
      <c r="J155" s="233">
        <f t="shared" ref="J155:J157" si="10">CHOOSE(year_selection, L155,M155,N155,O155,P155,Q155,R155,S155)</f>
        <v>0</v>
      </c>
      <c r="K155" s="234"/>
      <c r="L155" s="329"/>
      <c r="M155" s="329"/>
      <c r="N155" s="329"/>
      <c r="O155" s="329">
        <v>0</v>
      </c>
      <c r="P155" s="329">
        <v>0</v>
      </c>
      <c r="Q155" s="329">
        <v>0</v>
      </c>
      <c r="R155" s="329">
        <v>0</v>
      </c>
      <c r="S155" s="329">
        <v>0</v>
      </c>
    </row>
    <row r="156" spans="5:19" x14ac:dyDescent="0.25">
      <c r="F156" s="196" t="s">
        <v>933</v>
      </c>
      <c r="G156" s="196" t="s">
        <v>169</v>
      </c>
      <c r="H156" s="196" t="s">
        <v>145</v>
      </c>
      <c r="I156" s="66"/>
      <c r="J156" s="233">
        <f t="shared" si="10"/>
        <v>0</v>
      </c>
      <c r="K156" s="234"/>
      <c r="L156" s="329"/>
      <c r="M156" s="329"/>
      <c r="N156" s="329"/>
      <c r="O156" s="329">
        <v>0</v>
      </c>
      <c r="P156" s="329">
        <v>0</v>
      </c>
      <c r="Q156" s="329">
        <v>0</v>
      </c>
      <c r="R156" s="329">
        <v>0</v>
      </c>
      <c r="S156" s="329">
        <v>0</v>
      </c>
    </row>
    <row r="157" spans="5:19" x14ac:dyDescent="0.25">
      <c r="F157" s="196" t="s">
        <v>934</v>
      </c>
      <c r="G157" s="196" t="s">
        <v>169</v>
      </c>
      <c r="H157" s="196" t="s">
        <v>145</v>
      </c>
      <c r="I157" s="66"/>
      <c r="J157" s="233">
        <f t="shared" si="10"/>
        <v>0</v>
      </c>
      <c r="K157" s="234"/>
      <c r="L157" s="329"/>
      <c r="M157" s="329"/>
      <c r="N157" s="329"/>
      <c r="O157" s="329">
        <v>0</v>
      </c>
      <c r="P157" s="329">
        <v>0</v>
      </c>
      <c r="Q157" s="329">
        <v>0</v>
      </c>
      <c r="R157" s="329">
        <v>0</v>
      </c>
      <c r="S157" s="329">
        <v>0</v>
      </c>
    </row>
    <row r="158" spans="5:19" x14ac:dyDescent="0.25">
      <c r="F158" s="196" t="s">
        <v>935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25">
      <c r="F159" s="196" t="s">
        <v>936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25">
      <c r="F160" s="196" t="s">
        <v>937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25">
      <c r="F161" s="196" t="s">
        <v>938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25">
      <c r="F162" s="196" t="s">
        <v>939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25">
      <c r="F163" s="196" t="s">
        <v>940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25">
      <c r="F164" s="196" t="s">
        <v>941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25">
      <c r="F165" s="196" t="s">
        <v>942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25">
      <c r="F166" s="93" t="s">
        <v>943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2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2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25">
      <c r="F169" s="91" t="s">
        <v>928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25">
      <c r="F170" s="196" t="s">
        <v>929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25">
      <c r="F171" s="196" t="s">
        <v>930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25">
      <c r="F172" s="196" t="s">
        <v>931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25">
      <c r="F173" s="196" t="s">
        <v>932</v>
      </c>
      <c r="G173" s="196" t="s">
        <v>170</v>
      </c>
      <c r="H173" s="196" t="s">
        <v>145</v>
      </c>
      <c r="I173" s="66"/>
      <c r="J173" s="233">
        <f t="shared" ref="J173:J175" si="11">CHOOSE(year_selection, L173,M173,N173,O173,P173,Q173,R173,S173)</f>
        <v>0</v>
      </c>
      <c r="K173" s="234"/>
      <c r="L173" s="329"/>
      <c r="M173" s="329"/>
      <c r="N173" s="329"/>
      <c r="O173" s="329">
        <v>0</v>
      </c>
      <c r="P173" s="329">
        <v>0</v>
      </c>
      <c r="Q173" s="329">
        <v>0</v>
      </c>
      <c r="R173" s="329">
        <v>0</v>
      </c>
      <c r="S173" s="329">
        <v>0</v>
      </c>
    </row>
    <row r="174" spans="5:19" x14ac:dyDescent="0.25">
      <c r="F174" s="196" t="s">
        <v>933</v>
      </c>
      <c r="G174" s="196" t="s">
        <v>170</v>
      </c>
      <c r="H174" s="196" t="s">
        <v>145</v>
      </c>
      <c r="I174" s="66"/>
      <c r="J174" s="233">
        <f t="shared" si="11"/>
        <v>0</v>
      </c>
      <c r="K174" s="234"/>
      <c r="L174" s="329"/>
      <c r="M174" s="329"/>
      <c r="N174" s="329"/>
      <c r="O174" s="329">
        <v>0</v>
      </c>
      <c r="P174" s="329">
        <v>0</v>
      </c>
      <c r="Q174" s="329">
        <v>0</v>
      </c>
      <c r="R174" s="329">
        <v>0</v>
      </c>
      <c r="S174" s="329">
        <v>0</v>
      </c>
    </row>
    <row r="175" spans="5:19" x14ac:dyDescent="0.25">
      <c r="F175" s="196" t="s">
        <v>934</v>
      </c>
      <c r="G175" s="196" t="s">
        <v>170</v>
      </c>
      <c r="H175" s="196" t="s">
        <v>145</v>
      </c>
      <c r="I175" s="66"/>
      <c r="J175" s="233">
        <f t="shared" si="11"/>
        <v>0</v>
      </c>
      <c r="K175" s="234"/>
      <c r="L175" s="329"/>
      <c r="M175" s="329"/>
      <c r="N175" s="329"/>
      <c r="O175" s="329">
        <v>0</v>
      </c>
      <c r="P175" s="329">
        <v>0</v>
      </c>
      <c r="Q175" s="329">
        <v>0</v>
      </c>
      <c r="R175" s="329">
        <v>0</v>
      </c>
      <c r="S175" s="329">
        <v>0</v>
      </c>
    </row>
    <row r="176" spans="5:19" x14ac:dyDescent="0.25">
      <c r="F176" s="196" t="s">
        <v>935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25">
      <c r="F177" s="196" t="s">
        <v>936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25">
      <c r="F178" s="196" t="s">
        <v>937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25">
      <c r="F179" s="196" t="s">
        <v>938</v>
      </c>
      <c r="G179" s="196" t="s">
        <v>170</v>
      </c>
      <c r="H179" s="196" t="s">
        <v>145</v>
      </c>
      <c r="I179" s="66"/>
      <c r="J179" s="233">
        <f t="shared" ref="J179" si="12">CHOOSE(year_selection, L179,M179,N179,O179,P179,Q179,R179,S179)</f>
        <v>4390.8</v>
      </c>
      <c r="K179" s="234"/>
      <c r="L179" s="329"/>
      <c r="M179" s="329"/>
      <c r="N179" s="329"/>
      <c r="O179" s="329">
        <v>4390.8</v>
      </c>
      <c r="P179" s="329">
        <v>4390.8</v>
      </c>
      <c r="Q179" s="329">
        <v>4390.8</v>
      </c>
      <c r="R179" s="329">
        <v>4390.8</v>
      </c>
      <c r="S179" s="329">
        <v>4390.8</v>
      </c>
    </row>
    <row r="180" spans="3:21" x14ac:dyDescent="0.25">
      <c r="F180" s="196" t="s">
        <v>939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25">
      <c r="F181" s="196" t="s">
        <v>940</v>
      </c>
      <c r="G181" s="196" t="s">
        <v>170</v>
      </c>
      <c r="H181" s="196" t="s">
        <v>145</v>
      </c>
      <c r="I181" s="66"/>
      <c r="J181" s="233">
        <f t="shared" ref="J181" si="13">CHOOSE(year_selection, L181,M181,N181,O181,P181,Q181,R181,S181)</f>
        <v>172.2</v>
      </c>
      <c r="K181" s="234"/>
      <c r="L181" s="329"/>
      <c r="M181" s="329"/>
      <c r="N181" s="329"/>
      <c r="O181" s="329">
        <v>172.2</v>
      </c>
      <c r="P181" s="329">
        <v>172.2</v>
      </c>
      <c r="Q181" s="329">
        <v>172.2</v>
      </c>
      <c r="R181" s="329">
        <v>172.2</v>
      </c>
      <c r="S181" s="329">
        <v>172.2</v>
      </c>
    </row>
    <row r="182" spans="3:21" x14ac:dyDescent="0.25">
      <c r="F182" s="196" t="s">
        <v>941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25">
      <c r="F183" s="196" t="s">
        <v>942</v>
      </c>
      <c r="G183" s="196" t="s">
        <v>170</v>
      </c>
      <c r="H183" s="196" t="s">
        <v>145</v>
      </c>
      <c r="I183" s="66"/>
      <c r="J183" s="233">
        <f t="shared" ref="J183" si="14">CHOOSE(year_selection, L183,M183,N183,O183,P183,Q183,R183,S183)</f>
        <v>7419.6</v>
      </c>
      <c r="K183" s="234"/>
      <c r="L183" s="329"/>
      <c r="M183" s="329"/>
      <c r="N183" s="329"/>
      <c r="O183" s="329">
        <v>7419.6</v>
      </c>
      <c r="P183" s="329">
        <v>7419.6</v>
      </c>
      <c r="Q183" s="329">
        <v>7419.6</v>
      </c>
      <c r="R183" s="329">
        <v>7419.6</v>
      </c>
      <c r="S183" s="329">
        <v>7419.6</v>
      </c>
    </row>
    <row r="184" spans="3:21" x14ac:dyDescent="0.25">
      <c r="F184" s="93" t="s">
        <v>943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2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25">
      <c r="C186" s="7" t="str">
        <f ca="1">INDEX('Version control'!$H$34:$H$60,MATCH($A$1,'Version control'!$F$34:$F$60,0),1)&amp;"-D: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25">
      <c r="C187" s="96"/>
      <c r="I187" s="111"/>
    </row>
    <row r="188" spans="3:21" s="293" customFormat="1" x14ac:dyDescent="0.25">
      <c r="E188" s="144" t="s">
        <v>199</v>
      </c>
      <c r="I188" s="111" t="s">
        <v>359</v>
      </c>
      <c r="U188" s="293" t="s">
        <v>692</v>
      </c>
    </row>
    <row r="189" spans="3:21" s="293" customFormat="1" x14ac:dyDescent="0.25">
      <c r="F189" s="91" t="s">
        <v>928</v>
      </c>
      <c r="G189" s="91" t="s">
        <v>120</v>
      </c>
      <c r="H189" s="91" t="s">
        <v>145</v>
      </c>
      <c r="I189" s="112"/>
      <c r="J189" s="231">
        <f t="shared" ref="J189:J196" si="15">CHOOSE(year_selection, L189,M189,N189,O189,P189,Q189,R189,S189)</f>
        <v>645101.52351777873</v>
      </c>
      <c r="K189" s="232"/>
      <c r="L189" s="328"/>
      <c r="M189" s="328"/>
      <c r="N189" s="328"/>
      <c r="O189" s="328">
        <v>645101.52351777873</v>
      </c>
      <c r="P189" s="328">
        <v>645101.52351777873</v>
      </c>
      <c r="Q189" s="328">
        <v>645101.52351777873</v>
      </c>
      <c r="R189" s="328">
        <v>645101.52351777873</v>
      </c>
      <c r="S189" s="328">
        <v>645101.52351777873</v>
      </c>
    </row>
    <row r="190" spans="3:21" s="293" customFormat="1" x14ac:dyDescent="0.25">
      <c r="F190" s="196" t="s">
        <v>929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25">
      <c r="F191" s="196" t="s">
        <v>930</v>
      </c>
      <c r="G191" s="196" t="s">
        <v>120</v>
      </c>
      <c r="H191" s="196" t="s">
        <v>145</v>
      </c>
      <c r="I191" s="66"/>
      <c r="J191" s="233">
        <f t="shared" si="15"/>
        <v>4302.2725458270779</v>
      </c>
      <c r="K191" s="234"/>
      <c r="L191" s="329"/>
      <c r="M191" s="329"/>
      <c r="N191" s="329"/>
      <c r="O191" s="329">
        <v>4302.2725458270779</v>
      </c>
      <c r="P191" s="329">
        <v>4302.2725458270779</v>
      </c>
      <c r="Q191" s="329">
        <v>4302.2725458270779</v>
      </c>
      <c r="R191" s="329">
        <v>4302.2725458270779</v>
      </c>
      <c r="S191" s="329">
        <v>4302.2725458270779</v>
      </c>
    </row>
    <row r="192" spans="3:21" s="293" customFormat="1" x14ac:dyDescent="0.25">
      <c r="F192" s="196" t="s">
        <v>931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25">
      <c r="F193" s="196" t="s">
        <v>932</v>
      </c>
      <c r="G193" s="196" t="s">
        <v>120</v>
      </c>
      <c r="H193" s="196" t="s">
        <v>145</v>
      </c>
      <c r="I193" s="66"/>
      <c r="J193" s="233">
        <f t="shared" si="15"/>
        <v>23229.56627147234</v>
      </c>
      <c r="K193" s="234"/>
      <c r="L193" s="329"/>
      <c r="M193" s="329"/>
      <c r="N193" s="329"/>
      <c r="O193" s="329">
        <v>23229.56627147234</v>
      </c>
      <c r="P193" s="329">
        <v>23229.56627147234</v>
      </c>
      <c r="Q193" s="329">
        <v>23229.56627147234</v>
      </c>
      <c r="R193" s="329">
        <v>23229.56627147234</v>
      </c>
      <c r="S193" s="329">
        <v>23229.56627147234</v>
      </c>
    </row>
    <row r="194" spans="5:19" s="293" customFormat="1" x14ac:dyDescent="0.25">
      <c r="F194" s="196" t="s">
        <v>933</v>
      </c>
      <c r="G194" s="196" t="s">
        <v>120</v>
      </c>
      <c r="H194" s="196" t="s">
        <v>145</v>
      </c>
      <c r="I194" s="66"/>
      <c r="J194" s="233">
        <f t="shared" si="15"/>
        <v>10012.851732523844</v>
      </c>
      <c r="K194" s="234"/>
      <c r="L194" s="329"/>
      <c r="M194" s="329"/>
      <c r="N194" s="329"/>
      <c r="O194" s="329">
        <v>10012.851732523844</v>
      </c>
      <c r="P194" s="329">
        <v>10012.851732523844</v>
      </c>
      <c r="Q194" s="329">
        <v>10012.851732523844</v>
      </c>
      <c r="R194" s="329">
        <v>10012.851732523844</v>
      </c>
      <c r="S194" s="329">
        <v>10012.851732523844</v>
      </c>
    </row>
    <row r="195" spans="5:19" s="293" customFormat="1" x14ac:dyDescent="0.25">
      <c r="F195" s="196" t="s">
        <v>934</v>
      </c>
      <c r="G195" s="196" t="s">
        <v>120</v>
      </c>
      <c r="H195" s="196" t="s">
        <v>145</v>
      </c>
      <c r="I195" s="66"/>
      <c r="J195" s="233">
        <f t="shared" si="15"/>
        <v>13670.707267099029</v>
      </c>
      <c r="K195" s="234"/>
      <c r="L195" s="329"/>
      <c r="M195" s="329"/>
      <c r="N195" s="329"/>
      <c r="O195" s="329">
        <v>13670.707267099029</v>
      </c>
      <c r="P195" s="329">
        <v>13670.707267099029</v>
      </c>
      <c r="Q195" s="329">
        <v>13670.707267099029</v>
      </c>
      <c r="R195" s="329">
        <v>13670.707267099029</v>
      </c>
      <c r="S195" s="329">
        <v>13670.707267099029</v>
      </c>
    </row>
    <row r="196" spans="5:19" s="293" customFormat="1" x14ac:dyDescent="0.25">
      <c r="F196" s="196" t="s">
        <v>935</v>
      </c>
      <c r="G196" s="196" t="s">
        <v>120</v>
      </c>
      <c r="H196" s="196" t="s">
        <v>145</v>
      </c>
      <c r="I196" s="66"/>
      <c r="J196" s="233">
        <f t="shared" si="15"/>
        <v>6448.805011825264</v>
      </c>
      <c r="K196" s="234"/>
      <c r="L196" s="329"/>
      <c r="M196" s="329"/>
      <c r="N196" s="329"/>
      <c r="O196" s="329">
        <v>6448.805011825264</v>
      </c>
      <c r="P196" s="329">
        <v>6448.805011825264</v>
      </c>
      <c r="Q196" s="329">
        <v>6448.805011825264</v>
      </c>
      <c r="R196" s="329">
        <v>6448.805011825264</v>
      </c>
      <c r="S196" s="329">
        <v>6448.805011825264</v>
      </c>
    </row>
    <row r="197" spans="5:19" s="293" customFormat="1" x14ac:dyDescent="0.25">
      <c r="F197" s="196" t="s">
        <v>936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25">
      <c r="F198" s="196" t="s">
        <v>937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25">
      <c r="F199" s="196" t="s">
        <v>938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25">
      <c r="F200" s="196" t="s">
        <v>939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25">
      <c r="F201" s="196" t="s">
        <v>940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25">
      <c r="F202" s="196" t="s">
        <v>941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25">
      <c r="F203" s="196" t="s">
        <v>942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25">
      <c r="F204" s="93" t="s">
        <v>943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2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2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25">
      <c r="F207" s="91" t="s">
        <v>928</v>
      </c>
      <c r="G207" s="91" t="s">
        <v>120</v>
      </c>
      <c r="H207" s="91" t="s">
        <v>145</v>
      </c>
      <c r="I207" s="112"/>
      <c r="J207" s="231">
        <f t="shared" ref="J207" si="16">CHOOSE(year_selection, L207,M207,N207,O207,P207,Q207,R207,S207)</f>
        <v>2282979.7633559168</v>
      </c>
      <c r="K207" s="232"/>
      <c r="L207" s="328"/>
      <c r="M207" s="328"/>
      <c r="N207" s="328"/>
      <c r="O207" s="328">
        <v>2282979.7633559168</v>
      </c>
      <c r="P207" s="328">
        <v>2282979.7633559168</v>
      </c>
      <c r="Q207" s="328">
        <v>2282979.7633559168</v>
      </c>
      <c r="R207" s="328">
        <v>2282979.7633559168</v>
      </c>
      <c r="S207" s="328">
        <v>2282979.7633559168</v>
      </c>
    </row>
    <row r="208" spans="5:19" s="293" customFormat="1" x14ac:dyDescent="0.25">
      <c r="F208" s="196" t="s">
        <v>929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25">
      <c r="F209" s="196" t="s">
        <v>930</v>
      </c>
      <c r="G209" s="196" t="s">
        <v>120</v>
      </c>
      <c r="H209" s="196" t="s">
        <v>145</v>
      </c>
      <c r="I209" s="66"/>
      <c r="J209" s="233">
        <f t="shared" ref="J209" si="17">CHOOSE(year_selection, L209,M209,N209,O209,P209,Q209,R209,S209)</f>
        <v>22616.911393841136</v>
      </c>
      <c r="K209" s="234"/>
      <c r="L209" s="329"/>
      <c r="M209" s="329"/>
      <c r="N209" s="329"/>
      <c r="O209" s="329">
        <v>22616.911393841136</v>
      </c>
      <c r="P209" s="329">
        <v>22616.911393841136</v>
      </c>
      <c r="Q209" s="329">
        <v>22616.911393841136</v>
      </c>
      <c r="R209" s="329">
        <v>22616.911393841136</v>
      </c>
      <c r="S209" s="329">
        <v>22616.911393841136</v>
      </c>
    </row>
    <row r="210" spans="5:19" s="293" customFormat="1" x14ac:dyDescent="0.25">
      <c r="F210" s="196" t="s">
        <v>931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25">
      <c r="F211" s="196" t="s">
        <v>932</v>
      </c>
      <c r="G211" s="196" t="s">
        <v>120</v>
      </c>
      <c r="H211" s="196" t="s">
        <v>145</v>
      </c>
      <c r="I211" s="66"/>
      <c r="J211" s="233">
        <f t="shared" ref="J211:J214" si="18">CHOOSE(year_selection, L211,M211,N211,O211,P211,Q211,R211,S211)</f>
        <v>105605.32008342462</v>
      </c>
      <c r="K211" s="234"/>
      <c r="L211" s="329"/>
      <c r="M211" s="329"/>
      <c r="N211" s="329"/>
      <c r="O211" s="329">
        <v>105605.32008342462</v>
      </c>
      <c r="P211" s="329">
        <v>105605.32008342462</v>
      </c>
      <c r="Q211" s="329">
        <v>105605.32008342462</v>
      </c>
      <c r="R211" s="329">
        <v>105605.32008342462</v>
      </c>
      <c r="S211" s="329">
        <v>105605.32008342462</v>
      </c>
    </row>
    <row r="212" spans="5:19" s="293" customFormat="1" x14ac:dyDescent="0.25">
      <c r="F212" s="196" t="s">
        <v>933</v>
      </c>
      <c r="G212" s="196" t="s">
        <v>120</v>
      </c>
      <c r="H212" s="196" t="s">
        <v>145</v>
      </c>
      <c r="I212" s="66"/>
      <c r="J212" s="233">
        <f t="shared" si="18"/>
        <v>48392.295029037203</v>
      </c>
      <c r="K212" s="234"/>
      <c r="L212" s="329"/>
      <c r="M212" s="329"/>
      <c r="N212" s="329"/>
      <c r="O212" s="329">
        <v>48392.295029037203</v>
      </c>
      <c r="P212" s="329">
        <v>48392.295029037203</v>
      </c>
      <c r="Q212" s="329">
        <v>48392.295029037203</v>
      </c>
      <c r="R212" s="329">
        <v>48392.295029037203</v>
      </c>
      <c r="S212" s="329">
        <v>48392.295029037203</v>
      </c>
    </row>
    <row r="213" spans="5:19" s="293" customFormat="1" x14ac:dyDescent="0.25">
      <c r="F213" s="196" t="s">
        <v>934</v>
      </c>
      <c r="G213" s="196" t="s">
        <v>120</v>
      </c>
      <c r="H213" s="196" t="s">
        <v>145</v>
      </c>
      <c r="I213" s="66"/>
      <c r="J213" s="233">
        <f t="shared" si="18"/>
        <v>62662.967623764293</v>
      </c>
      <c r="K213" s="234"/>
      <c r="L213" s="329"/>
      <c r="M213" s="329"/>
      <c r="N213" s="329"/>
      <c r="O213" s="329">
        <v>62662.967623764293</v>
      </c>
      <c r="P213" s="329">
        <v>62662.967623764293</v>
      </c>
      <c r="Q213" s="329">
        <v>62662.967623764293</v>
      </c>
      <c r="R213" s="329">
        <v>62662.967623764293</v>
      </c>
      <c r="S213" s="329">
        <v>62662.967623764293</v>
      </c>
    </row>
    <row r="214" spans="5:19" s="293" customFormat="1" x14ac:dyDescent="0.25">
      <c r="F214" s="196" t="s">
        <v>935</v>
      </c>
      <c r="G214" s="196" t="s">
        <v>120</v>
      </c>
      <c r="H214" s="196" t="s">
        <v>145</v>
      </c>
      <c r="I214" s="66"/>
      <c r="J214" s="233">
        <f t="shared" si="18"/>
        <v>52561.370964961032</v>
      </c>
      <c r="K214" s="234"/>
      <c r="L214" s="329"/>
      <c r="M214" s="329"/>
      <c r="N214" s="329"/>
      <c r="O214" s="329">
        <v>52561.370964961032</v>
      </c>
      <c r="P214" s="329">
        <v>52561.370964961032</v>
      </c>
      <c r="Q214" s="329">
        <v>52561.370964961032</v>
      </c>
      <c r="R214" s="329">
        <v>52561.370964961032</v>
      </c>
      <c r="S214" s="329">
        <v>52561.370964961032</v>
      </c>
    </row>
    <row r="215" spans="5:19" s="293" customFormat="1" x14ac:dyDescent="0.25">
      <c r="F215" s="196" t="s">
        <v>936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25">
      <c r="F216" s="196" t="s">
        <v>937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25">
      <c r="F217" s="196" t="s">
        <v>938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25">
      <c r="F218" s="196" t="s">
        <v>939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25">
      <c r="F219" s="196" t="s">
        <v>940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25">
      <c r="F220" s="196" t="s">
        <v>941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25">
      <c r="F221" s="196" t="s">
        <v>942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25">
      <c r="F222" s="93" t="s">
        <v>943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2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2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25">
      <c r="F225" s="91" t="s">
        <v>928</v>
      </c>
      <c r="G225" s="91" t="s">
        <v>120</v>
      </c>
      <c r="H225" s="91" t="s">
        <v>145</v>
      </c>
      <c r="I225" s="112"/>
      <c r="J225" s="231">
        <f t="shared" ref="J225" si="19">CHOOSE(year_selection, L225,M225,N225,O225,P225,Q225,R225,S225)</f>
        <v>2148924.2598723704</v>
      </c>
      <c r="K225" s="232"/>
      <c r="L225" s="328"/>
      <c r="M225" s="328"/>
      <c r="N225" s="328"/>
      <c r="O225" s="328">
        <v>2148924.2598723704</v>
      </c>
      <c r="P225" s="328">
        <v>2148924.2598723704</v>
      </c>
      <c r="Q225" s="328">
        <v>2148924.2598723704</v>
      </c>
      <c r="R225" s="328">
        <v>2148924.2598723704</v>
      </c>
      <c r="S225" s="328">
        <v>2148924.2598723704</v>
      </c>
    </row>
    <row r="226" spans="6:19" s="293" customFormat="1" x14ac:dyDescent="0.25">
      <c r="F226" s="196" t="s">
        <v>929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25">
      <c r="F227" s="196" t="s">
        <v>930</v>
      </c>
      <c r="G227" s="196" t="s">
        <v>120</v>
      </c>
      <c r="H227" s="196" t="s">
        <v>145</v>
      </c>
      <c r="I227" s="66"/>
      <c r="J227" s="233">
        <f t="shared" ref="J227" si="20">CHOOSE(year_selection, L227,M227,N227,O227,P227,Q227,R227,S227)</f>
        <v>21902.846365427391</v>
      </c>
      <c r="K227" s="234"/>
      <c r="L227" s="329"/>
      <c r="M227" s="329"/>
      <c r="N227" s="329"/>
      <c r="O227" s="329">
        <v>21902.846365427391</v>
      </c>
      <c r="P227" s="329">
        <v>21902.846365427391</v>
      </c>
      <c r="Q227" s="329">
        <v>21902.846365427391</v>
      </c>
      <c r="R227" s="329">
        <v>21902.846365427391</v>
      </c>
      <c r="S227" s="329">
        <v>21902.846365427391</v>
      </c>
    </row>
    <row r="228" spans="6:19" s="293" customFormat="1" x14ac:dyDescent="0.25">
      <c r="F228" s="196" t="s">
        <v>931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25">
      <c r="F229" s="196" t="s">
        <v>932</v>
      </c>
      <c r="G229" s="196" t="s">
        <v>120</v>
      </c>
      <c r="H229" s="196" t="s">
        <v>145</v>
      </c>
      <c r="I229" s="66"/>
      <c r="J229" s="233">
        <f t="shared" ref="J229:J232" si="21">CHOOSE(year_selection, L229,M229,N229,O229,P229,Q229,R229,S229)</f>
        <v>90753.054151254735</v>
      </c>
      <c r="K229" s="234"/>
      <c r="L229" s="329"/>
      <c r="M229" s="329"/>
      <c r="N229" s="329"/>
      <c r="O229" s="329">
        <v>90753.054151254735</v>
      </c>
      <c r="P229" s="329">
        <v>90753.054151254735</v>
      </c>
      <c r="Q229" s="329">
        <v>90753.054151254735</v>
      </c>
      <c r="R229" s="329">
        <v>90753.054151254735</v>
      </c>
      <c r="S229" s="329">
        <v>90753.054151254735</v>
      </c>
    </row>
    <row r="230" spans="6:19" s="293" customFormat="1" x14ac:dyDescent="0.25">
      <c r="F230" s="196" t="s">
        <v>933</v>
      </c>
      <c r="G230" s="196" t="s">
        <v>120</v>
      </c>
      <c r="H230" s="196" t="s">
        <v>145</v>
      </c>
      <c r="I230" s="66"/>
      <c r="J230" s="233">
        <f t="shared" si="21"/>
        <v>42812.191930088127</v>
      </c>
      <c r="K230" s="234"/>
      <c r="L230" s="329"/>
      <c r="M230" s="329"/>
      <c r="N230" s="329"/>
      <c r="O230" s="329">
        <v>42812.191930088127</v>
      </c>
      <c r="P230" s="329">
        <v>42812.191930088127</v>
      </c>
      <c r="Q230" s="329">
        <v>42812.191930088127</v>
      </c>
      <c r="R230" s="329">
        <v>42812.191930088127</v>
      </c>
      <c r="S230" s="329">
        <v>42812.191930088127</v>
      </c>
    </row>
    <row r="231" spans="6:19" s="293" customFormat="1" x14ac:dyDescent="0.25">
      <c r="F231" s="196" t="s">
        <v>934</v>
      </c>
      <c r="G231" s="196" t="s">
        <v>120</v>
      </c>
      <c r="H231" s="196" t="s">
        <v>145</v>
      </c>
      <c r="I231" s="66"/>
      <c r="J231" s="233">
        <f t="shared" si="21"/>
        <v>68016.795019391779</v>
      </c>
      <c r="K231" s="234"/>
      <c r="L231" s="329"/>
      <c r="M231" s="329"/>
      <c r="N231" s="329"/>
      <c r="O231" s="329">
        <v>68016.795019391779</v>
      </c>
      <c r="P231" s="329">
        <v>68016.795019391779</v>
      </c>
      <c r="Q231" s="329">
        <v>68016.795019391779</v>
      </c>
      <c r="R231" s="329">
        <v>68016.795019391779</v>
      </c>
      <c r="S231" s="329">
        <v>68016.795019391779</v>
      </c>
    </row>
    <row r="232" spans="6:19" s="293" customFormat="1" x14ac:dyDescent="0.25">
      <c r="F232" s="196" t="s">
        <v>935</v>
      </c>
      <c r="G232" s="196" t="s">
        <v>120</v>
      </c>
      <c r="H232" s="196" t="s">
        <v>145</v>
      </c>
      <c r="I232" s="66"/>
      <c r="J232" s="233">
        <f t="shared" si="21"/>
        <v>88880.57358714845</v>
      </c>
      <c r="K232" s="234"/>
      <c r="L232" s="329"/>
      <c r="M232" s="329"/>
      <c r="N232" s="329"/>
      <c r="O232" s="329">
        <v>88880.57358714845</v>
      </c>
      <c r="P232" s="329">
        <v>88880.57358714845</v>
      </c>
      <c r="Q232" s="329">
        <v>88880.57358714845</v>
      </c>
      <c r="R232" s="329">
        <v>88880.57358714845</v>
      </c>
      <c r="S232" s="329">
        <v>88880.57358714845</v>
      </c>
    </row>
    <row r="233" spans="6:19" s="293" customFormat="1" x14ac:dyDescent="0.25">
      <c r="F233" s="196" t="s">
        <v>936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25">
      <c r="F234" s="196" t="s">
        <v>937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25">
      <c r="F235" s="196" t="s">
        <v>938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25">
      <c r="F236" s="196" t="s">
        <v>939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25">
      <c r="F237" s="196" t="s">
        <v>940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25">
      <c r="F238" s="196" t="s">
        <v>941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25">
      <c r="F239" s="196" t="s">
        <v>942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25">
      <c r="F240" s="93" t="s">
        <v>943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2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2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25">
      <c r="F243" s="91" t="s">
        <v>928</v>
      </c>
      <c r="G243" s="91" t="s">
        <v>74</v>
      </c>
      <c r="H243" s="91" t="s">
        <v>145</v>
      </c>
      <c r="I243" s="112"/>
      <c r="J243" s="231">
        <f t="shared" ref="J243" si="22">CHOOSE(year_selection, L243,M243,N243,O243,P243,Q243,R243,S243)</f>
        <v>1393317</v>
      </c>
      <c r="K243" s="232"/>
      <c r="L243" s="328"/>
      <c r="M243" s="328"/>
      <c r="N243" s="328"/>
      <c r="O243" s="328">
        <v>1393317</v>
      </c>
      <c r="P243" s="328">
        <v>1393317</v>
      </c>
      <c r="Q243" s="328">
        <v>1393317</v>
      </c>
      <c r="R243" s="328">
        <v>1393317</v>
      </c>
      <c r="S243" s="328">
        <v>1393317</v>
      </c>
    </row>
    <row r="244" spans="5:19" s="293" customFormat="1" x14ac:dyDescent="0.25">
      <c r="F244" s="196" t="s">
        <v>929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25">
      <c r="F245" s="196" t="s">
        <v>930</v>
      </c>
      <c r="G245" s="196" t="s">
        <v>74</v>
      </c>
      <c r="H245" s="196" t="s">
        <v>145</v>
      </c>
      <c r="I245" s="66"/>
      <c r="J245" s="233">
        <f t="shared" ref="J245" si="23">CHOOSE(year_selection, L245,M245,N245,O245,P245,Q245,R245,S245)</f>
        <v>37920</v>
      </c>
      <c r="K245" s="234"/>
      <c r="L245" s="329"/>
      <c r="M245" s="329"/>
      <c r="N245" s="329"/>
      <c r="O245" s="329">
        <v>37920</v>
      </c>
      <c r="P245" s="329">
        <v>37920</v>
      </c>
      <c r="Q245" s="329">
        <v>37920</v>
      </c>
      <c r="R245" s="329">
        <v>37920</v>
      </c>
      <c r="S245" s="329">
        <v>37920</v>
      </c>
    </row>
    <row r="246" spans="5:19" s="293" customFormat="1" x14ac:dyDescent="0.25">
      <c r="F246" s="196" t="s">
        <v>931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25">
      <c r="F247" s="196" t="s">
        <v>932</v>
      </c>
      <c r="G247" s="196" t="s">
        <v>74</v>
      </c>
      <c r="H247" s="196" t="s">
        <v>145</v>
      </c>
      <c r="I247" s="66"/>
      <c r="J247" s="233">
        <f t="shared" ref="J247:J250" si="24">CHOOSE(year_selection, L247,M247,N247,O247,P247,Q247,R247,S247)</f>
        <v>2873</v>
      </c>
      <c r="K247" s="234"/>
      <c r="L247" s="329"/>
      <c r="M247" s="329"/>
      <c r="N247" s="329"/>
      <c r="O247" s="329">
        <v>2873</v>
      </c>
      <c r="P247" s="329">
        <v>2873</v>
      </c>
      <c r="Q247" s="329">
        <v>2873</v>
      </c>
      <c r="R247" s="329">
        <v>2873</v>
      </c>
      <c r="S247" s="329">
        <v>2873</v>
      </c>
    </row>
    <row r="248" spans="5:19" s="293" customFormat="1" x14ac:dyDescent="0.25">
      <c r="F248" s="196" t="s">
        <v>933</v>
      </c>
      <c r="G248" s="196" t="s">
        <v>74</v>
      </c>
      <c r="H248" s="196" t="s">
        <v>145</v>
      </c>
      <c r="I248" s="66"/>
      <c r="J248" s="233">
        <f t="shared" si="24"/>
        <v>1023</v>
      </c>
      <c r="K248" s="234"/>
      <c r="L248" s="329"/>
      <c r="M248" s="329"/>
      <c r="N248" s="329"/>
      <c r="O248" s="329">
        <v>1023</v>
      </c>
      <c r="P248" s="329">
        <v>1023</v>
      </c>
      <c r="Q248" s="329">
        <v>1023</v>
      </c>
      <c r="R248" s="329">
        <v>1023</v>
      </c>
      <c r="S248" s="329">
        <v>1023</v>
      </c>
    </row>
    <row r="249" spans="5:19" s="293" customFormat="1" x14ac:dyDescent="0.25">
      <c r="F249" s="196" t="s">
        <v>934</v>
      </c>
      <c r="G249" s="196" t="s">
        <v>74</v>
      </c>
      <c r="H249" s="196" t="s">
        <v>145</v>
      </c>
      <c r="I249" s="66"/>
      <c r="J249" s="233">
        <f t="shared" si="24"/>
        <v>298</v>
      </c>
      <c r="K249" s="234"/>
      <c r="L249" s="329"/>
      <c r="M249" s="329"/>
      <c r="N249" s="329"/>
      <c r="O249" s="329">
        <v>298</v>
      </c>
      <c r="P249" s="329">
        <v>298</v>
      </c>
      <c r="Q249" s="329">
        <v>298</v>
      </c>
      <c r="R249" s="329">
        <v>298</v>
      </c>
      <c r="S249" s="329">
        <v>298</v>
      </c>
    </row>
    <row r="250" spans="5:19" s="293" customFormat="1" x14ac:dyDescent="0.25">
      <c r="F250" s="196" t="s">
        <v>935</v>
      </c>
      <c r="G250" s="196" t="s">
        <v>74</v>
      </c>
      <c r="H250" s="196" t="s">
        <v>145</v>
      </c>
      <c r="I250" s="66"/>
      <c r="J250" s="233">
        <f t="shared" si="24"/>
        <v>574</v>
      </c>
      <c r="K250" s="234"/>
      <c r="L250" s="329"/>
      <c r="M250" s="329"/>
      <c r="N250" s="329"/>
      <c r="O250" s="329">
        <v>574</v>
      </c>
      <c r="P250" s="329">
        <v>574</v>
      </c>
      <c r="Q250" s="329">
        <v>574</v>
      </c>
      <c r="R250" s="329">
        <v>574</v>
      </c>
      <c r="S250" s="329">
        <v>574</v>
      </c>
    </row>
    <row r="251" spans="5:19" s="293" customFormat="1" x14ac:dyDescent="0.25">
      <c r="F251" s="196" t="s">
        <v>936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25">
      <c r="F252" s="196" t="s">
        <v>937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25">
      <c r="F253" s="196" t="s">
        <v>938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25">
      <c r="F254" s="196" t="s">
        <v>939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25">
      <c r="F255" s="196" t="s">
        <v>940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25">
      <c r="F256" s="196" t="s">
        <v>941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25">
      <c r="F257" s="196" t="s">
        <v>942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25">
      <c r="F258" s="93" t="s">
        <v>943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2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2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25">
      <c r="F261" s="91" t="s">
        <v>928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25">
      <c r="F262" s="196" t="s">
        <v>929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25">
      <c r="F263" s="196" t="s">
        <v>930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25">
      <c r="F264" s="196" t="s">
        <v>931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25">
      <c r="F265" s="196" t="s">
        <v>932</v>
      </c>
      <c r="G265" s="196" t="s">
        <v>169</v>
      </c>
      <c r="H265" s="196" t="s">
        <v>145</v>
      </c>
      <c r="I265" s="66"/>
      <c r="J265" s="233">
        <f t="shared" ref="J265:J267" si="25">CHOOSE(year_selection, L265,M265,N265,O265,P265,Q265,R265,S265)</f>
        <v>146223</v>
      </c>
      <c r="K265" s="234"/>
      <c r="L265" s="329"/>
      <c r="M265" s="329"/>
      <c r="N265" s="329"/>
      <c r="O265" s="329">
        <v>146223</v>
      </c>
      <c r="P265" s="329">
        <v>146223</v>
      </c>
      <c r="Q265" s="329">
        <v>146223</v>
      </c>
      <c r="R265" s="329">
        <v>146223</v>
      </c>
      <c r="S265" s="329">
        <v>146223</v>
      </c>
    </row>
    <row r="266" spans="5:19" s="293" customFormat="1" x14ac:dyDescent="0.25">
      <c r="F266" s="196" t="s">
        <v>933</v>
      </c>
      <c r="G266" s="196" t="s">
        <v>169</v>
      </c>
      <c r="H266" s="196" t="s">
        <v>145</v>
      </c>
      <c r="I266" s="66"/>
      <c r="J266" s="233">
        <f t="shared" si="25"/>
        <v>53930</v>
      </c>
      <c r="K266" s="234"/>
      <c r="L266" s="329"/>
      <c r="M266" s="329"/>
      <c r="N266" s="329"/>
      <c r="O266" s="329">
        <v>53930</v>
      </c>
      <c r="P266" s="329">
        <v>53930</v>
      </c>
      <c r="Q266" s="329">
        <v>53930</v>
      </c>
      <c r="R266" s="329">
        <v>53930</v>
      </c>
      <c r="S266" s="329">
        <v>53930</v>
      </c>
    </row>
    <row r="267" spans="5:19" s="293" customFormat="1" x14ac:dyDescent="0.25">
      <c r="F267" s="196" t="s">
        <v>934</v>
      </c>
      <c r="G267" s="196" t="s">
        <v>169</v>
      </c>
      <c r="H267" s="196" t="s">
        <v>145</v>
      </c>
      <c r="I267" s="66"/>
      <c r="J267" s="233">
        <f t="shared" si="25"/>
        <v>55246</v>
      </c>
      <c r="K267" s="234"/>
      <c r="L267" s="329"/>
      <c r="M267" s="329"/>
      <c r="N267" s="329"/>
      <c r="O267" s="329">
        <v>55246</v>
      </c>
      <c r="P267" s="329">
        <v>55246</v>
      </c>
      <c r="Q267" s="329">
        <v>55246</v>
      </c>
      <c r="R267" s="329">
        <v>55246</v>
      </c>
      <c r="S267" s="329">
        <v>55246</v>
      </c>
    </row>
    <row r="268" spans="5:19" s="293" customFormat="1" x14ac:dyDescent="0.25">
      <c r="F268" s="196" t="s">
        <v>935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25">
      <c r="F269" s="196" t="s">
        <v>936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25">
      <c r="F270" s="196" t="s">
        <v>937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25">
      <c r="F271" s="196" t="s">
        <v>938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25">
      <c r="F272" s="196" t="s">
        <v>939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25">
      <c r="F273" s="196" t="s">
        <v>940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25">
      <c r="F274" s="196" t="s">
        <v>941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25">
      <c r="F275" s="196" t="s">
        <v>942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25">
      <c r="F276" s="93" t="s">
        <v>943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2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2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25">
      <c r="F279" s="91" t="s">
        <v>928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25">
      <c r="F280" s="196" t="s">
        <v>929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25">
      <c r="F281" s="196" t="s">
        <v>930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25">
      <c r="F282" s="196" t="s">
        <v>931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25">
      <c r="F283" s="196" t="s">
        <v>932</v>
      </c>
      <c r="G283" s="196" t="s">
        <v>169</v>
      </c>
      <c r="H283" s="196" t="s">
        <v>145</v>
      </c>
      <c r="I283" s="66"/>
      <c r="J283" s="233">
        <f t="shared" ref="J283:J285" si="26">CHOOSE(year_selection, L283,M283,N283,O283,P283,Q283,R283,S283)</f>
        <v>3303</v>
      </c>
      <c r="K283" s="234"/>
      <c r="L283" s="329"/>
      <c r="M283" s="329"/>
      <c r="N283" s="329"/>
      <c r="O283" s="329">
        <v>3303</v>
      </c>
      <c r="P283" s="329">
        <v>3303</v>
      </c>
      <c r="Q283" s="329">
        <v>3303</v>
      </c>
      <c r="R283" s="329">
        <v>3303</v>
      </c>
      <c r="S283" s="329">
        <v>3303</v>
      </c>
    </row>
    <row r="284" spans="5:19" s="293" customFormat="1" x14ac:dyDescent="0.25">
      <c r="F284" s="196" t="s">
        <v>933</v>
      </c>
      <c r="G284" s="196" t="s">
        <v>169</v>
      </c>
      <c r="H284" s="196" t="s">
        <v>145</v>
      </c>
      <c r="I284" s="66"/>
      <c r="J284" s="233">
        <f t="shared" si="26"/>
        <v>3548</v>
      </c>
      <c r="K284" s="234"/>
      <c r="L284" s="329"/>
      <c r="M284" s="329"/>
      <c r="N284" s="329"/>
      <c r="O284" s="329">
        <v>3548</v>
      </c>
      <c r="P284" s="329">
        <v>3548</v>
      </c>
      <c r="Q284" s="329">
        <v>3548</v>
      </c>
      <c r="R284" s="329">
        <v>3548</v>
      </c>
      <c r="S284" s="329">
        <v>3548</v>
      </c>
    </row>
    <row r="285" spans="5:19" s="293" customFormat="1" x14ac:dyDescent="0.25">
      <c r="F285" s="196" t="s">
        <v>934</v>
      </c>
      <c r="G285" s="196" t="s">
        <v>169</v>
      </c>
      <c r="H285" s="196" t="s">
        <v>145</v>
      </c>
      <c r="I285" s="66"/>
      <c r="J285" s="233">
        <f t="shared" si="26"/>
        <v>920</v>
      </c>
      <c r="K285" s="234"/>
      <c r="L285" s="329"/>
      <c r="M285" s="329"/>
      <c r="N285" s="329"/>
      <c r="O285" s="329">
        <v>920</v>
      </c>
      <c r="P285" s="329">
        <v>920</v>
      </c>
      <c r="Q285" s="329">
        <v>920</v>
      </c>
      <c r="R285" s="329">
        <v>920</v>
      </c>
      <c r="S285" s="329">
        <v>920</v>
      </c>
    </row>
    <row r="286" spans="5:19" s="293" customFormat="1" x14ac:dyDescent="0.25">
      <c r="F286" s="196" t="s">
        <v>935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25">
      <c r="F287" s="196" t="s">
        <v>936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25">
      <c r="F288" s="196" t="s">
        <v>937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25">
      <c r="F289" s="196" t="s">
        <v>938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25">
      <c r="F290" s="196" t="s">
        <v>939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25">
      <c r="F291" s="196" t="s">
        <v>940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25">
      <c r="F292" s="196" t="s">
        <v>941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25">
      <c r="F293" s="196" t="s">
        <v>942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25">
      <c r="F294" s="93" t="s">
        <v>943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2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2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25">
      <c r="F297" s="91" t="s">
        <v>928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25">
      <c r="F298" s="196" t="s">
        <v>929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25">
      <c r="F299" s="196" t="s">
        <v>930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25">
      <c r="F300" s="196" t="s">
        <v>931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25">
      <c r="F301" s="196" t="s">
        <v>932</v>
      </c>
      <c r="G301" s="196" t="s">
        <v>170</v>
      </c>
      <c r="H301" s="196" t="s">
        <v>145</v>
      </c>
      <c r="I301" s="66"/>
      <c r="J301" s="233">
        <f t="shared" ref="J301:J303" si="27">CHOOSE(year_selection, L301,M301,N301,O301,P301,Q301,R301,S301)</f>
        <v>20500.91</v>
      </c>
      <c r="K301" s="234"/>
      <c r="L301" s="329"/>
      <c r="M301" s="329"/>
      <c r="N301" s="329"/>
      <c r="O301" s="329">
        <v>20500.91</v>
      </c>
      <c r="P301" s="329">
        <v>20500.91</v>
      </c>
      <c r="Q301" s="329">
        <v>20500.91</v>
      </c>
      <c r="R301" s="329">
        <v>20500.91</v>
      </c>
      <c r="S301" s="329">
        <v>20500.91</v>
      </c>
    </row>
    <row r="302" spans="5:19" s="293" customFormat="1" x14ac:dyDescent="0.25">
      <c r="F302" s="196" t="s">
        <v>933</v>
      </c>
      <c r="G302" s="196" t="s">
        <v>170</v>
      </c>
      <c r="H302" s="196" t="s">
        <v>145</v>
      </c>
      <c r="I302" s="66"/>
      <c r="J302" s="233">
        <f t="shared" si="27"/>
        <v>24847.258000000002</v>
      </c>
      <c r="K302" s="234"/>
      <c r="L302" s="329"/>
      <c r="M302" s="329"/>
      <c r="N302" s="329"/>
      <c r="O302" s="329">
        <v>24847.258000000002</v>
      </c>
      <c r="P302" s="329">
        <v>24847.258000000002</v>
      </c>
      <c r="Q302" s="329">
        <v>24847.258000000002</v>
      </c>
      <c r="R302" s="329">
        <v>24847.258000000002</v>
      </c>
      <c r="S302" s="329">
        <v>24847.258000000002</v>
      </c>
    </row>
    <row r="303" spans="5:19" s="293" customFormat="1" x14ac:dyDescent="0.25">
      <c r="F303" s="196" t="s">
        <v>934</v>
      </c>
      <c r="G303" s="196" t="s">
        <v>170</v>
      </c>
      <c r="H303" s="196" t="s">
        <v>145</v>
      </c>
      <c r="I303" s="66"/>
      <c r="J303" s="233">
        <f t="shared" si="27"/>
        <v>9223.2129999999997</v>
      </c>
      <c r="K303" s="234"/>
      <c r="L303" s="329"/>
      <c r="M303" s="329"/>
      <c r="N303" s="329"/>
      <c r="O303" s="329">
        <v>9223.2129999999997</v>
      </c>
      <c r="P303" s="329">
        <v>9223.2129999999997</v>
      </c>
      <c r="Q303" s="329">
        <v>9223.2129999999997</v>
      </c>
      <c r="R303" s="329">
        <v>9223.2129999999997</v>
      </c>
      <c r="S303" s="329">
        <v>9223.2129999999997</v>
      </c>
    </row>
    <row r="304" spans="5:19" s="293" customFormat="1" x14ac:dyDescent="0.25">
      <c r="F304" s="196" t="s">
        <v>935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25">
      <c r="F305" s="196" t="s">
        <v>936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25">
      <c r="F306" s="196" t="s">
        <v>937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25">
      <c r="F307" s="196" t="s">
        <v>938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25">
      <c r="F308" s="196" t="s">
        <v>939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25">
      <c r="F309" s="196" t="s">
        <v>940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25">
      <c r="F310" s="196" t="s">
        <v>941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25">
      <c r="F311" s="196" t="s">
        <v>942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25">
      <c r="F312" s="93" t="s">
        <v>943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2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25">
      <c r="C314" s="7" t="str">
        <f ca="1">INDEX('Version control'!$H$34:$H$60,MATCH($A$1,'Version control'!$F$34:$F$60,0),1)&amp;"-E: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25">
      <c r="C315" s="96"/>
      <c r="I315" s="111"/>
    </row>
    <row r="316" spans="3:21" s="293" customFormat="1" x14ac:dyDescent="0.25">
      <c r="E316" s="144" t="s">
        <v>199</v>
      </c>
      <c r="I316" s="111" t="s">
        <v>359</v>
      </c>
      <c r="U316" s="293" t="s">
        <v>692</v>
      </c>
    </row>
    <row r="317" spans="3:21" s="293" customFormat="1" x14ac:dyDescent="0.25">
      <c r="F317" s="91" t="s">
        <v>928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25">
      <c r="F318" s="196" t="s">
        <v>929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25">
      <c r="F319" s="196" t="s">
        <v>930</v>
      </c>
      <c r="G319" s="196" t="s">
        <v>120</v>
      </c>
      <c r="H319" s="196" t="s">
        <v>145</v>
      </c>
      <c r="I319" s="66"/>
      <c r="J319" s="233">
        <f t="shared" ref="J319" si="28">CHOOSE(year_selection, L319,M319,N319,O319,P319,Q319,R319,S319)</f>
        <v>18965.918563437568</v>
      </c>
      <c r="K319" s="234"/>
      <c r="L319" s="329"/>
      <c r="M319" s="329"/>
      <c r="N319" s="329"/>
      <c r="O319" s="329">
        <v>18965.918563437568</v>
      </c>
      <c r="P319" s="329">
        <v>18965.918563437568</v>
      </c>
      <c r="Q319" s="329">
        <v>18965.918563437568</v>
      </c>
      <c r="R319" s="329">
        <v>18965.918563437568</v>
      </c>
      <c r="S319" s="329">
        <v>18965.918563437568</v>
      </c>
    </row>
    <row r="320" spans="3:21" s="293" customFormat="1" x14ac:dyDescent="0.25">
      <c r="F320" s="196" t="s">
        <v>931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25">
      <c r="F321" s="196" t="s">
        <v>932</v>
      </c>
      <c r="G321" s="196" t="s">
        <v>120</v>
      </c>
      <c r="H321" s="196" t="s">
        <v>145</v>
      </c>
      <c r="I321" s="66"/>
      <c r="J321" s="233">
        <f t="shared" ref="J321:J323" si="29">CHOOSE(year_selection, L321,M321,N321,O321,P321,Q321,R321,S321)</f>
        <v>33534.682752874403</v>
      </c>
      <c r="K321" s="234"/>
      <c r="L321" s="329"/>
      <c r="M321" s="329"/>
      <c r="N321" s="329"/>
      <c r="O321" s="329">
        <v>33534.682752874403</v>
      </c>
      <c r="P321" s="329">
        <v>33534.682752874403</v>
      </c>
      <c r="Q321" s="329">
        <v>33534.682752874403</v>
      </c>
      <c r="R321" s="329">
        <v>33534.682752874403</v>
      </c>
      <c r="S321" s="329">
        <v>33534.682752874403</v>
      </c>
    </row>
    <row r="322" spans="5:19" s="293" customFormat="1" x14ac:dyDescent="0.25">
      <c r="F322" s="196" t="s">
        <v>933</v>
      </c>
      <c r="G322" s="196" t="s">
        <v>120</v>
      </c>
      <c r="H322" s="196" t="s">
        <v>145</v>
      </c>
      <c r="I322" s="66"/>
      <c r="J322" s="233">
        <f t="shared" si="29"/>
        <v>17892.045644607373</v>
      </c>
      <c r="K322" s="234"/>
      <c r="L322" s="329"/>
      <c r="M322" s="329"/>
      <c r="N322" s="329"/>
      <c r="O322" s="329">
        <v>17892.045644607373</v>
      </c>
      <c r="P322" s="329">
        <v>17892.045644607373</v>
      </c>
      <c r="Q322" s="329">
        <v>17892.045644607373</v>
      </c>
      <c r="R322" s="329">
        <v>17892.045644607373</v>
      </c>
      <c r="S322" s="329">
        <v>17892.045644607373</v>
      </c>
    </row>
    <row r="323" spans="5:19" s="293" customFormat="1" x14ac:dyDescent="0.25">
      <c r="F323" s="196" t="s">
        <v>934</v>
      </c>
      <c r="G323" s="196" t="s">
        <v>120</v>
      </c>
      <c r="H323" s="196" t="s">
        <v>145</v>
      </c>
      <c r="I323" s="66"/>
      <c r="J323" s="233">
        <f t="shared" si="29"/>
        <v>49258.290425073465</v>
      </c>
      <c r="K323" s="234"/>
      <c r="L323" s="329"/>
      <c r="M323" s="329"/>
      <c r="N323" s="329"/>
      <c r="O323" s="329">
        <v>49258.290425073465</v>
      </c>
      <c r="P323" s="329">
        <v>49258.290425073465</v>
      </c>
      <c r="Q323" s="329">
        <v>49258.290425073465</v>
      </c>
      <c r="R323" s="329">
        <v>49258.290425073465</v>
      </c>
      <c r="S323" s="329">
        <v>49258.290425073465</v>
      </c>
    </row>
    <row r="324" spans="5:19" s="293" customFormat="1" x14ac:dyDescent="0.25">
      <c r="F324" s="196" t="s">
        <v>935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25">
      <c r="F325" s="196" t="s">
        <v>936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25">
      <c r="F326" s="196" t="s">
        <v>937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25">
      <c r="F327" s="196" t="s">
        <v>938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25">
      <c r="F328" s="196" t="s">
        <v>939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25">
      <c r="F329" s="196" t="s">
        <v>940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25">
      <c r="F330" s="196" t="s">
        <v>941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25">
      <c r="F331" s="196" t="s">
        <v>942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25">
      <c r="F332" s="93" t="s">
        <v>943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2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2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25">
      <c r="F335" s="91" t="s">
        <v>928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25">
      <c r="F336" s="196" t="s">
        <v>929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25">
      <c r="F337" s="196" t="s">
        <v>930</v>
      </c>
      <c r="G337" s="196" t="s">
        <v>120</v>
      </c>
      <c r="H337" s="196" t="s">
        <v>145</v>
      </c>
      <c r="I337" s="66"/>
      <c r="J337" s="233">
        <f t="shared" ref="J337" si="30">CHOOSE(year_selection, L337,M337,N337,O337,P337,Q337,R337,S337)</f>
        <v>99703.237087601126</v>
      </c>
      <c r="K337" s="234"/>
      <c r="L337" s="329"/>
      <c r="M337" s="329"/>
      <c r="N337" s="329"/>
      <c r="O337" s="329">
        <v>99703.237087601126</v>
      </c>
      <c r="P337" s="329">
        <v>99703.237087601126</v>
      </c>
      <c r="Q337" s="329">
        <v>99703.237087601126</v>
      </c>
      <c r="R337" s="329">
        <v>99703.237087601126</v>
      </c>
      <c r="S337" s="329">
        <v>99703.237087601126</v>
      </c>
    </row>
    <row r="338" spans="5:19" s="293" customFormat="1" x14ac:dyDescent="0.25">
      <c r="F338" s="196" t="s">
        <v>931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25">
      <c r="F339" s="196" t="s">
        <v>932</v>
      </c>
      <c r="G339" s="196" t="s">
        <v>120</v>
      </c>
      <c r="H339" s="196" t="s">
        <v>145</v>
      </c>
      <c r="I339" s="66"/>
      <c r="J339" s="233">
        <f t="shared" ref="J339:J341" si="31">CHOOSE(year_selection, L339,M339,N339,O339,P339,Q339,R339,S339)</f>
        <v>152454.02624510284</v>
      </c>
      <c r="K339" s="234"/>
      <c r="L339" s="329"/>
      <c r="M339" s="329"/>
      <c r="N339" s="329"/>
      <c r="O339" s="329">
        <v>152454.02624510284</v>
      </c>
      <c r="P339" s="329">
        <v>152454.02624510284</v>
      </c>
      <c r="Q339" s="329">
        <v>152454.02624510284</v>
      </c>
      <c r="R339" s="329">
        <v>152454.02624510284</v>
      </c>
      <c r="S339" s="329">
        <v>152454.02624510284</v>
      </c>
    </row>
    <row r="340" spans="5:19" s="293" customFormat="1" x14ac:dyDescent="0.25">
      <c r="F340" s="196" t="s">
        <v>933</v>
      </c>
      <c r="G340" s="196" t="s">
        <v>120</v>
      </c>
      <c r="H340" s="196" t="s">
        <v>145</v>
      </c>
      <c r="I340" s="66"/>
      <c r="J340" s="233">
        <f t="shared" si="31"/>
        <v>86472.582900076217</v>
      </c>
      <c r="K340" s="234"/>
      <c r="L340" s="329"/>
      <c r="M340" s="329"/>
      <c r="N340" s="329"/>
      <c r="O340" s="329">
        <v>86472.582900076217</v>
      </c>
      <c r="P340" s="329">
        <v>86472.582900076217</v>
      </c>
      <c r="Q340" s="329">
        <v>86472.582900076217</v>
      </c>
      <c r="R340" s="329">
        <v>86472.582900076217</v>
      </c>
      <c r="S340" s="329">
        <v>86472.582900076217</v>
      </c>
    </row>
    <row r="341" spans="5:19" s="293" customFormat="1" x14ac:dyDescent="0.25">
      <c r="F341" s="196" t="s">
        <v>934</v>
      </c>
      <c r="G341" s="196" t="s">
        <v>120</v>
      </c>
      <c r="H341" s="196" t="s">
        <v>145</v>
      </c>
      <c r="I341" s="66"/>
      <c r="J341" s="233">
        <f t="shared" si="31"/>
        <v>225787.19577566956</v>
      </c>
      <c r="K341" s="234"/>
      <c r="L341" s="329"/>
      <c r="M341" s="329"/>
      <c r="N341" s="329"/>
      <c r="O341" s="329">
        <v>225787.19577566956</v>
      </c>
      <c r="P341" s="329">
        <v>225787.19577566956</v>
      </c>
      <c r="Q341" s="329">
        <v>225787.19577566956</v>
      </c>
      <c r="R341" s="329">
        <v>225787.19577566956</v>
      </c>
      <c r="S341" s="329">
        <v>225787.19577566956</v>
      </c>
    </row>
    <row r="342" spans="5:19" s="293" customFormat="1" x14ac:dyDescent="0.25">
      <c r="F342" s="196" t="s">
        <v>935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25">
      <c r="F343" s="196" t="s">
        <v>936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25">
      <c r="F344" s="196" t="s">
        <v>937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25">
      <c r="F345" s="196" t="s">
        <v>938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25">
      <c r="F346" s="196" t="s">
        <v>939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25">
      <c r="F347" s="196" t="s">
        <v>940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25">
      <c r="F348" s="196" t="s">
        <v>941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25">
      <c r="F349" s="196" t="s">
        <v>942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25">
      <c r="F350" s="93" t="s">
        <v>943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2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2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25">
      <c r="F353" s="91" t="s">
        <v>928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25">
      <c r="F354" s="196" t="s">
        <v>929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25">
      <c r="F355" s="196" t="s">
        <v>930</v>
      </c>
      <c r="G355" s="196" t="s">
        <v>120</v>
      </c>
      <c r="H355" s="196" t="s">
        <v>145</v>
      </c>
      <c r="I355" s="66"/>
      <c r="J355" s="233">
        <f t="shared" ref="J355" si="32">CHOOSE(year_selection, L355,M355,N355,O355,P355,Q355,R355,S355)</f>
        <v>96555.38928539028</v>
      </c>
      <c r="K355" s="234"/>
      <c r="L355" s="329"/>
      <c r="M355" s="329"/>
      <c r="N355" s="329"/>
      <c r="O355" s="329">
        <v>96555.38928539028</v>
      </c>
      <c r="P355" s="329">
        <v>96555.38928539028</v>
      </c>
      <c r="Q355" s="329">
        <v>96555.38928539028</v>
      </c>
      <c r="R355" s="329">
        <v>96555.38928539028</v>
      </c>
      <c r="S355" s="329">
        <v>96555.38928539028</v>
      </c>
    </row>
    <row r="356" spans="6:19" s="293" customFormat="1" x14ac:dyDescent="0.25">
      <c r="F356" s="196" t="s">
        <v>931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25">
      <c r="F357" s="196" t="s">
        <v>932</v>
      </c>
      <c r="G357" s="196" t="s">
        <v>120</v>
      </c>
      <c r="H357" s="196" t="s">
        <v>145</v>
      </c>
      <c r="I357" s="66"/>
      <c r="J357" s="233">
        <f t="shared" ref="J357:J359" si="33">CHOOSE(year_selection, L357,M357,N357,O357,P357,Q357,R357,S357)</f>
        <v>131012.98768347013</v>
      </c>
      <c r="K357" s="234"/>
      <c r="L357" s="329"/>
      <c r="M357" s="329"/>
      <c r="N357" s="329"/>
      <c r="O357" s="329">
        <v>131012.98768347013</v>
      </c>
      <c r="P357" s="329">
        <v>131012.98768347013</v>
      </c>
      <c r="Q357" s="329">
        <v>131012.98768347013</v>
      </c>
      <c r="R357" s="329">
        <v>131012.98768347013</v>
      </c>
      <c r="S357" s="329">
        <v>131012.98768347013</v>
      </c>
    </row>
    <row r="358" spans="6:19" s="293" customFormat="1" x14ac:dyDescent="0.25">
      <c r="F358" s="196" t="s">
        <v>933</v>
      </c>
      <c r="G358" s="196" t="s">
        <v>120</v>
      </c>
      <c r="H358" s="196" t="s">
        <v>145</v>
      </c>
      <c r="I358" s="66"/>
      <c r="J358" s="233">
        <f t="shared" si="33"/>
        <v>76501.451596522384</v>
      </c>
      <c r="K358" s="234"/>
      <c r="L358" s="329"/>
      <c r="M358" s="329"/>
      <c r="N358" s="329"/>
      <c r="O358" s="329">
        <v>76501.451596522384</v>
      </c>
      <c r="P358" s="329">
        <v>76501.451596522384</v>
      </c>
      <c r="Q358" s="329">
        <v>76501.451596522384</v>
      </c>
      <c r="R358" s="329">
        <v>76501.451596522384</v>
      </c>
      <c r="S358" s="329">
        <v>76501.451596522384</v>
      </c>
    </row>
    <row r="359" spans="6:19" s="293" customFormat="1" x14ac:dyDescent="0.25">
      <c r="F359" s="196" t="s">
        <v>934</v>
      </c>
      <c r="G359" s="196" t="s">
        <v>120</v>
      </c>
      <c r="H359" s="196" t="s">
        <v>145</v>
      </c>
      <c r="I359" s="66"/>
      <c r="J359" s="233">
        <f t="shared" si="33"/>
        <v>245078.10586444187</v>
      </c>
      <c r="K359" s="234"/>
      <c r="L359" s="329"/>
      <c r="M359" s="329"/>
      <c r="N359" s="329"/>
      <c r="O359" s="329">
        <v>245078.10586444187</v>
      </c>
      <c r="P359" s="329">
        <v>245078.10586444187</v>
      </c>
      <c r="Q359" s="329">
        <v>245078.10586444187</v>
      </c>
      <c r="R359" s="329">
        <v>245078.10586444187</v>
      </c>
      <c r="S359" s="329">
        <v>245078.10586444187</v>
      </c>
    </row>
    <row r="360" spans="6:19" s="293" customFormat="1" x14ac:dyDescent="0.25">
      <c r="F360" s="196" t="s">
        <v>935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25">
      <c r="F361" s="196" t="s">
        <v>936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25">
      <c r="F362" s="196" t="s">
        <v>937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25">
      <c r="F363" s="196" t="s">
        <v>938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25">
      <c r="F364" s="196" t="s">
        <v>939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25">
      <c r="F365" s="196" t="s">
        <v>940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25">
      <c r="F366" s="196" t="s">
        <v>941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25">
      <c r="F367" s="196" t="s">
        <v>942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25">
      <c r="F368" s="93" t="s">
        <v>943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2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2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25">
      <c r="F371" s="91" t="s">
        <v>928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25">
      <c r="F372" s="196" t="s">
        <v>929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25">
      <c r="F373" s="196" t="s">
        <v>930</v>
      </c>
      <c r="G373" s="196" t="s">
        <v>74</v>
      </c>
      <c r="H373" s="196" t="s">
        <v>145</v>
      </c>
      <c r="I373" s="66"/>
      <c r="J373" s="233">
        <f t="shared" ref="J373" si="34">CHOOSE(year_selection, L373,M373,N373,O373,P373,Q373,R373,S373)</f>
        <v>30846</v>
      </c>
      <c r="K373" s="234"/>
      <c r="L373" s="329"/>
      <c r="M373" s="329"/>
      <c r="N373" s="329"/>
      <c r="O373" s="329">
        <v>30846</v>
      </c>
      <c r="P373" s="329">
        <v>30846</v>
      </c>
      <c r="Q373" s="329">
        <v>30846</v>
      </c>
      <c r="R373" s="329">
        <v>30846</v>
      </c>
      <c r="S373" s="329">
        <v>30846</v>
      </c>
    </row>
    <row r="374" spans="5:19" s="293" customFormat="1" x14ac:dyDescent="0.25">
      <c r="F374" s="196" t="s">
        <v>931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25">
      <c r="F375" s="196" t="s">
        <v>932</v>
      </c>
      <c r="G375" s="196" t="s">
        <v>74</v>
      </c>
      <c r="H375" s="196" t="s">
        <v>145</v>
      </c>
      <c r="I375" s="66"/>
      <c r="J375" s="233">
        <f t="shared" ref="J375:J377" si="35">CHOOSE(year_selection, L375,M375,N375,O375,P375,Q375,R375,S375)</f>
        <v>1818</v>
      </c>
      <c r="K375" s="234"/>
      <c r="L375" s="329"/>
      <c r="M375" s="329"/>
      <c r="N375" s="329"/>
      <c r="O375" s="329">
        <v>1818</v>
      </c>
      <c r="P375" s="329">
        <v>1818</v>
      </c>
      <c r="Q375" s="329">
        <v>1818</v>
      </c>
      <c r="R375" s="329">
        <v>1818</v>
      </c>
      <c r="S375" s="329">
        <v>1818</v>
      </c>
    </row>
    <row r="376" spans="5:19" s="293" customFormat="1" x14ac:dyDescent="0.25">
      <c r="F376" s="196" t="s">
        <v>933</v>
      </c>
      <c r="G376" s="196" t="s">
        <v>74</v>
      </c>
      <c r="H376" s="196" t="s">
        <v>145</v>
      </c>
      <c r="I376" s="66"/>
      <c r="J376" s="233">
        <f t="shared" si="35"/>
        <v>805</v>
      </c>
      <c r="K376" s="234"/>
      <c r="L376" s="329"/>
      <c r="M376" s="329"/>
      <c r="N376" s="329"/>
      <c r="O376" s="329">
        <v>805</v>
      </c>
      <c r="P376" s="329">
        <v>805</v>
      </c>
      <c r="Q376" s="329">
        <v>805</v>
      </c>
      <c r="R376" s="329">
        <v>805</v>
      </c>
      <c r="S376" s="329">
        <v>805</v>
      </c>
    </row>
    <row r="377" spans="5:19" s="293" customFormat="1" x14ac:dyDescent="0.25">
      <c r="F377" s="196" t="s">
        <v>934</v>
      </c>
      <c r="G377" s="196" t="s">
        <v>74</v>
      </c>
      <c r="H377" s="196" t="s">
        <v>145</v>
      </c>
      <c r="I377" s="66"/>
      <c r="J377" s="233">
        <f t="shared" si="35"/>
        <v>286</v>
      </c>
      <c r="K377" s="234"/>
      <c r="L377" s="329"/>
      <c r="M377" s="329"/>
      <c r="N377" s="329"/>
      <c r="O377" s="329">
        <v>286</v>
      </c>
      <c r="P377" s="329">
        <v>286</v>
      </c>
      <c r="Q377" s="329">
        <v>286</v>
      </c>
      <c r="R377" s="329">
        <v>286</v>
      </c>
      <c r="S377" s="329">
        <v>286</v>
      </c>
    </row>
    <row r="378" spans="5:19" s="293" customFormat="1" x14ac:dyDescent="0.25">
      <c r="F378" s="196" t="s">
        <v>935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25">
      <c r="F379" s="196" t="s">
        <v>936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25">
      <c r="F380" s="196" t="s">
        <v>937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25">
      <c r="F381" s="196" t="s">
        <v>938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25">
      <c r="F382" s="196" t="s">
        <v>939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25">
      <c r="F383" s="196" t="s">
        <v>940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25">
      <c r="F384" s="196" t="s">
        <v>941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25">
      <c r="F385" s="196" t="s">
        <v>942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25">
      <c r="F386" s="93" t="s">
        <v>943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2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2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25">
      <c r="F389" s="91" t="s">
        <v>928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25">
      <c r="F390" s="196" t="s">
        <v>929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25">
      <c r="F391" s="196" t="s">
        <v>930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25">
      <c r="F392" s="196" t="s">
        <v>931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25">
      <c r="F393" s="196" t="s">
        <v>932</v>
      </c>
      <c r="G393" s="196" t="s">
        <v>169</v>
      </c>
      <c r="H393" s="196" t="s">
        <v>145</v>
      </c>
      <c r="I393" s="66"/>
      <c r="J393" s="233">
        <f t="shared" ref="J393:J395" si="36">CHOOSE(year_selection, L393,M393,N393,O393,P393,Q393,R393,S393)</f>
        <v>211091</v>
      </c>
      <c r="K393" s="234"/>
      <c r="L393" s="329"/>
      <c r="M393" s="329"/>
      <c r="N393" s="329"/>
      <c r="O393" s="329">
        <v>211091</v>
      </c>
      <c r="P393" s="329">
        <v>211091</v>
      </c>
      <c r="Q393" s="329">
        <v>211091</v>
      </c>
      <c r="R393" s="329">
        <v>211091</v>
      </c>
      <c r="S393" s="329">
        <v>211091</v>
      </c>
    </row>
    <row r="394" spans="5:19" s="293" customFormat="1" x14ac:dyDescent="0.25">
      <c r="F394" s="196" t="s">
        <v>933</v>
      </c>
      <c r="G394" s="196" t="s">
        <v>169</v>
      </c>
      <c r="H394" s="196" t="s">
        <v>145</v>
      </c>
      <c r="I394" s="66"/>
      <c r="J394" s="233">
        <f t="shared" si="36"/>
        <v>96368</v>
      </c>
      <c r="K394" s="234"/>
      <c r="L394" s="329"/>
      <c r="M394" s="329"/>
      <c r="N394" s="329"/>
      <c r="O394" s="329">
        <v>96368</v>
      </c>
      <c r="P394" s="329">
        <v>96368</v>
      </c>
      <c r="Q394" s="329">
        <v>96368</v>
      </c>
      <c r="R394" s="329">
        <v>96368</v>
      </c>
      <c r="S394" s="329">
        <v>96368</v>
      </c>
    </row>
    <row r="395" spans="5:19" s="293" customFormat="1" x14ac:dyDescent="0.25">
      <c r="F395" s="196" t="s">
        <v>934</v>
      </c>
      <c r="G395" s="196" t="s">
        <v>169</v>
      </c>
      <c r="H395" s="196" t="s">
        <v>145</v>
      </c>
      <c r="I395" s="66"/>
      <c r="J395" s="233">
        <f t="shared" si="36"/>
        <v>199062</v>
      </c>
      <c r="K395" s="234"/>
      <c r="L395" s="329"/>
      <c r="M395" s="329"/>
      <c r="N395" s="329"/>
      <c r="O395" s="329">
        <v>199062</v>
      </c>
      <c r="P395" s="329">
        <v>199062</v>
      </c>
      <c r="Q395" s="329">
        <v>199062</v>
      </c>
      <c r="R395" s="329">
        <v>199062</v>
      </c>
      <c r="S395" s="329">
        <v>199062</v>
      </c>
    </row>
    <row r="396" spans="5:19" s="293" customFormat="1" x14ac:dyDescent="0.25">
      <c r="F396" s="196" t="s">
        <v>935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25">
      <c r="F397" s="196" t="s">
        <v>936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25">
      <c r="F398" s="196" t="s">
        <v>937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25">
      <c r="F399" s="196" t="s">
        <v>938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25">
      <c r="F400" s="196" t="s">
        <v>939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25">
      <c r="F401" s="196" t="s">
        <v>940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25">
      <c r="F402" s="196" t="s">
        <v>941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25">
      <c r="F403" s="196" t="s">
        <v>942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25">
      <c r="F404" s="93" t="s">
        <v>943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2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2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25">
      <c r="F407" s="91" t="s">
        <v>928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25">
      <c r="F408" s="196" t="s">
        <v>929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25">
      <c r="F409" s="196" t="s">
        <v>930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25">
      <c r="F410" s="196" t="s">
        <v>931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25">
      <c r="F411" s="196" t="s">
        <v>932</v>
      </c>
      <c r="G411" s="196" t="s">
        <v>169</v>
      </c>
      <c r="H411" s="196" t="s">
        <v>145</v>
      </c>
      <c r="I411" s="66"/>
      <c r="J411" s="233">
        <f t="shared" ref="J411:J413" si="37">CHOOSE(year_selection, L411,M411,N411,O411,P411,Q411,R411,S411)</f>
        <v>4768</v>
      </c>
      <c r="K411" s="234"/>
      <c r="L411" s="329"/>
      <c r="M411" s="329"/>
      <c r="N411" s="329"/>
      <c r="O411" s="329">
        <v>4768</v>
      </c>
      <c r="P411" s="329">
        <v>4768</v>
      </c>
      <c r="Q411" s="329">
        <v>4768</v>
      </c>
      <c r="R411" s="329">
        <v>4768</v>
      </c>
      <c r="S411" s="329">
        <v>4768</v>
      </c>
    </row>
    <row r="412" spans="5:19" s="293" customFormat="1" x14ac:dyDescent="0.25">
      <c r="F412" s="196" t="s">
        <v>933</v>
      </c>
      <c r="G412" s="196" t="s">
        <v>169</v>
      </c>
      <c r="H412" s="196" t="s">
        <v>145</v>
      </c>
      <c r="I412" s="66"/>
      <c r="J412" s="233">
        <f t="shared" si="37"/>
        <v>5122</v>
      </c>
      <c r="K412" s="234"/>
      <c r="L412" s="329"/>
      <c r="M412" s="329"/>
      <c r="N412" s="329"/>
      <c r="O412" s="329">
        <v>5122</v>
      </c>
      <c r="P412" s="329">
        <v>5122</v>
      </c>
      <c r="Q412" s="329">
        <v>5122</v>
      </c>
      <c r="R412" s="329">
        <v>5122</v>
      </c>
      <c r="S412" s="329">
        <v>5122</v>
      </c>
    </row>
    <row r="413" spans="5:19" s="293" customFormat="1" x14ac:dyDescent="0.25">
      <c r="F413" s="196" t="s">
        <v>934</v>
      </c>
      <c r="G413" s="196" t="s">
        <v>169</v>
      </c>
      <c r="H413" s="196" t="s">
        <v>145</v>
      </c>
      <c r="I413" s="66"/>
      <c r="J413" s="233">
        <f t="shared" si="37"/>
        <v>3314</v>
      </c>
      <c r="K413" s="234"/>
      <c r="L413" s="329"/>
      <c r="M413" s="329"/>
      <c r="N413" s="329"/>
      <c r="O413" s="329">
        <v>3314</v>
      </c>
      <c r="P413" s="329">
        <v>3314</v>
      </c>
      <c r="Q413" s="329">
        <v>3314</v>
      </c>
      <c r="R413" s="329">
        <v>3314</v>
      </c>
      <c r="S413" s="329">
        <v>3314</v>
      </c>
    </row>
    <row r="414" spans="5:19" s="293" customFormat="1" x14ac:dyDescent="0.25">
      <c r="F414" s="196" t="s">
        <v>935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25">
      <c r="F415" s="196" t="s">
        <v>936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25">
      <c r="F416" s="196" t="s">
        <v>937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25">
      <c r="F417" s="196" t="s">
        <v>938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25">
      <c r="F418" s="196" t="s">
        <v>939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25">
      <c r="F419" s="196" t="s">
        <v>940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25">
      <c r="F420" s="196" t="s">
        <v>941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25">
      <c r="F421" s="196" t="s">
        <v>942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25">
      <c r="F422" s="93" t="s">
        <v>943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2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2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25">
      <c r="F425" s="91" t="s">
        <v>928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25">
      <c r="F426" s="196" t="s">
        <v>929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25">
      <c r="F427" s="196" t="s">
        <v>930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25">
      <c r="F428" s="196" t="s">
        <v>931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25">
      <c r="F429" s="196" t="s">
        <v>932</v>
      </c>
      <c r="G429" s="196" t="s">
        <v>170</v>
      </c>
      <c r="H429" s="196" t="s">
        <v>145</v>
      </c>
      <c r="I429" s="66"/>
      <c r="J429" s="233">
        <f t="shared" ref="J429:J431" si="38">CHOOSE(year_selection, L429,M429,N429,O429,P429,Q429,R429,S429)</f>
        <v>29595.538</v>
      </c>
      <c r="K429" s="234"/>
      <c r="L429" s="329"/>
      <c r="M429" s="329"/>
      <c r="N429" s="329"/>
      <c r="O429" s="329">
        <v>29595.538</v>
      </c>
      <c r="P429" s="329">
        <v>29595.538</v>
      </c>
      <c r="Q429" s="329">
        <v>29595.538</v>
      </c>
      <c r="R429" s="329">
        <v>29595.538</v>
      </c>
      <c r="S429" s="329">
        <v>29595.538</v>
      </c>
    </row>
    <row r="430" spans="5:19" s="293" customFormat="1" x14ac:dyDescent="0.25">
      <c r="F430" s="196" t="s">
        <v>933</v>
      </c>
      <c r="G430" s="196" t="s">
        <v>170</v>
      </c>
      <c r="H430" s="196" t="s">
        <v>145</v>
      </c>
      <c r="I430" s="66"/>
      <c r="J430" s="233">
        <f t="shared" si="38"/>
        <v>35870.017</v>
      </c>
      <c r="K430" s="234"/>
      <c r="L430" s="329"/>
      <c r="M430" s="329"/>
      <c r="N430" s="329"/>
      <c r="O430" s="329">
        <v>35870.017</v>
      </c>
      <c r="P430" s="329">
        <v>35870.017</v>
      </c>
      <c r="Q430" s="329">
        <v>35870.017</v>
      </c>
      <c r="R430" s="329">
        <v>35870.017</v>
      </c>
      <c r="S430" s="329">
        <v>35870.017</v>
      </c>
    </row>
    <row r="431" spans="5:19" s="293" customFormat="1" x14ac:dyDescent="0.25">
      <c r="F431" s="196" t="s">
        <v>934</v>
      </c>
      <c r="G431" s="196" t="s">
        <v>170</v>
      </c>
      <c r="H431" s="196" t="s">
        <v>145</v>
      </c>
      <c r="I431" s="66"/>
      <c r="J431" s="233">
        <f t="shared" si="38"/>
        <v>33233.078999999998</v>
      </c>
      <c r="K431" s="234"/>
      <c r="L431" s="329"/>
      <c r="M431" s="329"/>
      <c r="N431" s="329"/>
      <c r="O431" s="329">
        <v>33233.078999999998</v>
      </c>
      <c r="P431" s="329">
        <v>33233.078999999998</v>
      </c>
      <c r="Q431" s="329">
        <v>33233.078999999998</v>
      </c>
      <c r="R431" s="329">
        <v>33233.078999999998</v>
      </c>
      <c r="S431" s="329">
        <v>33233.078999999998</v>
      </c>
    </row>
    <row r="432" spans="5:19" s="293" customFormat="1" x14ac:dyDescent="0.25">
      <c r="F432" s="196" t="s">
        <v>935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25">
      <c r="F433" s="196" t="s">
        <v>936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25">
      <c r="F434" s="196" t="s">
        <v>937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25">
      <c r="F435" s="196" t="s">
        <v>938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25">
      <c r="F436" s="196" t="s">
        <v>939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25">
      <c r="F437" s="196" t="s">
        <v>940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25">
      <c r="F438" s="196" t="s">
        <v>941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25">
      <c r="F439" s="196" t="s">
        <v>942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25">
      <c r="F440" s="93" t="s">
        <v>943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2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25">
      <c r="C442" s="7" t="str">
        <f ca="1">INDEX('Version control'!$H$34:$H$60,MATCH($A$1,'Version control'!$F$34:$F$60,0),1)&amp;"-F: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25">
      <c r="C443" s="96"/>
      <c r="I443" s="111"/>
    </row>
    <row r="444" spans="3:21" s="293" customFormat="1" x14ac:dyDescent="0.25">
      <c r="E444" s="144" t="s">
        <v>199</v>
      </c>
      <c r="I444" s="111" t="s">
        <v>359</v>
      </c>
      <c r="U444" s="293" t="s">
        <v>692</v>
      </c>
    </row>
    <row r="445" spans="3:21" s="293" customFormat="1" x14ac:dyDescent="0.25">
      <c r="F445" s="91" t="s">
        <v>928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25">
      <c r="F446" s="196" t="s">
        <v>929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25">
      <c r="F447" s="196" t="s">
        <v>930</v>
      </c>
      <c r="G447" s="196" t="s">
        <v>120</v>
      </c>
      <c r="H447" s="196" t="s">
        <v>145</v>
      </c>
      <c r="I447" s="66"/>
      <c r="J447" s="233">
        <f t="shared" ref="J447" si="39">CHOOSE(year_selection, L447,M447,N447,O447,P447,Q447,R447,S447)</f>
        <v>24026.000360174683</v>
      </c>
      <c r="K447" s="234"/>
      <c r="L447" s="329"/>
      <c r="M447" s="329"/>
      <c r="N447" s="329"/>
      <c r="O447" s="329">
        <v>24026.000360174683</v>
      </c>
      <c r="P447" s="329">
        <v>24026.000360174683</v>
      </c>
      <c r="Q447" s="329">
        <v>24026.000360174683</v>
      </c>
      <c r="R447" s="329">
        <v>24026.000360174683</v>
      </c>
      <c r="S447" s="329">
        <v>24026.000360174683</v>
      </c>
    </row>
    <row r="448" spans="3:21" s="293" customFormat="1" x14ac:dyDescent="0.25">
      <c r="F448" s="196" t="s">
        <v>931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25">
      <c r="F449" s="196" t="s">
        <v>932</v>
      </c>
      <c r="G449" s="196" t="s">
        <v>120</v>
      </c>
      <c r="H449" s="196" t="s">
        <v>145</v>
      </c>
      <c r="I449" s="66"/>
      <c r="J449" s="233">
        <f t="shared" ref="J449:J451" si="40">CHOOSE(year_selection, L449,M449,N449,O449,P449,Q449,R449,S449)</f>
        <v>12892.306864482678</v>
      </c>
      <c r="K449" s="234"/>
      <c r="L449" s="329"/>
      <c r="M449" s="329"/>
      <c r="N449" s="329"/>
      <c r="O449" s="329">
        <v>12892.306864482678</v>
      </c>
      <c r="P449" s="329">
        <v>12892.306864482678</v>
      </c>
      <c r="Q449" s="329">
        <v>12892.306864482678</v>
      </c>
      <c r="R449" s="329">
        <v>12892.306864482678</v>
      </c>
      <c r="S449" s="329">
        <v>12892.306864482678</v>
      </c>
    </row>
    <row r="450" spans="5:19" s="293" customFormat="1" x14ac:dyDescent="0.25">
      <c r="F450" s="196" t="s">
        <v>933</v>
      </c>
      <c r="G450" s="196" t="s">
        <v>120</v>
      </c>
      <c r="H450" s="196" t="s">
        <v>145</v>
      </c>
      <c r="I450" s="66"/>
      <c r="J450" s="233">
        <f t="shared" si="40"/>
        <v>15402.127398549308</v>
      </c>
      <c r="K450" s="234"/>
      <c r="L450" s="329"/>
      <c r="M450" s="329"/>
      <c r="N450" s="329"/>
      <c r="O450" s="329">
        <v>15402.127398549308</v>
      </c>
      <c r="P450" s="329">
        <v>15402.127398549308</v>
      </c>
      <c r="Q450" s="329">
        <v>15402.127398549308</v>
      </c>
      <c r="R450" s="329">
        <v>15402.127398549308</v>
      </c>
      <c r="S450" s="329">
        <v>15402.127398549308</v>
      </c>
    </row>
    <row r="451" spans="5:19" s="293" customFormat="1" x14ac:dyDescent="0.25">
      <c r="F451" s="196" t="s">
        <v>934</v>
      </c>
      <c r="G451" s="196" t="s">
        <v>120</v>
      </c>
      <c r="H451" s="196" t="s">
        <v>145</v>
      </c>
      <c r="I451" s="66"/>
      <c r="J451" s="233">
        <f t="shared" si="40"/>
        <v>44233.949301125933</v>
      </c>
      <c r="K451" s="234"/>
      <c r="L451" s="329"/>
      <c r="M451" s="329"/>
      <c r="N451" s="329"/>
      <c r="O451" s="329">
        <v>44233.949301125933</v>
      </c>
      <c r="P451" s="329">
        <v>44233.949301125933</v>
      </c>
      <c r="Q451" s="329">
        <v>44233.949301125933</v>
      </c>
      <c r="R451" s="329">
        <v>44233.949301125933</v>
      </c>
      <c r="S451" s="329">
        <v>44233.949301125933</v>
      </c>
    </row>
    <row r="452" spans="5:19" s="293" customFormat="1" x14ac:dyDescent="0.25">
      <c r="F452" s="196" t="s">
        <v>935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25">
      <c r="F453" s="196" t="s">
        <v>936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25">
      <c r="F454" s="196" t="s">
        <v>937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25">
      <c r="F455" s="196" t="s">
        <v>938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25">
      <c r="F456" s="196" t="s">
        <v>939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25">
      <c r="F457" s="196" t="s">
        <v>940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25">
      <c r="F458" s="196" t="s">
        <v>941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25">
      <c r="F459" s="196" t="s">
        <v>942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25">
      <c r="F460" s="93" t="s">
        <v>943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2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2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25">
      <c r="F463" s="91" t="s">
        <v>928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25">
      <c r="F464" s="196" t="s">
        <v>929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25">
      <c r="F465" s="196" t="s">
        <v>930</v>
      </c>
      <c r="G465" s="196" t="s">
        <v>120</v>
      </c>
      <c r="H465" s="196" t="s">
        <v>145</v>
      </c>
      <c r="I465" s="66"/>
      <c r="J465" s="233">
        <f t="shared" ref="J465" si="41">CHOOSE(year_selection, L465,M465,N465,O465,P465,Q465,R465,S465)</f>
        <v>126303.92786749937</v>
      </c>
      <c r="K465" s="234"/>
      <c r="L465" s="329"/>
      <c r="M465" s="329"/>
      <c r="N465" s="329"/>
      <c r="O465" s="329">
        <v>126303.92786749937</v>
      </c>
      <c r="P465" s="329">
        <v>126303.92786749937</v>
      </c>
      <c r="Q465" s="329">
        <v>126303.92786749937</v>
      </c>
      <c r="R465" s="329">
        <v>126303.92786749937</v>
      </c>
      <c r="S465" s="329">
        <v>126303.92786749937</v>
      </c>
    </row>
    <row r="466" spans="5:19" s="293" customFormat="1" x14ac:dyDescent="0.25">
      <c r="F466" s="196" t="s">
        <v>931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25">
      <c r="F467" s="196" t="s">
        <v>932</v>
      </c>
      <c r="G467" s="196" t="s">
        <v>120</v>
      </c>
      <c r="H467" s="196" t="s">
        <v>145</v>
      </c>
      <c r="I467" s="66"/>
      <c r="J467" s="233">
        <f t="shared" ref="J467:J469" si="42">CHOOSE(year_selection, L467,M467,N467,O467,P467,Q467,R467,S467)</f>
        <v>58610.487045961156</v>
      </c>
      <c r="K467" s="234"/>
      <c r="L467" s="329"/>
      <c r="M467" s="329"/>
      <c r="N467" s="329"/>
      <c r="O467" s="329">
        <v>58610.487045961156</v>
      </c>
      <c r="P467" s="329">
        <v>58610.487045961156</v>
      </c>
      <c r="Q467" s="329">
        <v>58610.487045961156</v>
      </c>
      <c r="R467" s="329">
        <v>58610.487045961156</v>
      </c>
      <c r="S467" s="329">
        <v>58610.487045961156</v>
      </c>
    </row>
    <row r="468" spans="5:19" s="293" customFormat="1" x14ac:dyDescent="0.25">
      <c r="F468" s="196" t="s">
        <v>933</v>
      </c>
      <c r="G468" s="196" t="s">
        <v>120</v>
      </c>
      <c r="H468" s="196" t="s">
        <v>145</v>
      </c>
      <c r="I468" s="66"/>
      <c r="J468" s="233">
        <f t="shared" si="42"/>
        <v>74438.762607897253</v>
      </c>
      <c r="K468" s="234"/>
      <c r="L468" s="329"/>
      <c r="M468" s="329"/>
      <c r="N468" s="329"/>
      <c r="O468" s="329">
        <v>74438.762607897253</v>
      </c>
      <c r="P468" s="329">
        <v>74438.762607897253</v>
      </c>
      <c r="Q468" s="329">
        <v>74438.762607897253</v>
      </c>
      <c r="R468" s="329">
        <v>74438.762607897253</v>
      </c>
      <c r="S468" s="329">
        <v>74438.762607897253</v>
      </c>
    </row>
    <row r="469" spans="5:19" s="293" customFormat="1" x14ac:dyDescent="0.25">
      <c r="F469" s="196" t="s">
        <v>934</v>
      </c>
      <c r="G469" s="196" t="s">
        <v>120</v>
      </c>
      <c r="H469" s="196" t="s">
        <v>145</v>
      </c>
      <c r="I469" s="66"/>
      <c r="J469" s="233">
        <f t="shared" si="42"/>
        <v>202756.92243067667</v>
      </c>
      <c r="K469" s="234"/>
      <c r="L469" s="329"/>
      <c r="M469" s="329"/>
      <c r="N469" s="329"/>
      <c r="O469" s="329">
        <v>202756.92243067667</v>
      </c>
      <c r="P469" s="329">
        <v>202756.92243067667</v>
      </c>
      <c r="Q469" s="329">
        <v>202756.92243067667</v>
      </c>
      <c r="R469" s="329">
        <v>202756.92243067667</v>
      </c>
      <c r="S469" s="329">
        <v>202756.92243067667</v>
      </c>
    </row>
    <row r="470" spans="5:19" s="293" customFormat="1" x14ac:dyDescent="0.25">
      <c r="F470" s="196" t="s">
        <v>935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25">
      <c r="F471" s="196" t="s">
        <v>936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25">
      <c r="F472" s="196" t="s">
        <v>937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25">
      <c r="F473" s="196" t="s">
        <v>938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25">
      <c r="F474" s="196" t="s">
        <v>939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25">
      <c r="F475" s="196" t="s">
        <v>940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25">
      <c r="F476" s="196" t="s">
        <v>941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25">
      <c r="F477" s="196" t="s">
        <v>942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25">
      <c r="F478" s="93" t="s">
        <v>943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2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2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25">
      <c r="F481" s="91" t="s">
        <v>928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25">
      <c r="F482" s="196" t="s">
        <v>929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25">
      <c r="F483" s="196" t="s">
        <v>930</v>
      </c>
      <c r="G483" s="196" t="s">
        <v>120</v>
      </c>
      <c r="H483" s="196" t="s">
        <v>145</v>
      </c>
      <c r="I483" s="66"/>
      <c r="J483" s="233">
        <f t="shared" ref="J483" si="43">CHOOSE(year_selection, L483,M483,N483,O483,P483,Q483,R483,S483)</f>
        <v>122316.23846681342</v>
      </c>
      <c r="K483" s="234"/>
      <c r="L483" s="329"/>
      <c r="M483" s="329"/>
      <c r="N483" s="329"/>
      <c r="O483" s="329">
        <v>122316.23846681342</v>
      </c>
      <c r="P483" s="329">
        <v>122316.23846681342</v>
      </c>
      <c r="Q483" s="329">
        <v>122316.23846681342</v>
      </c>
      <c r="R483" s="329">
        <v>122316.23846681342</v>
      </c>
      <c r="S483" s="329">
        <v>122316.23846681342</v>
      </c>
    </row>
    <row r="484" spans="6:19" s="293" customFormat="1" x14ac:dyDescent="0.25">
      <c r="F484" s="196" t="s">
        <v>931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25">
      <c r="F485" s="196" t="s">
        <v>932</v>
      </c>
      <c r="G485" s="196" t="s">
        <v>120</v>
      </c>
      <c r="H485" s="196" t="s">
        <v>145</v>
      </c>
      <c r="I485" s="66"/>
      <c r="J485" s="233">
        <f t="shared" ref="J485:J487" si="44">CHOOSE(year_selection, L485,M485,N485,O485,P485,Q485,R485,S485)</f>
        <v>50367.54493534637</v>
      </c>
      <c r="K485" s="234"/>
      <c r="L485" s="329"/>
      <c r="M485" s="329"/>
      <c r="N485" s="329"/>
      <c r="O485" s="329">
        <v>50367.54493534637</v>
      </c>
      <c r="P485" s="329">
        <v>50367.54493534637</v>
      </c>
      <c r="Q485" s="329">
        <v>50367.54493534637</v>
      </c>
      <c r="R485" s="329">
        <v>50367.54493534637</v>
      </c>
      <c r="S485" s="329">
        <v>50367.54493534637</v>
      </c>
    </row>
    <row r="486" spans="6:19" s="293" customFormat="1" x14ac:dyDescent="0.25">
      <c r="F486" s="196" t="s">
        <v>933</v>
      </c>
      <c r="G486" s="196" t="s">
        <v>120</v>
      </c>
      <c r="H486" s="196" t="s">
        <v>145</v>
      </c>
      <c r="I486" s="66"/>
      <c r="J486" s="233">
        <f t="shared" si="44"/>
        <v>65855.248028540766</v>
      </c>
      <c r="K486" s="234"/>
      <c r="L486" s="329"/>
      <c r="M486" s="329"/>
      <c r="N486" s="329"/>
      <c r="O486" s="329">
        <v>65855.248028540766</v>
      </c>
      <c r="P486" s="329">
        <v>65855.248028540766</v>
      </c>
      <c r="Q486" s="329">
        <v>65855.248028540766</v>
      </c>
      <c r="R486" s="329">
        <v>65855.248028540766</v>
      </c>
      <c r="S486" s="329">
        <v>65855.248028540766</v>
      </c>
    </row>
    <row r="487" spans="6:19" s="293" customFormat="1" x14ac:dyDescent="0.25">
      <c r="F487" s="196" t="s">
        <v>934</v>
      </c>
      <c r="G487" s="196" t="s">
        <v>120</v>
      </c>
      <c r="H487" s="196" t="s">
        <v>145</v>
      </c>
      <c r="I487" s="66"/>
      <c r="J487" s="233">
        <f t="shared" si="44"/>
        <v>220080.16145248769</v>
      </c>
      <c r="K487" s="234"/>
      <c r="L487" s="329"/>
      <c r="M487" s="329"/>
      <c r="N487" s="329"/>
      <c r="O487" s="329">
        <v>220080.16145248769</v>
      </c>
      <c r="P487" s="329">
        <v>220080.16145248769</v>
      </c>
      <c r="Q487" s="329">
        <v>220080.16145248769</v>
      </c>
      <c r="R487" s="329">
        <v>220080.16145248769</v>
      </c>
      <c r="S487" s="329">
        <v>220080.16145248769</v>
      </c>
    </row>
    <row r="488" spans="6:19" s="293" customFormat="1" x14ac:dyDescent="0.25">
      <c r="F488" s="196" t="s">
        <v>935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25">
      <c r="F489" s="196" t="s">
        <v>936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25">
      <c r="F490" s="196" t="s">
        <v>937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25">
      <c r="F491" s="196" t="s">
        <v>938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25">
      <c r="F492" s="196" t="s">
        <v>939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25">
      <c r="F493" s="196" t="s">
        <v>940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25">
      <c r="F494" s="196" t="s">
        <v>941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25">
      <c r="F495" s="196" t="s">
        <v>942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25">
      <c r="F496" s="93" t="s">
        <v>943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2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2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25">
      <c r="F499" s="91" t="s">
        <v>928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25">
      <c r="F500" s="196" t="s">
        <v>929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25">
      <c r="F501" s="196" t="s">
        <v>930</v>
      </c>
      <c r="G501" s="196" t="s">
        <v>74</v>
      </c>
      <c r="H501" s="196" t="s">
        <v>145</v>
      </c>
      <c r="I501" s="66"/>
      <c r="J501" s="233">
        <f t="shared" ref="J501" si="45">CHOOSE(year_selection, L501,M501,N501,O501,P501,Q501,R501,S501)</f>
        <v>15709</v>
      </c>
      <c r="K501" s="234"/>
      <c r="L501" s="329"/>
      <c r="M501" s="329"/>
      <c r="N501" s="329"/>
      <c r="O501" s="329">
        <v>15709</v>
      </c>
      <c r="P501" s="329">
        <v>15709</v>
      </c>
      <c r="Q501" s="329">
        <v>15709</v>
      </c>
      <c r="R501" s="329">
        <v>15709</v>
      </c>
      <c r="S501" s="329">
        <v>15709</v>
      </c>
    </row>
    <row r="502" spans="5:19" s="293" customFormat="1" x14ac:dyDescent="0.25">
      <c r="F502" s="196" t="s">
        <v>931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25">
      <c r="F503" s="196" t="s">
        <v>932</v>
      </c>
      <c r="G503" s="196" t="s">
        <v>74</v>
      </c>
      <c r="H503" s="196" t="s">
        <v>145</v>
      </c>
      <c r="I503" s="66"/>
      <c r="J503" s="233">
        <f t="shared" ref="J503:J505" si="46">CHOOSE(year_selection, L503,M503,N503,O503,P503,Q503,R503,S503)</f>
        <v>425</v>
      </c>
      <c r="K503" s="234"/>
      <c r="L503" s="329"/>
      <c r="M503" s="329"/>
      <c r="N503" s="329"/>
      <c r="O503" s="329">
        <v>425</v>
      </c>
      <c r="P503" s="329">
        <v>425</v>
      </c>
      <c r="Q503" s="329">
        <v>425</v>
      </c>
      <c r="R503" s="329">
        <v>425</v>
      </c>
      <c r="S503" s="329">
        <v>425</v>
      </c>
    </row>
    <row r="504" spans="5:19" s="293" customFormat="1" x14ac:dyDescent="0.25">
      <c r="F504" s="196" t="s">
        <v>933</v>
      </c>
      <c r="G504" s="196" t="s">
        <v>74</v>
      </c>
      <c r="H504" s="196" t="s">
        <v>145</v>
      </c>
      <c r="I504" s="66"/>
      <c r="J504" s="233">
        <f t="shared" si="46"/>
        <v>426</v>
      </c>
      <c r="K504" s="234"/>
      <c r="L504" s="329"/>
      <c r="M504" s="329"/>
      <c r="N504" s="329"/>
      <c r="O504" s="329">
        <v>426</v>
      </c>
      <c r="P504" s="329">
        <v>426</v>
      </c>
      <c r="Q504" s="329">
        <v>426</v>
      </c>
      <c r="R504" s="329">
        <v>426</v>
      </c>
      <c r="S504" s="329">
        <v>426</v>
      </c>
    </row>
    <row r="505" spans="5:19" s="293" customFormat="1" x14ac:dyDescent="0.25">
      <c r="F505" s="196" t="s">
        <v>934</v>
      </c>
      <c r="G505" s="196" t="s">
        <v>74</v>
      </c>
      <c r="H505" s="196" t="s">
        <v>145</v>
      </c>
      <c r="I505" s="66"/>
      <c r="J505" s="233">
        <f t="shared" si="46"/>
        <v>127</v>
      </c>
      <c r="K505" s="234"/>
      <c r="L505" s="329"/>
      <c r="M505" s="329"/>
      <c r="N505" s="329"/>
      <c r="O505" s="329">
        <v>127</v>
      </c>
      <c r="P505" s="329">
        <v>127</v>
      </c>
      <c r="Q505" s="329">
        <v>127</v>
      </c>
      <c r="R505" s="329">
        <v>127</v>
      </c>
      <c r="S505" s="329">
        <v>127</v>
      </c>
    </row>
    <row r="506" spans="5:19" s="293" customFormat="1" x14ac:dyDescent="0.25">
      <c r="F506" s="196" t="s">
        <v>935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25">
      <c r="F507" s="196" t="s">
        <v>936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25">
      <c r="F508" s="196" t="s">
        <v>937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25">
      <c r="F509" s="196" t="s">
        <v>938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25">
      <c r="F510" s="196" t="s">
        <v>939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25">
      <c r="F511" s="196" t="s">
        <v>940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25">
      <c r="F512" s="196" t="s">
        <v>941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25">
      <c r="F513" s="196" t="s">
        <v>942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25">
      <c r="F514" s="93" t="s">
        <v>943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2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2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25">
      <c r="F517" s="91" t="s">
        <v>928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25">
      <c r="F518" s="196" t="s">
        <v>929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25">
      <c r="F519" s="196" t="s">
        <v>930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25">
      <c r="F520" s="196" t="s">
        <v>931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25">
      <c r="F521" s="196" t="s">
        <v>932</v>
      </c>
      <c r="G521" s="196" t="s">
        <v>169</v>
      </c>
      <c r="H521" s="196" t="s">
        <v>145</v>
      </c>
      <c r="I521" s="66"/>
      <c r="J521" s="233">
        <f t="shared" ref="J521:J523" si="47">CHOOSE(year_selection, L521,M521,N521,O521,P521,Q521,R521,S521)</f>
        <v>81153</v>
      </c>
      <c r="K521" s="234"/>
      <c r="L521" s="329"/>
      <c r="M521" s="329"/>
      <c r="N521" s="329"/>
      <c r="O521" s="329">
        <v>81153</v>
      </c>
      <c r="P521" s="329">
        <v>81153</v>
      </c>
      <c r="Q521" s="329">
        <v>81153</v>
      </c>
      <c r="R521" s="329">
        <v>81153</v>
      </c>
      <c r="S521" s="329">
        <v>81153</v>
      </c>
    </row>
    <row r="522" spans="5:19" s="293" customFormat="1" x14ac:dyDescent="0.25">
      <c r="F522" s="196" t="s">
        <v>933</v>
      </c>
      <c r="G522" s="196" t="s">
        <v>169</v>
      </c>
      <c r="H522" s="196" t="s">
        <v>145</v>
      </c>
      <c r="I522" s="66"/>
      <c r="J522" s="233">
        <f t="shared" si="47"/>
        <v>82957</v>
      </c>
      <c r="K522" s="234"/>
      <c r="L522" s="329"/>
      <c r="M522" s="329"/>
      <c r="N522" s="329"/>
      <c r="O522" s="329">
        <v>82957</v>
      </c>
      <c r="P522" s="329">
        <v>82957</v>
      </c>
      <c r="Q522" s="329">
        <v>82957</v>
      </c>
      <c r="R522" s="329">
        <v>82957</v>
      </c>
      <c r="S522" s="329">
        <v>82957</v>
      </c>
    </row>
    <row r="523" spans="5:19" s="293" customFormat="1" x14ac:dyDescent="0.25">
      <c r="F523" s="196" t="s">
        <v>934</v>
      </c>
      <c r="G523" s="196" t="s">
        <v>169</v>
      </c>
      <c r="H523" s="196" t="s">
        <v>145</v>
      </c>
      <c r="I523" s="66"/>
      <c r="J523" s="233">
        <f t="shared" si="47"/>
        <v>178758</v>
      </c>
      <c r="K523" s="234"/>
      <c r="L523" s="329"/>
      <c r="M523" s="329"/>
      <c r="N523" s="329"/>
      <c r="O523" s="329">
        <v>178758</v>
      </c>
      <c r="P523" s="329">
        <v>178758</v>
      </c>
      <c r="Q523" s="329">
        <v>178758</v>
      </c>
      <c r="R523" s="329">
        <v>178758</v>
      </c>
      <c r="S523" s="329">
        <v>178758</v>
      </c>
    </row>
    <row r="524" spans="5:19" s="293" customFormat="1" x14ac:dyDescent="0.25">
      <c r="F524" s="196" t="s">
        <v>935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25">
      <c r="F525" s="196" t="s">
        <v>936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25">
      <c r="F526" s="196" t="s">
        <v>937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25">
      <c r="F527" s="196" t="s">
        <v>938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25">
      <c r="F528" s="196" t="s">
        <v>939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25">
      <c r="F529" s="196" t="s">
        <v>940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25">
      <c r="F530" s="196" t="s">
        <v>941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25">
      <c r="F531" s="196" t="s">
        <v>942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25">
      <c r="F532" s="93" t="s">
        <v>943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2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2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25">
      <c r="F535" s="91" t="s">
        <v>928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25">
      <c r="F536" s="196" t="s">
        <v>929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25">
      <c r="F537" s="196" t="s">
        <v>930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25">
      <c r="F538" s="196" t="s">
        <v>931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25">
      <c r="F539" s="196" t="s">
        <v>932</v>
      </c>
      <c r="G539" s="196" t="s">
        <v>169</v>
      </c>
      <c r="H539" s="196" t="s">
        <v>145</v>
      </c>
      <c r="I539" s="66"/>
      <c r="J539" s="233">
        <f t="shared" ref="J539:J541" si="48">CHOOSE(year_selection, L539,M539,N539,O539,P539,Q539,R539,S539)</f>
        <v>1833</v>
      </c>
      <c r="K539" s="234"/>
      <c r="L539" s="329"/>
      <c r="M539" s="329"/>
      <c r="N539" s="329"/>
      <c r="O539" s="329">
        <v>1833</v>
      </c>
      <c r="P539" s="329">
        <v>1833</v>
      </c>
      <c r="Q539" s="329">
        <v>1833</v>
      </c>
      <c r="R539" s="329">
        <v>1833</v>
      </c>
      <c r="S539" s="329">
        <v>1833</v>
      </c>
    </row>
    <row r="540" spans="5:19" s="293" customFormat="1" x14ac:dyDescent="0.25">
      <c r="F540" s="196" t="s">
        <v>933</v>
      </c>
      <c r="G540" s="196" t="s">
        <v>169</v>
      </c>
      <c r="H540" s="196" t="s">
        <v>145</v>
      </c>
      <c r="I540" s="66"/>
      <c r="J540" s="233">
        <f t="shared" si="48"/>
        <v>1969</v>
      </c>
      <c r="K540" s="234"/>
      <c r="L540" s="329"/>
      <c r="M540" s="329"/>
      <c r="N540" s="329"/>
      <c r="O540" s="329">
        <v>1969</v>
      </c>
      <c r="P540" s="329">
        <v>1969</v>
      </c>
      <c r="Q540" s="329">
        <v>1969</v>
      </c>
      <c r="R540" s="329">
        <v>1969</v>
      </c>
      <c r="S540" s="329">
        <v>1969</v>
      </c>
    </row>
    <row r="541" spans="5:19" s="293" customFormat="1" x14ac:dyDescent="0.25">
      <c r="F541" s="196" t="s">
        <v>934</v>
      </c>
      <c r="G541" s="196" t="s">
        <v>169</v>
      </c>
      <c r="H541" s="196" t="s">
        <v>145</v>
      </c>
      <c r="I541" s="66"/>
      <c r="J541" s="233">
        <f t="shared" si="48"/>
        <v>2976</v>
      </c>
      <c r="K541" s="234"/>
      <c r="L541" s="329"/>
      <c r="M541" s="329"/>
      <c r="N541" s="329"/>
      <c r="O541" s="329">
        <v>2976</v>
      </c>
      <c r="P541" s="329">
        <v>2976</v>
      </c>
      <c r="Q541" s="329">
        <v>2976</v>
      </c>
      <c r="R541" s="329">
        <v>2976</v>
      </c>
      <c r="S541" s="329">
        <v>2976</v>
      </c>
    </row>
    <row r="542" spans="5:19" s="293" customFormat="1" x14ac:dyDescent="0.25">
      <c r="F542" s="196" t="s">
        <v>935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25">
      <c r="F543" s="196" t="s">
        <v>936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25">
      <c r="F544" s="196" t="s">
        <v>937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25">
      <c r="F545" s="196" t="s">
        <v>938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25">
      <c r="F546" s="196" t="s">
        <v>939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25">
      <c r="F547" s="196" t="s">
        <v>940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25">
      <c r="F548" s="196" t="s">
        <v>941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25">
      <c r="F549" s="196" t="s">
        <v>942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25">
      <c r="F550" s="93" t="s">
        <v>943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2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2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25">
      <c r="F553" s="91" t="s">
        <v>928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25">
      <c r="F554" s="196" t="s">
        <v>929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25">
      <c r="F555" s="196" t="s">
        <v>930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25">
      <c r="F556" s="196" t="s">
        <v>931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25">
      <c r="F557" s="196" t="s">
        <v>932</v>
      </c>
      <c r="G557" s="196" t="s">
        <v>170</v>
      </c>
      <c r="H557" s="196" t="s">
        <v>145</v>
      </c>
      <c r="I557" s="66"/>
      <c r="J557" s="233">
        <f t="shared" ref="J557:J559" si="49">CHOOSE(year_selection, L557,M557,N557,O557,P557,Q557,R557,S557)</f>
        <v>11377.915000000001</v>
      </c>
      <c r="K557" s="234"/>
      <c r="L557" s="329"/>
      <c r="M557" s="329"/>
      <c r="N557" s="329"/>
      <c r="O557" s="329">
        <v>11377.915000000001</v>
      </c>
      <c r="P557" s="329">
        <v>11377.915000000001</v>
      </c>
      <c r="Q557" s="329">
        <v>11377.915000000001</v>
      </c>
      <c r="R557" s="329">
        <v>11377.915000000001</v>
      </c>
      <c r="S557" s="329">
        <v>11377.915000000001</v>
      </c>
    </row>
    <row r="558" spans="5:19" s="293" customFormat="1" x14ac:dyDescent="0.25">
      <c r="F558" s="196" t="s">
        <v>933</v>
      </c>
      <c r="G558" s="196" t="s">
        <v>170</v>
      </c>
      <c r="H558" s="196" t="s">
        <v>145</v>
      </c>
      <c r="I558" s="66"/>
      <c r="J558" s="233">
        <f t="shared" si="49"/>
        <v>13790.119000000001</v>
      </c>
      <c r="K558" s="234"/>
      <c r="L558" s="329"/>
      <c r="M558" s="329"/>
      <c r="N558" s="329"/>
      <c r="O558" s="329">
        <v>13790.119000000001</v>
      </c>
      <c r="P558" s="329">
        <v>13790.119000000001</v>
      </c>
      <c r="Q558" s="329">
        <v>13790.119000000001</v>
      </c>
      <c r="R558" s="329">
        <v>13790.119000000001</v>
      </c>
      <c r="S558" s="329">
        <v>13790.119000000001</v>
      </c>
    </row>
    <row r="559" spans="5:19" s="293" customFormat="1" x14ac:dyDescent="0.25">
      <c r="F559" s="196" t="s">
        <v>934</v>
      </c>
      <c r="G559" s="196" t="s">
        <v>170</v>
      </c>
      <c r="H559" s="196" t="s">
        <v>145</v>
      </c>
      <c r="I559" s="66"/>
      <c r="J559" s="233">
        <f t="shared" si="49"/>
        <v>29843.308000000001</v>
      </c>
      <c r="K559" s="234"/>
      <c r="L559" s="329"/>
      <c r="M559" s="329"/>
      <c r="N559" s="329"/>
      <c r="O559" s="329">
        <v>29843.308000000001</v>
      </c>
      <c r="P559" s="329">
        <v>29843.308000000001</v>
      </c>
      <c r="Q559" s="329">
        <v>29843.308000000001</v>
      </c>
      <c r="R559" s="329">
        <v>29843.308000000001</v>
      </c>
      <c r="S559" s="329">
        <v>29843.308000000001</v>
      </c>
    </row>
    <row r="560" spans="5:19" s="293" customFormat="1" x14ac:dyDescent="0.25">
      <c r="F560" s="196" t="s">
        <v>935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25">
      <c r="F561" s="196" t="s">
        <v>936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25">
      <c r="F562" s="196" t="s">
        <v>937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25">
      <c r="F563" s="196" t="s">
        <v>938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25">
      <c r="F564" s="196" t="s">
        <v>939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25">
      <c r="F565" s="196" t="s">
        <v>940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25">
      <c r="F566" s="196" t="s">
        <v>941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25">
      <c r="F567" s="196" t="s">
        <v>942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25">
      <c r="F568" s="93" t="s">
        <v>943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2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25">
      <c r="C570" s="7" t="str">
        <f ca="1">INDEX('Version control'!$H$34:$H$60,MATCH($A$1,'Version control'!$F$34:$F$60,0),1)&amp;"-G: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25">
      <c r="C571" s="96"/>
      <c r="I571" s="111"/>
    </row>
    <row r="572" spans="3:21" s="293" customFormat="1" x14ac:dyDescent="0.25">
      <c r="E572" s="144" t="s">
        <v>199</v>
      </c>
      <c r="I572" s="111" t="s">
        <v>359</v>
      </c>
      <c r="U572" s="293" t="s">
        <v>692</v>
      </c>
    </row>
    <row r="573" spans="3:21" s="293" customFormat="1" x14ac:dyDescent="0.25">
      <c r="F573" s="91" t="s">
        <v>928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25">
      <c r="F574" s="196" t="s">
        <v>929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25">
      <c r="F575" s="196" t="s">
        <v>930</v>
      </c>
      <c r="G575" s="196" t="s">
        <v>120</v>
      </c>
      <c r="H575" s="196" t="s">
        <v>145</v>
      </c>
      <c r="I575" s="66"/>
      <c r="J575" s="233">
        <f t="shared" ref="J575" si="50">CHOOSE(year_selection, L575,M575,N575,O575,P575,Q575,R575,S575)</f>
        <v>82076.332418060643</v>
      </c>
      <c r="K575" s="234"/>
      <c r="L575" s="329"/>
      <c r="M575" s="329"/>
      <c r="N575" s="329"/>
      <c r="O575" s="329">
        <v>82076.332418060643</v>
      </c>
      <c r="P575" s="329">
        <v>82076.332418060643</v>
      </c>
      <c r="Q575" s="329">
        <v>82076.332418060643</v>
      </c>
      <c r="R575" s="329">
        <v>82076.332418060643</v>
      </c>
      <c r="S575" s="329">
        <v>82076.332418060643</v>
      </c>
    </row>
    <row r="576" spans="3:21" s="293" customFormat="1" x14ac:dyDescent="0.25">
      <c r="F576" s="196" t="s">
        <v>931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25">
      <c r="F577" s="196" t="s">
        <v>932</v>
      </c>
      <c r="G577" s="196" t="s">
        <v>120</v>
      </c>
      <c r="H577" s="196" t="s">
        <v>145</v>
      </c>
      <c r="I577" s="66"/>
      <c r="J577" s="233">
        <f t="shared" ref="J577:J579" si="51">CHOOSE(year_selection, L577,M577,N577,O577,P577,Q577,R577,S577)</f>
        <v>17231.444255448405</v>
      </c>
      <c r="K577" s="234"/>
      <c r="L577" s="329"/>
      <c r="M577" s="329"/>
      <c r="N577" s="329"/>
      <c r="O577" s="329">
        <v>17231.444255448405</v>
      </c>
      <c r="P577" s="329">
        <v>17231.444255448405</v>
      </c>
      <c r="Q577" s="329">
        <v>17231.444255448405</v>
      </c>
      <c r="R577" s="329">
        <v>17231.444255448405</v>
      </c>
      <c r="S577" s="329">
        <v>17231.444255448405</v>
      </c>
    </row>
    <row r="578" spans="5:19" s="293" customFormat="1" x14ac:dyDescent="0.25">
      <c r="F578" s="196" t="s">
        <v>933</v>
      </c>
      <c r="G578" s="196" t="s">
        <v>120</v>
      </c>
      <c r="H578" s="196" t="s">
        <v>145</v>
      </c>
      <c r="I578" s="66"/>
      <c r="J578" s="233">
        <f t="shared" si="51"/>
        <v>61930.185239457518</v>
      </c>
      <c r="K578" s="234"/>
      <c r="L578" s="329"/>
      <c r="M578" s="329"/>
      <c r="N578" s="329"/>
      <c r="O578" s="329">
        <v>61930.185239457518</v>
      </c>
      <c r="P578" s="329">
        <v>61930.185239457518</v>
      </c>
      <c r="Q578" s="329">
        <v>61930.185239457518</v>
      </c>
      <c r="R578" s="329">
        <v>61930.185239457518</v>
      </c>
      <c r="S578" s="329">
        <v>61930.185239457518</v>
      </c>
    </row>
    <row r="579" spans="5:19" s="293" customFormat="1" x14ac:dyDescent="0.25">
      <c r="F579" s="196" t="s">
        <v>934</v>
      </c>
      <c r="G579" s="196" t="s">
        <v>120</v>
      </c>
      <c r="H579" s="196" t="s">
        <v>145</v>
      </c>
      <c r="I579" s="66"/>
      <c r="J579" s="233">
        <f t="shared" si="51"/>
        <v>58874.529382200897</v>
      </c>
      <c r="K579" s="234"/>
      <c r="L579" s="329"/>
      <c r="M579" s="329"/>
      <c r="N579" s="329"/>
      <c r="O579" s="329">
        <v>58874.529382200897</v>
      </c>
      <c r="P579" s="329">
        <v>58874.529382200897</v>
      </c>
      <c r="Q579" s="329">
        <v>58874.529382200897</v>
      </c>
      <c r="R579" s="329">
        <v>58874.529382200897</v>
      </c>
      <c r="S579" s="329">
        <v>58874.529382200897</v>
      </c>
    </row>
    <row r="580" spans="5:19" s="293" customFormat="1" x14ac:dyDescent="0.25">
      <c r="F580" s="196" t="s">
        <v>935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25">
      <c r="F581" s="196" t="s">
        <v>936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25">
      <c r="F582" s="196" t="s">
        <v>937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25">
      <c r="F583" s="196" t="s">
        <v>938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25">
      <c r="F584" s="196" t="s">
        <v>939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25">
      <c r="F585" s="196" t="s">
        <v>940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25">
      <c r="F586" s="196" t="s">
        <v>941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25">
      <c r="F587" s="196" t="s">
        <v>942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25">
      <c r="F588" s="93" t="s">
        <v>943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2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2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25">
      <c r="F591" s="91" t="s">
        <v>928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25">
      <c r="F592" s="196" t="s">
        <v>929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25">
      <c r="F593" s="196" t="s">
        <v>930</v>
      </c>
      <c r="G593" s="196" t="s">
        <v>120</v>
      </c>
      <c r="H593" s="196" t="s">
        <v>145</v>
      </c>
      <c r="I593" s="66"/>
      <c r="J593" s="233">
        <f t="shared" ref="J593" si="52">CHOOSE(year_selection, L593,M593,N593,O593,P593,Q593,R593,S593)</f>
        <v>431472.69682652509</v>
      </c>
      <c r="K593" s="234"/>
      <c r="L593" s="329"/>
      <c r="M593" s="329"/>
      <c r="N593" s="329"/>
      <c r="O593" s="329">
        <v>431472.69682652509</v>
      </c>
      <c r="P593" s="329">
        <v>431472.69682652509</v>
      </c>
      <c r="Q593" s="329">
        <v>431472.69682652509</v>
      </c>
      <c r="R593" s="329">
        <v>431472.69682652509</v>
      </c>
      <c r="S593" s="329">
        <v>431472.69682652509</v>
      </c>
    </row>
    <row r="594" spans="5:19" s="293" customFormat="1" x14ac:dyDescent="0.25">
      <c r="F594" s="196" t="s">
        <v>931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25">
      <c r="F595" s="196" t="s">
        <v>932</v>
      </c>
      <c r="G595" s="196" t="s">
        <v>120</v>
      </c>
      <c r="H595" s="196" t="s">
        <v>145</v>
      </c>
      <c r="I595" s="66"/>
      <c r="J595" s="233">
        <f t="shared" ref="J595:J597" si="53">CHOOSE(year_selection, L595,M595,N595,O595,P595,Q595,R595,S595)</f>
        <v>78336.898968754555</v>
      </c>
      <c r="K595" s="234"/>
      <c r="L595" s="329"/>
      <c r="M595" s="329"/>
      <c r="N595" s="329"/>
      <c r="O595" s="329">
        <v>78336.898968754555</v>
      </c>
      <c r="P595" s="329">
        <v>78336.898968754555</v>
      </c>
      <c r="Q595" s="329">
        <v>78336.898968754555</v>
      </c>
      <c r="R595" s="329">
        <v>78336.898968754555</v>
      </c>
      <c r="S595" s="329">
        <v>78336.898968754555</v>
      </c>
    </row>
    <row r="596" spans="5:19" s="293" customFormat="1" x14ac:dyDescent="0.25">
      <c r="F596" s="196" t="s">
        <v>933</v>
      </c>
      <c r="G596" s="196" t="s">
        <v>120</v>
      </c>
      <c r="H596" s="196" t="s">
        <v>145</v>
      </c>
      <c r="I596" s="66"/>
      <c r="J596" s="233">
        <f t="shared" si="53"/>
        <v>299309.7146915748</v>
      </c>
      <c r="K596" s="234"/>
      <c r="L596" s="329"/>
      <c r="M596" s="329"/>
      <c r="N596" s="329"/>
      <c r="O596" s="329">
        <v>299309.7146915748</v>
      </c>
      <c r="P596" s="329">
        <v>299309.7146915748</v>
      </c>
      <c r="Q596" s="329">
        <v>299309.7146915748</v>
      </c>
      <c r="R596" s="329">
        <v>299309.7146915748</v>
      </c>
      <c r="S596" s="329">
        <v>299309.7146915748</v>
      </c>
    </row>
    <row r="597" spans="5:19" s="293" customFormat="1" x14ac:dyDescent="0.25">
      <c r="F597" s="196" t="s">
        <v>934</v>
      </c>
      <c r="G597" s="196" t="s">
        <v>120</v>
      </c>
      <c r="H597" s="196" t="s">
        <v>145</v>
      </c>
      <c r="I597" s="66"/>
      <c r="J597" s="233">
        <f t="shared" si="53"/>
        <v>269865.534859345</v>
      </c>
      <c r="K597" s="234"/>
      <c r="L597" s="329"/>
      <c r="M597" s="329"/>
      <c r="N597" s="329"/>
      <c r="O597" s="329">
        <v>269865.534859345</v>
      </c>
      <c r="P597" s="329">
        <v>269865.534859345</v>
      </c>
      <c r="Q597" s="329">
        <v>269865.534859345</v>
      </c>
      <c r="R597" s="329">
        <v>269865.534859345</v>
      </c>
      <c r="S597" s="329">
        <v>269865.534859345</v>
      </c>
    </row>
    <row r="598" spans="5:19" s="293" customFormat="1" x14ac:dyDescent="0.25">
      <c r="F598" s="196" t="s">
        <v>935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25">
      <c r="F599" s="196" t="s">
        <v>936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25">
      <c r="F600" s="196" t="s">
        <v>937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25">
      <c r="F601" s="196" t="s">
        <v>938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25">
      <c r="F602" s="196" t="s">
        <v>939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25">
      <c r="F603" s="196" t="s">
        <v>940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25">
      <c r="F604" s="196" t="s">
        <v>941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25">
      <c r="F605" s="196" t="s">
        <v>942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25">
      <c r="F606" s="93" t="s">
        <v>943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2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2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25">
      <c r="F609" s="91" t="s">
        <v>928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25">
      <c r="F610" s="196" t="s">
        <v>929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25">
      <c r="F611" s="196" t="s">
        <v>930</v>
      </c>
      <c r="G611" s="196" t="s">
        <v>120</v>
      </c>
      <c r="H611" s="196" t="s">
        <v>145</v>
      </c>
      <c r="I611" s="66"/>
      <c r="J611" s="233">
        <f t="shared" ref="J611" si="54">CHOOSE(year_selection, L611,M611,N611,O611,P611,Q611,R611,S611)</f>
        <v>417850.16640430799</v>
      </c>
      <c r="K611" s="234"/>
      <c r="L611" s="329"/>
      <c r="M611" s="329"/>
      <c r="N611" s="329"/>
      <c r="O611" s="329">
        <v>417850.16640430799</v>
      </c>
      <c r="P611" s="329">
        <v>417850.16640430799</v>
      </c>
      <c r="Q611" s="329">
        <v>417850.16640430799</v>
      </c>
      <c r="R611" s="329">
        <v>417850.16640430799</v>
      </c>
      <c r="S611" s="329">
        <v>417850.16640430799</v>
      </c>
    </row>
    <row r="612" spans="6:19" s="293" customFormat="1" x14ac:dyDescent="0.25">
      <c r="F612" s="196" t="s">
        <v>931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25">
      <c r="F613" s="196" t="s">
        <v>932</v>
      </c>
      <c r="G613" s="196" t="s">
        <v>120</v>
      </c>
      <c r="H613" s="196" t="s">
        <v>145</v>
      </c>
      <c r="I613" s="66"/>
      <c r="J613" s="233">
        <f t="shared" ref="J613:J615" si="55">CHOOSE(year_selection, L613,M613,N613,O613,P613,Q613,R613,S613)</f>
        <v>67319.646666821689</v>
      </c>
      <c r="K613" s="234"/>
      <c r="L613" s="329"/>
      <c r="M613" s="329"/>
      <c r="N613" s="329"/>
      <c r="O613" s="329">
        <v>67319.646666821689</v>
      </c>
      <c r="P613" s="329">
        <v>67319.646666821689</v>
      </c>
      <c r="Q613" s="329">
        <v>67319.646666821689</v>
      </c>
      <c r="R613" s="329">
        <v>67319.646666821689</v>
      </c>
      <c r="S613" s="329">
        <v>67319.646666821689</v>
      </c>
    </row>
    <row r="614" spans="6:19" s="293" customFormat="1" x14ac:dyDescent="0.25">
      <c r="F614" s="196" t="s">
        <v>933</v>
      </c>
      <c r="G614" s="196" t="s">
        <v>120</v>
      </c>
      <c r="H614" s="196" t="s">
        <v>145</v>
      </c>
      <c r="I614" s="66"/>
      <c r="J614" s="233">
        <f t="shared" si="55"/>
        <v>264796.38843800803</v>
      </c>
      <c r="K614" s="234"/>
      <c r="L614" s="329"/>
      <c r="M614" s="329"/>
      <c r="N614" s="329"/>
      <c r="O614" s="329">
        <v>264796.38843800803</v>
      </c>
      <c r="P614" s="329">
        <v>264796.38843800803</v>
      </c>
      <c r="Q614" s="329">
        <v>264796.38843800803</v>
      </c>
      <c r="R614" s="329">
        <v>264796.38843800803</v>
      </c>
      <c r="S614" s="329">
        <v>264796.38843800803</v>
      </c>
    </row>
    <row r="615" spans="6:19" s="293" customFormat="1" x14ac:dyDescent="0.25">
      <c r="F615" s="196" t="s">
        <v>934</v>
      </c>
      <c r="G615" s="196" t="s">
        <v>120</v>
      </c>
      <c r="H615" s="196" t="s">
        <v>145</v>
      </c>
      <c r="I615" s="66"/>
      <c r="J615" s="233">
        <f t="shared" si="55"/>
        <v>292922.43031856517</v>
      </c>
      <c r="K615" s="234"/>
      <c r="L615" s="329"/>
      <c r="M615" s="329"/>
      <c r="N615" s="329"/>
      <c r="O615" s="329">
        <v>292922.43031856517</v>
      </c>
      <c r="P615" s="329">
        <v>292922.43031856517</v>
      </c>
      <c r="Q615" s="329">
        <v>292922.43031856517</v>
      </c>
      <c r="R615" s="329">
        <v>292922.43031856517</v>
      </c>
      <c r="S615" s="329">
        <v>292922.43031856517</v>
      </c>
    </row>
    <row r="616" spans="6:19" s="293" customFormat="1" x14ac:dyDescent="0.25">
      <c r="F616" s="196" t="s">
        <v>935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25">
      <c r="F617" s="196" t="s">
        <v>936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25">
      <c r="F618" s="196" t="s">
        <v>937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25">
      <c r="F619" s="196" t="s">
        <v>938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25">
      <c r="F620" s="196" t="s">
        <v>939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25">
      <c r="F621" s="196" t="s">
        <v>940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25">
      <c r="F622" s="196" t="s">
        <v>941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25">
      <c r="F623" s="196" t="s">
        <v>942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25">
      <c r="F624" s="93" t="s">
        <v>943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2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2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25">
      <c r="F627" s="91" t="s">
        <v>928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25">
      <c r="F628" s="196" t="s">
        <v>929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25">
      <c r="F629" s="196" t="s">
        <v>930</v>
      </c>
      <c r="G629" s="196" t="s">
        <v>74</v>
      </c>
      <c r="H629" s="196" t="s">
        <v>145</v>
      </c>
      <c r="I629" s="66"/>
      <c r="J629" s="233">
        <f t="shared" ref="J629" si="56">CHOOSE(year_selection, L629,M629,N629,O629,P629,Q629,R629,S629)</f>
        <v>16398</v>
      </c>
      <c r="K629" s="234"/>
      <c r="L629" s="329"/>
      <c r="M629" s="329"/>
      <c r="N629" s="329"/>
      <c r="O629" s="329">
        <v>16398</v>
      </c>
      <c r="P629" s="329">
        <v>16398</v>
      </c>
      <c r="Q629" s="329">
        <v>16398</v>
      </c>
      <c r="R629" s="329">
        <v>16398</v>
      </c>
      <c r="S629" s="329">
        <v>16398</v>
      </c>
    </row>
    <row r="630" spans="5:19" s="293" customFormat="1" x14ac:dyDescent="0.25">
      <c r="F630" s="196" t="s">
        <v>931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25">
      <c r="F631" s="196" t="s">
        <v>932</v>
      </c>
      <c r="G631" s="196" t="s">
        <v>74</v>
      </c>
      <c r="H631" s="196" t="s">
        <v>145</v>
      </c>
      <c r="I631" s="66"/>
      <c r="J631" s="233">
        <f t="shared" ref="J631:J633" si="57">CHOOSE(year_selection, L631,M631,N631,O631,P631,Q631,R631,S631)</f>
        <v>283</v>
      </c>
      <c r="K631" s="234"/>
      <c r="L631" s="329"/>
      <c r="M631" s="329"/>
      <c r="N631" s="329"/>
      <c r="O631" s="329">
        <v>283</v>
      </c>
      <c r="P631" s="329">
        <v>283</v>
      </c>
      <c r="Q631" s="329">
        <v>283</v>
      </c>
      <c r="R631" s="329">
        <v>283</v>
      </c>
      <c r="S631" s="329">
        <v>283</v>
      </c>
    </row>
    <row r="632" spans="5:19" s="293" customFormat="1" x14ac:dyDescent="0.25">
      <c r="F632" s="196" t="s">
        <v>933</v>
      </c>
      <c r="G632" s="196" t="s">
        <v>74</v>
      </c>
      <c r="H632" s="196" t="s">
        <v>145</v>
      </c>
      <c r="I632" s="66"/>
      <c r="J632" s="233">
        <f t="shared" si="57"/>
        <v>821</v>
      </c>
      <c r="K632" s="234"/>
      <c r="L632" s="329"/>
      <c r="M632" s="329"/>
      <c r="N632" s="329"/>
      <c r="O632" s="329">
        <v>821</v>
      </c>
      <c r="P632" s="329">
        <v>821</v>
      </c>
      <c r="Q632" s="329">
        <v>821</v>
      </c>
      <c r="R632" s="329">
        <v>821</v>
      </c>
      <c r="S632" s="329">
        <v>821</v>
      </c>
    </row>
    <row r="633" spans="5:19" s="293" customFormat="1" x14ac:dyDescent="0.25">
      <c r="F633" s="196" t="s">
        <v>934</v>
      </c>
      <c r="G633" s="196" t="s">
        <v>74</v>
      </c>
      <c r="H633" s="196" t="s">
        <v>145</v>
      </c>
      <c r="I633" s="66"/>
      <c r="J633" s="233">
        <f t="shared" si="57"/>
        <v>90</v>
      </c>
      <c r="K633" s="234"/>
      <c r="L633" s="329"/>
      <c r="M633" s="329"/>
      <c r="N633" s="329"/>
      <c r="O633" s="329">
        <v>90</v>
      </c>
      <c r="P633" s="329">
        <v>90</v>
      </c>
      <c r="Q633" s="329">
        <v>90</v>
      </c>
      <c r="R633" s="329">
        <v>90</v>
      </c>
      <c r="S633" s="329">
        <v>90</v>
      </c>
    </row>
    <row r="634" spans="5:19" s="293" customFormat="1" x14ac:dyDescent="0.25">
      <c r="F634" s="196" t="s">
        <v>935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25">
      <c r="F635" s="196" t="s">
        <v>936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25">
      <c r="F636" s="196" t="s">
        <v>937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25">
      <c r="F637" s="196" t="s">
        <v>938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25">
      <c r="F638" s="196" t="s">
        <v>939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25">
      <c r="F639" s="196" t="s">
        <v>940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25">
      <c r="F640" s="196" t="s">
        <v>941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25">
      <c r="F641" s="196" t="s">
        <v>942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25">
      <c r="F642" s="93" t="s">
        <v>943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2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2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25">
      <c r="F645" s="91" t="s">
        <v>928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25">
      <c r="F646" s="196" t="s">
        <v>929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25">
      <c r="F647" s="196" t="s">
        <v>930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25">
      <c r="F648" s="196" t="s">
        <v>931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25">
      <c r="F649" s="196" t="s">
        <v>932</v>
      </c>
      <c r="G649" s="196" t="s">
        <v>169</v>
      </c>
      <c r="H649" s="196" t="s">
        <v>145</v>
      </c>
      <c r="I649" s="66"/>
      <c r="J649" s="233">
        <f t="shared" ref="J649:J651" si="58">CHOOSE(year_selection, L649,M649,N649,O649,P649,Q649,R649,S649)</f>
        <v>108467</v>
      </c>
      <c r="K649" s="234"/>
      <c r="L649" s="329"/>
      <c r="M649" s="329"/>
      <c r="N649" s="329"/>
      <c r="O649" s="329">
        <v>108467</v>
      </c>
      <c r="P649" s="329">
        <v>108467</v>
      </c>
      <c r="Q649" s="329">
        <v>108467</v>
      </c>
      <c r="R649" s="329">
        <v>108467</v>
      </c>
      <c r="S649" s="329">
        <v>108467</v>
      </c>
    </row>
    <row r="650" spans="5:19" s="293" customFormat="1" x14ac:dyDescent="0.25">
      <c r="F650" s="196" t="s">
        <v>933</v>
      </c>
      <c r="G650" s="196" t="s">
        <v>169</v>
      </c>
      <c r="H650" s="196" t="s">
        <v>145</v>
      </c>
      <c r="I650" s="66"/>
      <c r="J650" s="233">
        <f t="shared" si="58"/>
        <v>333562</v>
      </c>
      <c r="K650" s="234"/>
      <c r="L650" s="329"/>
      <c r="M650" s="329"/>
      <c r="N650" s="329"/>
      <c r="O650" s="329">
        <v>333562</v>
      </c>
      <c r="P650" s="329">
        <v>333562</v>
      </c>
      <c r="Q650" s="329">
        <v>333562</v>
      </c>
      <c r="R650" s="329">
        <v>333562</v>
      </c>
      <c r="S650" s="329">
        <v>333562</v>
      </c>
    </row>
    <row r="651" spans="5:19" s="293" customFormat="1" x14ac:dyDescent="0.25">
      <c r="F651" s="196" t="s">
        <v>934</v>
      </c>
      <c r="G651" s="196" t="s">
        <v>169</v>
      </c>
      <c r="H651" s="196" t="s">
        <v>145</v>
      </c>
      <c r="I651" s="66"/>
      <c r="J651" s="233">
        <f t="shared" si="58"/>
        <v>237923</v>
      </c>
      <c r="K651" s="234"/>
      <c r="L651" s="329"/>
      <c r="M651" s="329"/>
      <c r="N651" s="329"/>
      <c r="O651" s="329">
        <v>237923</v>
      </c>
      <c r="P651" s="329">
        <v>237923</v>
      </c>
      <c r="Q651" s="329">
        <v>237923</v>
      </c>
      <c r="R651" s="329">
        <v>237923</v>
      </c>
      <c r="S651" s="329">
        <v>237923</v>
      </c>
    </row>
    <row r="652" spans="5:19" s="293" customFormat="1" x14ac:dyDescent="0.25">
      <c r="F652" s="196" t="s">
        <v>935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25">
      <c r="F653" s="196" t="s">
        <v>936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25">
      <c r="F654" s="196" t="s">
        <v>937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25">
      <c r="F655" s="196" t="s">
        <v>938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25">
      <c r="F656" s="196" t="s">
        <v>939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25">
      <c r="F657" s="196" t="s">
        <v>940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25">
      <c r="F658" s="196" t="s">
        <v>941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25">
      <c r="F659" s="196" t="s">
        <v>942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25">
      <c r="F660" s="93" t="s">
        <v>943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2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2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25">
      <c r="F663" s="91" t="s">
        <v>928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25">
      <c r="F664" s="196" t="s">
        <v>929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25">
      <c r="F665" s="196" t="s">
        <v>930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25">
      <c r="F666" s="196" t="s">
        <v>931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25">
      <c r="F667" s="196" t="s">
        <v>932</v>
      </c>
      <c r="G667" s="196" t="s">
        <v>169</v>
      </c>
      <c r="H667" s="196" t="s">
        <v>145</v>
      </c>
      <c r="I667" s="66"/>
      <c r="J667" s="233">
        <f t="shared" ref="J667:J669" si="59">CHOOSE(year_selection, L667,M667,N667,O667,P667,Q667,R667,S667)</f>
        <v>2450</v>
      </c>
      <c r="K667" s="234"/>
      <c r="L667" s="329"/>
      <c r="M667" s="329"/>
      <c r="N667" s="329"/>
      <c r="O667" s="329">
        <v>2450</v>
      </c>
      <c r="P667" s="329">
        <v>2450</v>
      </c>
      <c r="Q667" s="329">
        <v>2450</v>
      </c>
      <c r="R667" s="329">
        <v>2450</v>
      </c>
      <c r="S667" s="329">
        <v>2450</v>
      </c>
    </row>
    <row r="668" spans="5:19" s="293" customFormat="1" x14ac:dyDescent="0.25">
      <c r="F668" s="196" t="s">
        <v>933</v>
      </c>
      <c r="G668" s="196" t="s">
        <v>169</v>
      </c>
      <c r="H668" s="196" t="s">
        <v>145</v>
      </c>
      <c r="I668" s="66"/>
      <c r="J668" s="233">
        <f t="shared" si="59"/>
        <v>2632</v>
      </c>
      <c r="K668" s="234"/>
      <c r="L668" s="329"/>
      <c r="M668" s="329"/>
      <c r="N668" s="329"/>
      <c r="O668" s="329">
        <v>2632</v>
      </c>
      <c r="P668" s="329">
        <v>2632</v>
      </c>
      <c r="Q668" s="329">
        <v>2632</v>
      </c>
      <c r="R668" s="329">
        <v>2632</v>
      </c>
      <c r="S668" s="329">
        <v>2632</v>
      </c>
    </row>
    <row r="669" spans="5:19" s="293" customFormat="1" x14ac:dyDescent="0.25">
      <c r="F669" s="196" t="s">
        <v>934</v>
      </c>
      <c r="G669" s="196" t="s">
        <v>169</v>
      </c>
      <c r="H669" s="196" t="s">
        <v>145</v>
      </c>
      <c r="I669" s="66"/>
      <c r="J669" s="233">
        <f t="shared" si="59"/>
        <v>3961</v>
      </c>
      <c r="K669" s="234"/>
      <c r="L669" s="329"/>
      <c r="M669" s="329"/>
      <c r="N669" s="329"/>
      <c r="O669" s="329">
        <v>3961</v>
      </c>
      <c r="P669" s="329">
        <v>3961</v>
      </c>
      <c r="Q669" s="329">
        <v>3961</v>
      </c>
      <c r="R669" s="329">
        <v>3961</v>
      </c>
      <c r="S669" s="329">
        <v>3961</v>
      </c>
    </row>
    <row r="670" spans="5:19" s="293" customFormat="1" x14ac:dyDescent="0.25">
      <c r="F670" s="196" t="s">
        <v>935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25">
      <c r="F671" s="196" t="s">
        <v>936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25">
      <c r="F672" s="196" t="s">
        <v>937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25">
      <c r="F673" s="196" t="s">
        <v>938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25">
      <c r="F674" s="196" t="s">
        <v>939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25">
      <c r="F675" s="196" t="s">
        <v>940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25">
      <c r="F676" s="196" t="s">
        <v>941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25">
      <c r="F677" s="196" t="s">
        <v>942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25">
      <c r="F678" s="93" t="s">
        <v>943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2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2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25">
      <c r="F681" s="91" t="s">
        <v>928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25">
      <c r="F682" s="196" t="s">
        <v>929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25">
      <c r="F683" s="196" t="s">
        <v>930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25">
      <c r="F684" s="196" t="s">
        <v>931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25">
      <c r="F685" s="196" t="s">
        <v>932</v>
      </c>
      <c r="G685" s="196" t="s">
        <v>170</v>
      </c>
      <c r="H685" s="196" t="s">
        <v>145</v>
      </c>
      <c r="I685" s="66"/>
      <c r="J685" s="233">
        <f t="shared" ref="J685:J687" si="60">CHOOSE(year_selection, L685,M685,N685,O685,P685,Q685,R685,S685)</f>
        <v>15207.356</v>
      </c>
      <c r="K685" s="234"/>
      <c r="L685" s="329"/>
      <c r="M685" s="329"/>
      <c r="N685" s="329"/>
      <c r="O685" s="329">
        <v>15207.356</v>
      </c>
      <c r="P685" s="329">
        <v>15207.356</v>
      </c>
      <c r="Q685" s="329">
        <v>15207.356</v>
      </c>
      <c r="R685" s="329">
        <v>15207.356</v>
      </c>
      <c r="S685" s="329">
        <v>15207.356</v>
      </c>
    </row>
    <row r="686" spans="5:19" s="293" customFormat="1" x14ac:dyDescent="0.25">
      <c r="F686" s="196" t="s">
        <v>933</v>
      </c>
      <c r="G686" s="196" t="s">
        <v>170</v>
      </c>
      <c r="H686" s="196" t="s">
        <v>145</v>
      </c>
      <c r="I686" s="66"/>
      <c r="J686" s="233">
        <f t="shared" si="60"/>
        <v>18431.431</v>
      </c>
      <c r="K686" s="234"/>
      <c r="L686" s="329"/>
      <c r="M686" s="329"/>
      <c r="N686" s="329"/>
      <c r="O686" s="329">
        <v>18431.431</v>
      </c>
      <c r="P686" s="329">
        <v>18431.431</v>
      </c>
      <c r="Q686" s="329">
        <v>18431.431</v>
      </c>
      <c r="R686" s="329">
        <v>18431.431</v>
      </c>
      <c r="S686" s="329">
        <v>18431.431</v>
      </c>
    </row>
    <row r="687" spans="5:19" s="293" customFormat="1" x14ac:dyDescent="0.25">
      <c r="F687" s="196" t="s">
        <v>934</v>
      </c>
      <c r="G687" s="196" t="s">
        <v>170</v>
      </c>
      <c r="H687" s="196" t="s">
        <v>145</v>
      </c>
      <c r="I687" s="66"/>
      <c r="J687" s="233">
        <f t="shared" si="60"/>
        <v>39720.864000000001</v>
      </c>
      <c r="K687" s="234"/>
      <c r="L687" s="329"/>
      <c r="M687" s="329"/>
      <c r="N687" s="329"/>
      <c r="O687" s="329">
        <v>39720.864000000001</v>
      </c>
      <c r="P687" s="329">
        <v>39720.864000000001</v>
      </c>
      <c r="Q687" s="329">
        <v>39720.864000000001</v>
      </c>
      <c r="R687" s="329">
        <v>39720.864000000001</v>
      </c>
      <c r="S687" s="329">
        <v>39720.864000000001</v>
      </c>
    </row>
    <row r="688" spans="5:19" s="293" customFormat="1" x14ac:dyDescent="0.25">
      <c r="F688" s="196" t="s">
        <v>935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25">
      <c r="F689" s="196" t="s">
        <v>936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25">
      <c r="F690" s="196" t="s">
        <v>937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25">
      <c r="F691" s="196" t="s">
        <v>938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25">
      <c r="F692" s="196" t="s">
        <v>939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25">
      <c r="F693" s="196" t="s">
        <v>940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25">
      <c r="F694" s="196" t="s">
        <v>941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25">
      <c r="F695" s="196" t="s">
        <v>942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25">
      <c r="F696" s="93" t="s">
        <v>943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2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25">
      <c r="C698" s="7" t="str">
        <f ca="1">INDEX('Version control'!$H$34:$H$60,MATCH($A$1,'Version control'!$F$34:$F$60,0),1)&amp;"-H: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2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2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692</v>
      </c>
    </row>
    <row r="701" spans="3:21" x14ac:dyDescent="0.25">
      <c r="F701" s="91" t="s">
        <v>928</v>
      </c>
      <c r="G701" s="91" t="s">
        <v>120</v>
      </c>
      <c r="H701" s="91" t="s">
        <v>480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25">
      <c r="F702" s="196" t="s">
        <v>929</v>
      </c>
      <c r="G702" s="196" t="s">
        <v>120</v>
      </c>
      <c r="H702" s="196" t="s">
        <v>480</v>
      </c>
      <c r="I702" s="66"/>
      <c r="J702" s="233">
        <f t="shared" ref="J702:J705" si="61">CHOOSE(year_selection, L702,M702,N702,O702,P702,Q702,R702,S702)</f>
        <v>0</v>
      </c>
      <c r="K702" s="234"/>
      <c r="L702" s="329"/>
      <c r="M702" s="329"/>
      <c r="N702" s="329"/>
      <c r="O702" s="329">
        <v>0</v>
      </c>
      <c r="P702" s="329">
        <v>0</v>
      </c>
      <c r="Q702" s="329">
        <v>0</v>
      </c>
      <c r="R702" s="329">
        <v>0</v>
      </c>
      <c r="S702" s="329">
        <v>0</v>
      </c>
    </row>
    <row r="703" spans="3:21" x14ac:dyDescent="0.25">
      <c r="F703" s="196" t="s">
        <v>930</v>
      </c>
      <c r="G703" s="196" t="s">
        <v>120</v>
      </c>
      <c r="H703" s="196" t="s">
        <v>480</v>
      </c>
      <c r="I703" s="66"/>
      <c r="J703" s="233">
        <f t="shared" si="61"/>
        <v>0</v>
      </c>
      <c r="K703" s="234"/>
      <c r="L703" s="329"/>
      <c r="M703" s="329"/>
      <c r="N703" s="329"/>
      <c r="O703" s="329">
        <v>0</v>
      </c>
      <c r="P703" s="329">
        <v>0</v>
      </c>
      <c r="Q703" s="329">
        <v>0</v>
      </c>
      <c r="R703" s="329">
        <v>0</v>
      </c>
      <c r="S703" s="329">
        <v>0</v>
      </c>
    </row>
    <row r="704" spans="3:21" x14ac:dyDescent="0.25">
      <c r="F704" s="196" t="s">
        <v>931</v>
      </c>
      <c r="G704" s="196" t="s">
        <v>120</v>
      </c>
      <c r="H704" s="196" t="s">
        <v>480</v>
      </c>
      <c r="I704" s="66"/>
      <c r="J704" s="233">
        <f t="shared" si="61"/>
        <v>0</v>
      </c>
      <c r="K704" s="234"/>
      <c r="L704" s="329"/>
      <c r="M704" s="329"/>
      <c r="N704" s="329"/>
      <c r="O704" s="329">
        <v>0</v>
      </c>
      <c r="P704" s="329">
        <v>0</v>
      </c>
      <c r="Q704" s="329">
        <v>0</v>
      </c>
      <c r="R704" s="329">
        <v>0</v>
      </c>
      <c r="S704" s="329">
        <v>0</v>
      </c>
    </row>
    <row r="705" spans="5:19" x14ac:dyDescent="0.25">
      <c r="F705" s="196" t="s">
        <v>932</v>
      </c>
      <c r="G705" s="196" t="s">
        <v>120</v>
      </c>
      <c r="H705" s="196" t="s">
        <v>480</v>
      </c>
      <c r="I705" s="66"/>
      <c r="J705" s="233">
        <f t="shared" si="61"/>
        <v>0</v>
      </c>
      <c r="K705" s="234"/>
      <c r="L705" s="329"/>
      <c r="M705" s="329"/>
      <c r="N705" s="329"/>
      <c r="O705" s="329">
        <v>0</v>
      </c>
      <c r="P705" s="329">
        <v>0</v>
      </c>
      <c r="Q705" s="329">
        <v>0</v>
      </c>
      <c r="R705" s="329">
        <v>0</v>
      </c>
      <c r="S705" s="329">
        <v>0</v>
      </c>
    </row>
    <row r="706" spans="5:19" x14ac:dyDescent="0.25">
      <c r="F706" s="196" t="s">
        <v>933</v>
      </c>
      <c r="G706" s="196" t="s">
        <v>120</v>
      </c>
      <c r="H706" s="196" t="s">
        <v>480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25">
      <c r="F707" s="196" t="s">
        <v>934</v>
      </c>
      <c r="G707" s="196" t="s">
        <v>120</v>
      </c>
      <c r="H707" s="196" t="s">
        <v>480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25">
      <c r="F708" s="196" t="s">
        <v>935</v>
      </c>
      <c r="G708" s="196" t="s">
        <v>120</v>
      </c>
      <c r="H708" s="196" t="s">
        <v>480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25">
      <c r="F709" s="196" t="s">
        <v>936</v>
      </c>
      <c r="G709" s="196" t="s">
        <v>120</v>
      </c>
      <c r="H709" s="196" t="s">
        <v>480</v>
      </c>
      <c r="I709" s="66"/>
      <c r="J709" s="233">
        <f t="shared" ref="J709:J711" si="62">CHOOSE(year_selection, L709,M709,N709,O709,P709,Q709,R709,S709)</f>
        <v>0</v>
      </c>
      <c r="K709" s="234"/>
      <c r="L709" s="329"/>
      <c r="M709" s="329"/>
      <c r="N709" s="329"/>
      <c r="O709" s="329">
        <v>0</v>
      </c>
      <c r="P709" s="329">
        <v>0</v>
      </c>
      <c r="Q709" s="329">
        <v>0</v>
      </c>
      <c r="R709" s="329">
        <v>0</v>
      </c>
      <c r="S709" s="329">
        <v>0</v>
      </c>
    </row>
    <row r="710" spans="5:19" x14ac:dyDescent="0.25">
      <c r="F710" s="196" t="s">
        <v>937</v>
      </c>
      <c r="G710" s="196" t="s">
        <v>120</v>
      </c>
      <c r="H710" s="196" t="s">
        <v>480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25">
      <c r="F711" s="196" t="s">
        <v>938</v>
      </c>
      <c r="G711" s="196" t="s">
        <v>120</v>
      </c>
      <c r="H711" s="196" t="s">
        <v>480</v>
      </c>
      <c r="I711" s="66"/>
      <c r="J711" s="233">
        <f t="shared" si="62"/>
        <v>0</v>
      </c>
      <c r="K711" s="234"/>
      <c r="L711" s="329"/>
      <c r="M711" s="329"/>
      <c r="N711" s="329"/>
      <c r="O711" s="329">
        <v>0</v>
      </c>
      <c r="P711" s="329">
        <v>0</v>
      </c>
      <c r="Q711" s="329">
        <v>0</v>
      </c>
      <c r="R711" s="329">
        <v>0</v>
      </c>
      <c r="S711" s="329">
        <v>0</v>
      </c>
    </row>
    <row r="712" spans="5:19" x14ac:dyDescent="0.25">
      <c r="F712" s="196" t="s">
        <v>939</v>
      </c>
      <c r="G712" s="196" t="s">
        <v>120</v>
      </c>
      <c r="H712" s="196" t="s">
        <v>480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25">
      <c r="F713" s="196" t="s">
        <v>940</v>
      </c>
      <c r="G713" s="196" t="s">
        <v>120</v>
      </c>
      <c r="H713" s="196" t="s">
        <v>480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25">
      <c r="F714" s="196" t="s">
        <v>941</v>
      </c>
      <c r="G714" s="196" t="s">
        <v>120</v>
      </c>
      <c r="H714" s="196" t="s">
        <v>480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25">
      <c r="F715" s="196" t="s">
        <v>942</v>
      </c>
      <c r="G715" s="196" t="s">
        <v>120</v>
      </c>
      <c r="H715" s="196" t="s">
        <v>480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25">
      <c r="F716" s="93" t="s">
        <v>943</v>
      </c>
      <c r="G716" s="93" t="s">
        <v>120</v>
      </c>
      <c r="H716" s="93" t="s">
        <v>480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2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2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25">
      <c r="F719" s="91" t="s">
        <v>928</v>
      </c>
      <c r="G719" s="91" t="s">
        <v>120</v>
      </c>
      <c r="H719" s="91" t="s">
        <v>480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25">
      <c r="F720" s="196" t="s">
        <v>929</v>
      </c>
      <c r="G720" s="196" t="s">
        <v>120</v>
      </c>
      <c r="H720" s="196" t="s">
        <v>480</v>
      </c>
      <c r="I720" s="66"/>
      <c r="J720" s="233">
        <f t="shared" ref="J720:J723" si="63">CHOOSE(year_selection, L720,M720,N720,O720,P720,Q720,R720,S720)</f>
        <v>0</v>
      </c>
      <c r="K720" s="234"/>
      <c r="L720" s="329"/>
      <c r="M720" s="329"/>
      <c r="N720" s="329"/>
      <c r="O720" s="329">
        <v>0</v>
      </c>
      <c r="P720" s="329">
        <v>0</v>
      </c>
      <c r="Q720" s="329">
        <v>0</v>
      </c>
      <c r="R720" s="329">
        <v>0</v>
      </c>
      <c r="S720" s="329">
        <v>0</v>
      </c>
    </row>
    <row r="721" spans="5:19" x14ac:dyDescent="0.25">
      <c r="F721" s="196" t="s">
        <v>930</v>
      </c>
      <c r="G721" s="196" t="s">
        <v>120</v>
      </c>
      <c r="H721" s="196" t="s">
        <v>480</v>
      </c>
      <c r="I721" s="66"/>
      <c r="J721" s="233">
        <f t="shared" si="63"/>
        <v>0</v>
      </c>
      <c r="K721" s="234"/>
      <c r="L721" s="329"/>
      <c r="M721" s="329"/>
      <c r="N721" s="329"/>
      <c r="O721" s="329">
        <v>0</v>
      </c>
      <c r="P721" s="329">
        <v>0</v>
      </c>
      <c r="Q721" s="329">
        <v>0</v>
      </c>
      <c r="R721" s="329">
        <v>0</v>
      </c>
      <c r="S721" s="329">
        <v>0</v>
      </c>
    </row>
    <row r="722" spans="5:19" x14ac:dyDescent="0.25">
      <c r="F722" s="196" t="s">
        <v>931</v>
      </c>
      <c r="G722" s="196" t="s">
        <v>120</v>
      </c>
      <c r="H722" s="196" t="s">
        <v>480</v>
      </c>
      <c r="I722" s="66"/>
      <c r="J722" s="233">
        <f t="shared" si="63"/>
        <v>0</v>
      </c>
      <c r="K722" s="234"/>
      <c r="L722" s="329"/>
      <c r="M722" s="329"/>
      <c r="N722" s="329"/>
      <c r="O722" s="329">
        <v>0</v>
      </c>
      <c r="P722" s="329">
        <v>0</v>
      </c>
      <c r="Q722" s="329">
        <v>0</v>
      </c>
      <c r="R722" s="329">
        <v>0</v>
      </c>
      <c r="S722" s="329">
        <v>0</v>
      </c>
    </row>
    <row r="723" spans="5:19" x14ac:dyDescent="0.25">
      <c r="F723" s="196" t="s">
        <v>932</v>
      </c>
      <c r="G723" s="196" t="s">
        <v>120</v>
      </c>
      <c r="H723" s="196" t="s">
        <v>480</v>
      </c>
      <c r="I723" s="66"/>
      <c r="J723" s="233">
        <f t="shared" si="63"/>
        <v>0</v>
      </c>
      <c r="K723" s="234"/>
      <c r="L723" s="329"/>
      <c r="M723" s="329"/>
      <c r="N723" s="329"/>
      <c r="O723" s="329">
        <v>0</v>
      </c>
      <c r="P723" s="329">
        <v>0</v>
      </c>
      <c r="Q723" s="329">
        <v>0</v>
      </c>
      <c r="R723" s="329">
        <v>0</v>
      </c>
      <c r="S723" s="329">
        <v>0</v>
      </c>
    </row>
    <row r="724" spans="5:19" x14ac:dyDescent="0.25">
      <c r="F724" s="196" t="s">
        <v>933</v>
      </c>
      <c r="G724" s="196" t="s">
        <v>120</v>
      </c>
      <c r="H724" s="196" t="s">
        <v>480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25">
      <c r="F725" s="196" t="s">
        <v>934</v>
      </c>
      <c r="G725" s="196" t="s">
        <v>120</v>
      </c>
      <c r="H725" s="196" t="s">
        <v>480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25">
      <c r="F726" s="196" t="s">
        <v>935</v>
      </c>
      <c r="G726" s="196" t="s">
        <v>120</v>
      </c>
      <c r="H726" s="196" t="s">
        <v>480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25">
      <c r="F727" s="196" t="s">
        <v>936</v>
      </c>
      <c r="G727" s="196" t="s">
        <v>120</v>
      </c>
      <c r="H727" s="196" t="s">
        <v>480</v>
      </c>
      <c r="I727" s="66"/>
      <c r="J727" s="233">
        <f t="shared" ref="J727" si="64">CHOOSE(year_selection, L727,M727,N727,O727,P727,Q727,R727,S727)</f>
        <v>0</v>
      </c>
      <c r="K727" s="234"/>
      <c r="L727" s="329"/>
      <c r="M727" s="329"/>
      <c r="N727" s="329"/>
      <c r="O727" s="329">
        <v>0</v>
      </c>
      <c r="P727" s="329">
        <v>0</v>
      </c>
      <c r="Q727" s="329">
        <v>0</v>
      </c>
      <c r="R727" s="329">
        <v>0</v>
      </c>
      <c r="S727" s="329">
        <v>0</v>
      </c>
    </row>
    <row r="728" spans="5:19" x14ac:dyDescent="0.25">
      <c r="F728" s="196" t="s">
        <v>937</v>
      </c>
      <c r="G728" s="196" t="s">
        <v>120</v>
      </c>
      <c r="H728" s="196" t="s">
        <v>480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25">
      <c r="F729" s="196" t="s">
        <v>938</v>
      </c>
      <c r="G729" s="196" t="s">
        <v>120</v>
      </c>
      <c r="H729" s="196" t="s">
        <v>480</v>
      </c>
      <c r="I729" s="66"/>
      <c r="J729" s="233">
        <f t="shared" ref="J729" si="65">CHOOSE(year_selection, L729,M729,N729,O729,P729,Q729,R729,S729)</f>
        <v>0</v>
      </c>
      <c r="K729" s="234"/>
      <c r="L729" s="329"/>
      <c r="M729" s="329"/>
      <c r="N729" s="329"/>
      <c r="O729" s="329">
        <v>0</v>
      </c>
      <c r="P729" s="329">
        <v>0</v>
      </c>
      <c r="Q729" s="329">
        <v>0</v>
      </c>
      <c r="R729" s="329">
        <v>0</v>
      </c>
      <c r="S729" s="329">
        <v>0</v>
      </c>
    </row>
    <row r="730" spans="5:19" x14ac:dyDescent="0.25">
      <c r="F730" s="196" t="s">
        <v>939</v>
      </c>
      <c r="G730" s="196" t="s">
        <v>120</v>
      </c>
      <c r="H730" s="196" t="s">
        <v>480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25">
      <c r="F731" s="196" t="s">
        <v>940</v>
      </c>
      <c r="G731" s="196" t="s">
        <v>120</v>
      </c>
      <c r="H731" s="196" t="s">
        <v>480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25">
      <c r="F732" s="196" t="s">
        <v>941</v>
      </c>
      <c r="G732" s="196" t="s">
        <v>120</v>
      </c>
      <c r="H732" s="196" t="s">
        <v>480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25">
      <c r="F733" s="196" t="s">
        <v>942</v>
      </c>
      <c r="G733" s="196" t="s">
        <v>120</v>
      </c>
      <c r="H733" s="196" t="s">
        <v>480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25">
      <c r="F734" s="93" t="s">
        <v>943</v>
      </c>
      <c r="G734" s="93" t="s">
        <v>120</v>
      </c>
      <c r="H734" s="93" t="s">
        <v>480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2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2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25">
      <c r="F737" s="91" t="s">
        <v>928</v>
      </c>
      <c r="G737" s="91" t="s">
        <v>120</v>
      </c>
      <c r="H737" s="91" t="s">
        <v>480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25">
      <c r="F738" s="196" t="s">
        <v>929</v>
      </c>
      <c r="G738" s="196" t="s">
        <v>120</v>
      </c>
      <c r="H738" s="196" t="s">
        <v>480</v>
      </c>
      <c r="I738" s="66"/>
      <c r="J738" s="233">
        <f t="shared" ref="J738:J741" si="66">CHOOSE(year_selection, L738,M738,N738,O738,P738,Q738,R738,S738)</f>
        <v>0</v>
      </c>
      <c r="K738" s="234"/>
      <c r="L738" s="329"/>
      <c r="M738" s="329"/>
      <c r="N738" s="329"/>
      <c r="O738" s="329">
        <v>0</v>
      </c>
      <c r="P738" s="329">
        <v>0</v>
      </c>
      <c r="Q738" s="329">
        <v>0</v>
      </c>
      <c r="R738" s="329">
        <v>0</v>
      </c>
      <c r="S738" s="329">
        <v>0</v>
      </c>
    </row>
    <row r="739" spans="6:19" x14ac:dyDescent="0.25">
      <c r="F739" s="196" t="s">
        <v>930</v>
      </c>
      <c r="G739" s="196" t="s">
        <v>120</v>
      </c>
      <c r="H739" s="196" t="s">
        <v>480</v>
      </c>
      <c r="I739" s="66"/>
      <c r="J739" s="233">
        <f t="shared" si="66"/>
        <v>0</v>
      </c>
      <c r="K739" s="234"/>
      <c r="L739" s="329"/>
      <c r="M739" s="329"/>
      <c r="N739" s="329"/>
      <c r="O739" s="329">
        <v>0</v>
      </c>
      <c r="P739" s="329">
        <v>0</v>
      </c>
      <c r="Q739" s="329">
        <v>0</v>
      </c>
      <c r="R739" s="329">
        <v>0</v>
      </c>
      <c r="S739" s="329">
        <v>0</v>
      </c>
    </row>
    <row r="740" spans="6:19" x14ac:dyDescent="0.25">
      <c r="F740" s="196" t="s">
        <v>931</v>
      </c>
      <c r="G740" s="196" t="s">
        <v>120</v>
      </c>
      <c r="H740" s="196" t="s">
        <v>480</v>
      </c>
      <c r="I740" s="66"/>
      <c r="J740" s="233">
        <f t="shared" si="66"/>
        <v>0</v>
      </c>
      <c r="K740" s="234"/>
      <c r="L740" s="329"/>
      <c r="M740" s="329"/>
      <c r="N740" s="329"/>
      <c r="O740" s="329">
        <v>0</v>
      </c>
      <c r="P740" s="329">
        <v>0</v>
      </c>
      <c r="Q740" s="329">
        <v>0</v>
      </c>
      <c r="R740" s="329">
        <v>0</v>
      </c>
      <c r="S740" s="329">
        <v>0</v>
      </c>
    </row>
    <row r="741" spans="6:19" x14ac:dyDescent="0.25">
      <c r="F741" s="196" t="s">
        <v>932</v>
      </c>
      <c r="G741" s="196" t="s">
        <v>120</v>
      </c>
      <c r="H741" s="196" t="s">
        <v>480</v>
      </c>
      <c r="I741" s="66"/>
      <c r="J741" s="233">
        <f t="shared" si="66"/>
        <v>0</v>
      </c>
      <c r="K741" s="234"/>
      <c r="L741" s="329"/>
      <c r="M741" s="329"/>
      <c r="N741" s="329"/>
      <c r="O741" s="329">
        <v>0</v>
      </c>
      <c r="P741" s="329">
        <v>0</v>
      </c>
      <c r="Q741" s="329">
        <v>0</v>
      </c>
      <c r="R741" s="329">
        <v>0</v>
      </c>
      <c r="S741" s="329">
        <v>0</v>
      </c>
    </row>
    <row r="742" spans="6:19" x14ac:dyDescent="0.25">
      <c r="F742" s="196" t="s">
        <v>933</v>
      </c>
      <c r="G742" s="196" t="s">
        <v>120</v>
      </c>
      <c r="H742" s="196" t="s">
        <v>480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25">
      <c r="F743" s="196" t="s">
        <v>934</v>
      </c>
      <c r="G743" s="196" t="s">
        <v>120</v>
      </c>
      <c r="H743" s="196" t="s">
        <v>480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25">
      <c r="F744" s="196" t="s">
        <v>935</v>
      </c>
      <c r="G744" s="196" t="s">
        <v>120</v>
      </c>
      <c r="H744" s="196" t="s">
        <v>480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25">
      <c r="F745" s="196" t="s">
        <v>936</v>
      </c>
      <c r="G745" s="196" t="s">
        <v>120</v>
      </c>
      <c r="H745" s="196" t="s">
        <v>480</v>
      </c>
      <c r="I745" s="66"/>
      <c r="J745" s="233">
        <f t="shared" ref="J745" si="67">CHOOSE(year_selection, L745,M745,N745,O745,P745,Q745,R745,S745)</f>
        <v>0</v>
      </c>
      <c r="K745" s="234"/>
      <c r="L745" s="329"/>
      <c r="M745" s="329"/>
      <c r="N745" s="329"/>
      <c r="O745" s="329">
        <v>0</v>
      </c>
      <c r="P745" s="329">
        <v>0</v>
      </c>
      <c r="Q745" s="329">
        <v>0</v>
      </c>
      <c r="R745" s="329">
        <v>0</v>
      </c>
      <c r="S745" s="329">
        <v>0</v>
      </c>
    </row>
    <row r="746" spans="6:19" x14ac:dyDescent="0.25">
      <c r="F746" s="196" t="s">
        <v>937</v>
      </c>
      <c r="G746" s="196" t="s">
        <v>120</v>
      </c>
      <c r="H746" s="196" t="s">
        <v>480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25">
      <c r="F747" s="196" t="s">
        <v>938</v>
      </c>
      <c r="G747" s="196" t="s">
        <v>120</v>
      </c>
      <c r="H747" s="196" t="s">
        <v>480</v>
      </c>
      <c r="I747" s="66"/>
      <c r="J747" s="233">
        <f t="shared" ref="J747" si="68">CHOOSE(year_selection, L747,M747,N747,O747,P747,Q747,R747,S747)</f>
        <v>0</v>
      </c>
      <c r="K747" s="234"/>
      <c r="L747" s="329"/>
      <c r="M747" s="329"/>
      <c r="N747" s="329"/>
      <c r="O747" s="329">
        <v>0</v>
      </c>
      <c r="P747" s="329">
        <v>0</v>
      </c>
      <c r="Q747" s="329">
        <v>0</v>
      </c>
      <c r="R747" s="329">
        <v>0</v>
      </c>
      <c r="S747" s="329">
        <v>0</v>
      </c>
    </row>
    <row r="748" spans="6:19" x14ac:dyDescent="0.25">
      <c r="F748" s="196" t="s">
        <v>939</v>
      </c>
      <c r="G748" s="196" t="s">
        <v>120</v>
      </c>
      <c r="H748" s="196" t="s">
        <v>480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25">
      <c r="F749" s="196" t="s">
        <v>940</v>
      </c>
      <c r="G749" s="196" t="s">
        <v>120</v>
      </c>
      <c r="H749" s="196" t="s">
        <v>480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25">
      <c r="F750" s="196" t="s">
        <v>941</v>
      </c>
      <c r="G750" s="196" t="s">
        <v>120</v>
      </c>
      <c r="H750" s="196" t="s">
        <v>480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25">
      <c r="F751" s="196" t="s">
        <v>942</v>
      </c>
      <c r="G751" s="196" t="s">
        <v>120</v>
      </c>
      <c r="H751" s="196" t="s">
        <v>480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25">
      <c r="F752" s="93" t="s">
        <v>943</v>
      </c>
      <c r="G752" s="93" t="s">
        <v>120</v>
      </c>
      <c r="H752" s="93" t="s">
        <v>480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2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2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25">
      <c r="F755" s="91" t="s">
        <v>928</v>
      </c>
      <c r="G755" s="91" t="s">
        <v>74</v>
      </c>
      <c r="H755" s="91" t="s">
        <v>480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25">
      <c r="F756" s="196" t="s">
        <v>929</v>
      </c>
      <c r="G756" s="196" t="s">
        <v>74</v>
      </c>
      <c r="H756" s="196" t="s">
        <v>480</v>
      </c>
      <c r="I756" s="66"/>
      <c r="J756" s="233">
        <f t="shared" ref="J756:J759" si="69">CHOOSE(year_selection, L756,M756,N756,O756,P756,Q756,R756,S756)</f>
        <v>0</v>
      </c>
      <c r="K756" s="234"/>
      <c r="L756" s="329"/>
      <c r="M756" s="329"/>
      <c r="N756" s="329"/>
      <c r="O756" s="329">
        <v>0</v>
      </c>
      <c r="P756" s="329">
        <v>0</v>
      </c>
      <c r="Q756" s="329">
        <v>0</v>
      </c>
      <c r="R756" s="329">
        <v>0</v>
      </c>
      <c r="S756" s="329">
        <v>0</v>
      </c>
    </row>
    <row r="757" spans="5:19" x14ac:dyDescent="0.25">
      <c r="F757" s="196" t="s">
        <v>930</v>
      </c>
      <c r="G757" s="196" t="s">
        <v>74</v>
      </c>
      <c r="H757" s="196" t="s">
        <v>480</v>
      </c>
      <c r="I757" s="66"/>
      <c r="J757" s="233">
        <f t="shared" si="69"/>
        <v>0</v>
      </c>
      <c r="K757" s="234"/>
      <c r="L757" s="329"/>
      <c r="M757" s="329"/>
      <c r="N757" s="329"/>
      <c r="O757" s="329">
        <v>0</v>
      </c>
      <c r="P757" s="329">
        <v>0</v>
      </c>
      <c r="Q757" s="329">
        <v>0</v>
      </c>
      <c r="R757" s="329">
        <v>0</v>
      </c>
      <c r="S757" s="329">
        <v>0</v>
      </c>
    </row>
    <row r="758" spans="5:19" x14ac:dyDescent="0.25">
      <c r="F758" s="196" t="s">
        <v>931</v>
      </c>
      <c r="G758" s="196" t="s">
        <v>74</v>
      </c>
      <c r="H758" s="196" t="s">
        <v>480</v>
      </c>
      <c r="I758" s="66"/>
      <c r="J758" s="233">
        <f t="shared" si="69"/>
        <v>0</v>
      </c>
      <c r="K758" s="234"/>
      <c r="L758" s="329"/>
      <c r="M758" s="329"/>
      <c r="N758" s="329"/>
      <c r="O758" s="329">
        <v>0</v>
      </c>
      <c r="P758" s="329">
        <v>0</v>
      </c>
      <c r="Q758" s="329">
        <v>0</v>
      </c>
      <c r="R758" s="329">
        <v>0</v>
      </c>
      <c r="S758" s="329">
        <v>0</v>
      </c>
    </row>
    <row r="759" spans="5:19" x14ac:dyDescent="0.25">
      <c r="F759" s="196" t="s">
        <v>932</v>
      </c>
      <c r="G759" s="196" t="s">
        <v>74</v>
      </c>
      <c r="H759" s="196" t="s">
        <v>480</v>
      </c>
      <c r="I759" s="66"/>
      <c r="J759" s="233">
        <f t="shared" si="69"/>
        <v>0</v>
      </c>
      <c r="K759" s="234"/>
      <c r="L759" s="329"/>
      <c r="M759" s="329"/>
      <c r="N759" s="329"/>
      <c r="O759" s="329">
        <v>0</v>
      </c>
      <c r="P759" s="329">
        <v>0</v>
      </c>
      <c r="Q759" s="329">
        <v>0</v>
      </c>
      <c r="R759" s="329">
        <v>0</v>
      </c>
      <c r="S759" s="329">
        <v>0</v>
      </c>
    </row>
    <row r="760" spans="5:19" x14ac:dyDescent="0.25">
      <c r="F760" s="196" t="s">
        <v>933</v>
      </c>
      <c r="G760" s="196" t="s">
        <v>74</v>
      </c>
      <c r="H760" s="196" t="s">
        <v>480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25">
      <c r="F761" s="196" t="s">
        <v>934</v>
      </c>
      <c r="G761" s="196" t="s">
        <v>74</v>
      </c>
      <c r="H761" s="196" t="s">
        <v>480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25">
      <c r="F762" s="196" t="s">
        <v>935</v>
      </c>
      <c r="G762" s="196" t="s">
        <v>74</v>
      </c>
      <c r="H762" s="196" t="s">
        <v>480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25">
      <c r="F763" s="196" t="s">
        <v>936</v>
      </c>
      <c r="G763" s="196" t="s">
        <v>74</v>
      </c>
      <c r="H763" s="196" t="s">
        <v>480</v>
      </c>
      <c r="I763" s="66"/>
      <c r="J763" s="233">
        <f t="shared" ref="J763" si="70">CHOOSE(year_selection, L763,M763,N763,O763,P763,Q763,R763,S763)</f>
        <v>0</v>
      </c>
      <c r="K763" s="234"/>
      <c r="L763" s="329"/>
      <c r="M763" s="329"/>
      <c r="N763" s="329"/>
      <c r="O763" s="329">
        <v>0</v>
      </c>
      <c r="P763" s="329">
        <v>0</v>
      </c>
      <c r="Q763" s="329">
        <v>0</v>
      </c>
      <c r="R763" s="329">
        <v>0</v>
      </c>
      <c r="S763" s="329">
        <v>0</v>
      </c>
    </row>
    <row r="764" spans="5:19" x14ac:dyDescent="0.25">
      <c r="F764" s="196" t="s">
        <v>937</v>
      </c>
      <c r="G764" s="196" t="s">
        <v>74</v>
      </c>
      <c r="H764" s="196" t="s">
        <v>480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25">
      <c r="F765" s="196" t="s">
        <v>938</v>
      </c>
      <c r="G765" s="196" t="s">
        <v>74</v>
      </c>
      <c r="H765" s="196" t="s">
        <v>480</v>
      </c>
      <c r="I765" s="66"/>
      <c r="J765" s="233">
        <f t="shared" ref="J765" si="71">CHOOSE(year_selection, L765,M765,N765,O765,P765,Q765,R765,S765)</f>
        <v>0</v>
      </c>
      <c r="K765" s="234"/>
      <c r="L765" s="329"/>
      <c r="M765" s="329"/>
      <c r="N765" s="329"/>
      <c r="O765" s="329">
        <v>0</v>
      </c>
      <c r="P765" s="329">
        <v>0</v>
      </c>
      <c r="Q765" s="329">
        <v>0</v>
      </c>
      <c r="R765" s="329">
        <v>0</v>
      </c>
      <c r="S765" s="329">
        <v>0</v>
      </c>
    </row>
    <row r="766" spans="5:19" x14ac:dyDescent="0.25">
      <c r="F766" s="196" t="s">
        <v>939</v>
      </c>
      <c r="G766" s="196" t="s">
        <v>74</v>
      </c>
      <c r="H766" s="196" t="s">
        <v>480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25">
      <c r="F767" s="196" t="s">
        <v>940</v>
      </c>
      <c r="G767" s="196" t="s">
        <v>74</v>
      </c>
      <c r="H767" s="196" t="s">
        <v>480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25">
      <c r="F768" s="196" t="s">
        <v>941</v>
      </c>
      <c r="G768" s="196" t="s">
        <v>74</v>
      </c>
      <c r="H768" s="196" t="s">
        <v>480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25">
      <c r="F769" s="196" t="s">
        <v>942</v>
      </c>
      <c r="G769" s="196" t="s">
        <v>74</v>
      </c>
      <c r="H769" s="196" t="s">
        <v>480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25">
      <c r="F770" s="93" t="s">
        <v>943</v>
      </c>
      <c r="G770" s="93" t="s">
        <v>74</v>
      </c>
      <c r="H770" s="93" t="s">
        <v>480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2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2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25">
      <c r="F773" s="91" t="s">
        <v>928</v>
      </c>
      <c r="G773" s="91" t="s">
        <v>169</v>
      </c>
      <c r="H773" s="91" t="s">
        <v>480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25">
      <c r="F774" s="196" t="s">
        <v>929</v>
      </c>
      <c r="G774" s="196" t="s">
        <v>169</v>
      </c>
      <c r="H774" s="196" t="s">
        <v>480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25">
      <c r="F775" s="196" t="s">
        <v>930</v>
      </c>
      <c r="G775" s="196" t="s">
        <v>169</v>
      </c>
      <c r="H775" s="196" t="s">
        <v>480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25">
      <c r="F776" s="196" t="s">
        <v>931</v>
      </c>
      <c r="G776" s="196" t="s">
        <v>169</v>
      </c>
      <c r="H776" s="196" t="s">
        <v>480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25">
      <c r="F777" s="196" t="s">
        <v>932</v>
      </c>
      <c r="G777" s="196" t="s">
        <v>169</v>
      </c>
      <c r="H777" s="196" t="s">
        <v>480</v>
      </c>
      <c r="I777" s="66"/>
      <c r="J777" s="233">
        <f t="shared" ref="J777" si="72">CHOOSE(year_selection, L777,M777,N777,O777,P777,Q777,R777,S777)</f>
        <v>0</v>
      </c>
      <c r="K777" s="234"/>
      <c r="L777" s="329"/>
      <c r="M777" s="329"/>
      <c r="N777" s="329"/>
      <c r="O777" s="329">
        <v>0</v>
      </c>
      <c r="P777" s="329">
        <v>0</v>
      </c>
      <c r="Q777" s="329">
        <v>0</v>
      </c>
      <c r="R777" s="329">
        <v>0</v>
      </c>
      <c r="S777" s="329">
        <v>0</v>
      </c>
    </row>
    <row r="778" spans="5:19" x14ac:dyDescent="0.25">
      <c r="F778" s="196" t="s">
        <v>933</v>
      </c>
      <c r="G778" s="196" t="s">
        <v>169</v>
      </c>
      <c r="H778" s="196" t="s">
        <v>480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25">
      <c r="F779" s="196" t="s">
        <v>934</v>
      </c>
      <c r="G779" s="196" t="s">
        <v>169</v>
      </c>
      <c r="H779" s="196" t="s">
        <v>480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25">
      <c r="F780" s="196" t="s">
        <v>935</v>
      </c>
      <c r="G780" s="196" t="s">
        <v>169</v>
      </c>
      <c r="H780" s="196" t="s">
        <v>480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25">
      <c r="F781" s="196" t="s">
        <v>936</v>
      </c>
      <c r="G781" s="196" t="s">
        <v>169</v>
      </c>
      <c r="H781" s="196" t="s">
        <v>480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25">
      <c r="F782" s="196" t="s">
        <v>937</v>
      </c>
      <c r="G782" s="196" t="s">
        <v>169</v>
      </c>
      <c r="H782" s="196" t="s">
        <v>480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25">
      <c r="F783" s="196" t="s">
        <v>938</v>
      </c>
      <c r="G783" s="196" t="s">
        <v>169</v>
      </c>
      <c r="H783" s="196" t="s">
        <v>480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25">
      <c r="F784" s="196" t="s">
        <v>939</v>
      </c>
      <c r="G784" s="196" t="s">
        <v>169</v>
      </c>
      <c r="H784" s="196" t="s">
        <v>480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25">
      <c r="F785" s="196" t="s">
        <v>940</v>
      </c>
      <c r="G785" s="196" t="s">
        <v>169</v>
      </c>
      <c r="H785" s="196" t="s">
        <v>480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25">
      <c r="F786" s="196" t="s">
        <v>941</v>
      </c>
      <c r="G786" s="196" t="s">
        <v>169</v>
      </c>
      <c r="H786" s="196" t="s">
        <v>480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25">
      <c r="F787" s="196" t="s">
        <v>942</v>
      </c>
      <c r="G787" s="196" t="s">
        <v>169</v>
      </c>
      <c r="H787" s="196" t="s">
        <v>480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25">
      <c r="F788" s="93" t="s">
        <v>943</v>
      </c>
      <c r="G788" s="93" t="s">
        <v>169</v>
      </c>
      <c r="H788" s="93" t="s">
        <v>480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2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2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25">
      <c r="F791" s="91" t="s">
        <v>928</v>
      </c>
      <c r="G791" s="91" t="s">
        <v>169</v>
      </c>
      <c r="H791" s="91" t="s">
        <v>480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25">
      <c r="F792" s="196" t="s">
        <v>929</v>
      </c>
      <c r="G792" s="196" t="s">
        <v>169</v>
      </c>
      <c r="H792" s="196" t="s">
        <v>480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25">
      <c r="F793" s="196" t="s">
        <v>930</v>
      </c>
      <c r="G793" s="196" t="s">
        <v>169</v>
      </c>
      <c r="H793" s="196" t="s">
        <v>480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25">
      <c r="F794" s="196" t="s">
        <v>931</v>
      </c>
      <c r="G794" s="196" t="s">
        <v>169</v>
      </c>
      <c r="H794" s="196" t="s">
        <v>480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25">
      <c r="F795" s="196" t="s">
        <v>932</v>
      </c>
      <c r="G795" s="196" t="s">
        <v>169</v>
      </c>
      <c r="H795" s="196" t="s">
        <v>480</v>
      </c>
      <c r="I795" s="66"/>
      <c r="J795" s="233">
        <f t="shared" ref="J795" si="73">CHOOSE(year_selection, L795,M795,N795,O795,P795,Q795,R795,S795)</f>
        <v>0</v>
      </c>
      <c r="K795" s="234"/>
      <c r="L795" s="329"/>
      <c r="M795" s="329"/>
      <c r="N795" s="329"/>
      <c r="O795" s="329">
        <v>0</v>
      </c>
      <c r="P795" s="329">
        <v>0</v>
      </c>
      <c r="Q795" s="329">
        <v>0</v>
      </c>
      <c r="R795" s="329">
        <v>0</v>
      </c>
      <c r="S795" s="329">
        <v>0</v>
      </c>
    </row>
    <row r="796" spans="5:19" x14ac:dyDescent="0.25">
      <c r="F796" s="196" t="s">
        <v>933</v>
      </c>
      <c r="G796" s="196" t="s">
        <v>169</v>
      </c>
      <c r="H796" s="196" t="s">
        <v>480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25">
      <c r="F797" s="196" t="s">
        <v>934</v>
      </c>
      <c r="G797" s="196" t="s">
        <v>169</v>
      </c>
      <c r="H797" s="196" t="s">
        <v>480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25">
      <c r="F798" s="196" t="s">
        <v>935</v>
      </c>
      <c r="G798" s="196" t="s">
        <v>169</v>
      </c>
      <c r="H798" s="196" t="s">
        <v>480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25">
      <c r="F799" s="196" t="s">
        <v>936</v>
      </c>
      <c r="G799" s="196" t="s">
        <v>169</v>
      </c>
      <c r="H799" s="196" t="s">
        <v>480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25">
      <c r="F800" s="196" t="s">
        <v>937</v>
      </c>
      <c r="G800" s="196" t="s">
        <v>169</v>
      </c>
      <c r="H800" s="196" t="s">
        <v>480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25">
      <c r="F801" s="196" t="s">
        <v>938</v>
      </c>
      <c r="G801" s="196" t="s">
        <v>169</v>
      </c>
      <c r="H801" s="196" t="s">
        <v>480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25">
      <c r="F802" s="196" t="s">
        <v>939</v>
      </c>
      <c r="G802" s="196" t="s">
        <v>169</v>
      </c>
      <c r="H802" s="196" t="s">
        <v>480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25">
      <c r="F803" s="196" t="s">
        <v>940</v>
      </c>
      <c r="G803" s="196" t="s">
        <v>169</v>
      </c>
      <c r="H803" s="196" t="s">
        <v>480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25">
      <c r="F804" s="196" t="s">
        <v>941</v>
      </c>
      <c r="G804" s="196" t="s">
        <v>169</v>
      </c>
      <c r="H804" s="196" t="s">
        <v>480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25">
      <c r="F805" s="196" t="s">
        <v>942</v>
      </c>
      <c r="G805" s="196" t="s">
        <v>169</v>
      </c>
      <c r="H805" s="196" t="s">
        <v>480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25">
      <c r="F806" s="93" t="s">
        <v>943</v>
      </c>
      <c r="G806" s="93" t="s">
        <v>169</v>
      </c>
      <c r="H806" s="93" t="s">
        <v>480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2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2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25">
      <c r="F809" s="91" t="s">
        <v>928</v>
      </c>
      <c r="G809" s="91" t="s">
        <v>170</v>
      </c>
      <c r="H809" s="91" t="s">
        <v>480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25">
      <c r="F810" s="196" t="s">
        <v>929</v>
      </c>
      <c r="G810" s="196" t="s">
        <v>170</v>
      </c>
      <c r="H810" s="196" t="s">
        <v>480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25">
      <c r="F811" s="196" t="s">
        <v>930</v>
      </c>
      <c r="G811" s="196" t="s">
        <v>170</v>
      </c>
      <c r="H811" s="196" t="s">
        <v>480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25">
      <c r="F812" s="196" t="s">
        <v>931</v>
      </c>
      <c r="G812" s="196" t="s">
        <v>170</v>
      </c>
      <c r="H812" s="196" t="s">
        <v>480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25">
      <c r="F813" s="196" t="s">
        <v>932</v>
      </c>
      <c r="G813" s="196" t="s">
        <v>170</v>
      </c>
      <c r="H813" s="196" t="s">
        <v>480</v>
      </c>
      <c r="I813" s="66"/>
      <c r="J813" s="233">
        <f t="shared" ref="J813" si="74">CHOOSE(year_selection, L813,M813,N813,O813,P813,Q813,R813,S813)</f>
        <v>0</v>
      </c>
      <c r="K813" s="234"/>
      <c r="L813" s="329"/>
      <c r="M813" s="329"/>
      <c r="N813" s="329"/>
      <c r="O813" s="329">
        <v>0</v>
      </c>
      <c r="P813" s="329">
        <v>0</v>
      </c>
      <c r="Q813" s="329">
        <v>0</v>
      </c>
      <c r="R813" s="329">
        <v>0</v>
      </c>
      <c r="S813" s="329">
        <v>0</v>
      </c>
    </row>
    <row r="814" spans="5:19" x14ac:dyDescent="0.25">
      <c r="F814" s="196" t="s">
        <v>933</v>
      </c>
      <c r="G814" s="196" t="s">
        <v>170</v>
      </c>
      <c r="H814" s="196" t="s">
        <v>480</v>
      </c>
      <c r="I814" s="66"/>
      <c r="J814" s="518"/>
      <c r="K814" s="519"/>
      <c r="L814" s="518"/>
      <c r="M814" s="518"/>
      <c r="N814" s="518"/>
      <c r="O814" s="518"/>
      <c r="P814" s="518"/>
      <c r="Q814" s="518"/>
      <c r="R814" s="518"/>
      <c r="S814" s="518"/>
    </row>
    <row r="815" spans="5:19" x14ac:dyDescent="0.25">
      <c r="F815" s="196" t="s">
        <v>934</v>
      </c>
      <c r="G815" s="196" t="s">
        <v>170</v>
      </c>
      <c r="H815" s="196" t="s">
        <v>480</v>
      </c>
      <c r="I815" s="66"/>
      <c r="J815" s="518"/>
      <c r="K815" s="519"/>
      <c r="L815" s="518"/>
      <c r="M815" s="518"/>
      <c r="N815" s="518"/>
      <c r="O815" s="518"/>
      <c r="P815" s="518"/>
      <c r="Q815" s="518"/>
      <c r="R815" s="518"/>
      <c r="S815" s="518"/>
    </row>
    <row r="816" spans="5:19" x14ac:dyDescent="0.25">
      <c r="F816" s="196" t="s">
        <v>935</v>
      </c>
      <c r="G816" s="196" t="s">
        <v>170</v>
      </c>
      <c r="H816" s="196" t="s">
        <v>480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25">
      <c r="F817" s="196" t="s">
        <v>936</v>
      </c>
      <c r="G817" s="196" t="s">
        <v>170</v>
      </c>
      <c r="H817" s="196" t="s">
        <v>480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25">
      <c r="F818" s="196" t="s">
        <v>937</v>
      </c>
      <c r="G818" s="196" t="s">
        <v>170</v>
      </c>
      <c r="H818" s="196" t="s">
        <v>480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25">
      <c r="F819" s="196" t="s">
        <v>938</v>
      </c>
      <c r="G819" s="196" t="s">
        <v>170</v>
      </c>
      <c r="H819" s="196" t="s">
        <v>480</v>
      </c>
      <c r="I819" s="66"/>
      <c r="J819" s="233">
        <f t="shared" ref="J819" si="75">CHOOSE(year_selection, L819,M819,N819,O819,P819,Q819,R819,S819)</f>
        <v>0</v>
      </c>
      <c r="K819" s="234"/>
      <c r="L819" s="329"/>
      <c r="M819" s="329"/>
      <c r="N819" s="329"/>
      <c r="O819" s="329">
        <v>0</v>
      </c>
      <c r="P819" s="329">
        <v>0</v>
      </c>
      <c r="Q819" s="329">
        <v>0</v>
      </c>
      <c r="R819" s="329">
        <v>0</v>
      </c>
      <c r="S819" s="329">
        <v>0</v>
      </c>
    </row>
    <row r="820" spans="3:21" x14ac:dyDescent="0.25">
      <c r="F820" s="196" t="s">
        <v>939</v>
      </c>
      <c r="G820" s="196" t="s">
        <v>170</v>
      </c>
      <c r="H820" s="196" t="s">
        <v>480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25">
      <c r="F821" s="196" t="s">
        <v>940</v>
      </c>
      <c r="G821" s="196" t="s">
        <v>170</v>
      </c>
      <c r="H821" s="196" t="s">
        <v>480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25">
      <c r="F822" s="196" t="s">
        <v>941</v>
      </c>
      <c r="G822" s="196" t="s">
        <v>170</v>
      </c>
      <c r="H822" s="196" t="s">
        <v>480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25">
      <c r="F823" s="196" t="s">
        <v>942</v>
      </c>
      <c r="G823" s="196" t="s">
        <v>170</v>
      </c>
      <c r="H823" s="196" t="s">
        <v>480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25">
      <c r="F824" s="93" t="s">
        <v>943</v>
      </c>
      <c r="G824" s="93" t="s">
        <v>170</v>
      </c>
      <c r="H824" s="93" t="s">
        <v>480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2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25">
      <c r="C826" s="7" t="str">
        <f ca="1">INDEX('Version control'!$H$34:$H$60,MATCH($A$1,'Version control'!$F$34:$F$60,0),1)&amp;"-I: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25">
      <c r="D827" s="96"/>
      <c r="I827" s="111"/>
    </row>
    <row r="828" spans="3:21" s="293" customFormat="1" x14ac:dyDescent="0.25">
      <c r="E828" s="144" t="s">
        <v>199</v>
      </c>
      <c r="I828" s="111" t="s">
        <v>359</v>
      </c>
      <c r="U828" s="293" t="s">
        <v>692</v>
      </c>
    </row>
    <row r="829" spans="3:21" s="293" customFormat="1" x14ac:dyDescent="0.25">
      <c r="F829" s="91" t="s">
        <v>928</v>
      </c>
      <c r="G829" s="91" t="s">
        <v>120</v>
      </c>
      <c r="H829" s="91" t="s">
        <v>480</v>
      </c>
      <c r="I829" s="112"/>
      <c r="J829" s="231">
        <f t="shared" ref="J829" si="76">CHOOSE(year_selection, L829,M829,N829,O829,P829,Q829,R829,S829)</f>
        <v>8306.6021289228665</v>
      </c>
      <c r="K829" s="232"/>
      <c r="L829" s="328"/>
      <c r="M829" s="328"/>
      <c r="N829" s="328"/>
      <c r="O829" s="328">
        <v>8306.6021289228665</v>
      </c>
      <c r="P829" s="328">
        <v>8306.6021289228665</v>
      </c>
      <c r="Q829" s="328">
        <v>8306.6021289228665</v>
      </c>
      <c r="R829" s="328">
        <v>8306.6021289228665</v>
      </c>
      <c r="S829" s="328">
        <v>8306.6021289228665</v>
      </c>
    </row>
    <row r="830" spans="3:21" s="293" customFormat="1" x14ac:dyDescent="0.25">
      <c r="F830" s="196" t="s">
        <v>929</v>
      </c>
      <c r="G830" s="196" t="s">
        <v>120</v>
      </c>
      <c r="H830" s="196" t="s">
        <v>480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25">
      <c r="F831" s="196" t="s">
        <v>930</v>
      </c>
      <c r="G831" s="196" t="s">
        <v>120</v>
      </c>
      <c r="H831" s="196" t="s">
        <v>480</v>
      </c>
      <c r="I831" s="66"/>
      <c r="J831" s="233">
        <f t="shared" ref="J831" si="77">CHOOSE(year_selection, L831,M831,N831,O831,P831,Q831,R831,S831)</f>
        <v>7.2436713889719169</v>
      </c>
      <c r="K831" s="234"/>
      <c r="L831" s="329"/>
      <c r="M831" s="329"/>
      <c r="N831" s="329"/>
      <c r="O831" s="329">
        <v>7.2436713889719169</v>
      </c>
      <c r="P831" s="329">
        <v>7.2436713889719169</v>
      </c>
      <c r="Q831" s="329">
        <v>7.2436713889719169</v>
      </c>
      <c r="R831" s="329">
        <v>7.2436713889719169</v>
      </c>
      <c r="S831" s="329">
        <v>7.2436713889719169</v>
      </c>
    </row>
    <row r="832" spans="3:21" s="293" customFormat="1" x14ac:dyDescent="0.25">
      <c r="F832" s="196" t="s">
        <v>931</v>
      </c>
      <c r="G832" s="196" t="s">
        <v>120</v>
      </c>
      <c r="H832" s="196" t="s">
        <v>480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25">
      <c r="F833" s="196" t="s">
        <v>932</v>
      </c>
      <c r="G833" s="196" t="s">
        <v>120</v>
      </c>
      <c r="H833" s="196" t="s">
        <v>480</v>
      </c>
      <c r="I833" s="66"/>
      <c r="J833" s="233">
        <f t="shared" ref="J833" si="78">CHOOSE(year_selection, L833,M833,N833,O833,P833,Q833,R833,S833)</f>
        <v>34.413257999999992</v>
      </c>
      <c r="K833" s="234"/>
      <c r="L833" s="329"/>
      <c r="M833" s="329"/>
      <c r="N833" s="329"/>
      <c r="O833" s="329">
        <v>34.413257999999992</v>
      </c>
      <c r="P833" s="329">
        <v>34.413257999999992</v>
      </c>
      <c r="Q833" s="329">
        <v>34.413257999999992</v>
      </c>
      <c r="R833" s="329">
        <v>34.413257999999992</v>
      </c>
      <c r="S833" s="329">
        <v>34.413257999999992</v>
      </c>
    </row>
    <row r="834" spans="5:19" s="293" customFormat="1" x14ac:dyDescent="0.25">
      <c r="F834" s="196" t="s">
        <v>933</v>
      </c>
      <c r="G834" s="196" t="s">
        <v>120</v>
      </c>
      <c r="H834" s="196" t="s">
        <v>480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25">
      <c r="F835" s="196" t="s">
        <v>934</v>
      </c>
      <c r="G835" s="196" t="s">
        <v>120</v>
      </c>
      <c r="H835" s="196" t="s">
        <v>480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25">
      <c r="F836" s="196" t="s">
        <v>935</v>
      </c>
      <c r="G836" s="196" t="s">
        <v>120</v>
      </c>
      <c r="H836" s="196" t="s">
        <v>480</v>
      </c>
      <c r="I836" s="66"/>
      <c r="J836" s="233">
        <f t="shared" ref="J836" si="79">CHOOSE(year_selection, L836,M836,N836,O836,P836,Q836,R836,S836)</f>
        <v>4.0484626290277781</v>
      </c>
      <c r="K836" s="234"/>
      <c r="L836" s="329"/>
      <c r="M836" s="329"/>
      <c r="N836" s="329"/>
      <c r="O836" s="329">
        <v>4.0484626290277781</v>
      </c>
      <c r="P836" s="329">
        <v>4.0484626290277781</v>
      </c>
      <c r="Q836" s="329">
        <v>4.0484626290277781</v>
      </c>
      <c r="R836" s="329">
        <v>4.0484626290277781</v>
      </c>
      <c r="S836" s="329">
        <v>4.0484626290277781</v>
      </c>
    </row>
    <row r="837" spans="5:19" s="293" customFormat="1" x14ac:dyDescent="0.25">
      <c r="F837" s="196" t="s">
        <v>936</v>
      </c>
      <c r="G837" s="196" t="s">
        <v>120</v>
      </c>
      <c r="H837" s="196" t="s">
        <v>480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25">
      <c r="F838" s="196" t="s">
        <v>937</v>
      </c>
      <c r="G838" s="196" t="s">
        <v>120</v>
      </c>
      <c r="H838" s="196" t="s">
        <v>480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25">
      <c r="F839" s="196" t="s">
        <v>938</v>
      </c>
      <c r="G839" s="196" t="s">
        <v>120</v>
      </c>
      <c r="H839" s="196" t="s">
        <v>480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25">
      <c r="F840" s="196" t="s">
        <v>939</v>
      </c>
      <c r="G840" s="196" t="s">
        <v>120</v>
      </c>
      <c r="H840" s="196" t="s">
        <v>480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25">
      <c r="F841" s="196" t="s">
        <v>940</v>
      </c>
      <c r="G841" s="196" t="s">
        <v>120</v>
      </c>
      <c r="H841" s="196" t="s">
        <v>480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25">
      <c r="F842" s="196" t="s">
        <v>941</v>
      </c>
      <c r="G842" s="196" t="s">
        <v>120</v>
      </c>
      <c r="H842" s="196" t="s">
        <v>480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25">
      <c r="F843" s="196" t="s">
        <v>942</v>
      </c>
      <c r="G843" s="196" t="s">
        <v>120</v>
      </c>
      <c r="H843" s="196" t="s">
        <v>480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25">
      <c r="F844" s="93" t="s">
        <v>943</v>
      </c>
      <c r="G844" s="93" t="s">
        <v>120</v>
      </c>
      <c r="H844" s="93" t="s">
        <v>480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2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2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25">
      <c r="F847" s="91" t="s">
        <v>928</v>
      </c>
      <c r="G847" s="91" t="s">
        <v>120</v>
      </c>
      <c r="H847" s="91" t="s">
        <v>480</v>
      </c>
      <c r="I847" s="112"/>
      <c r="J847" s="231">
        <f t="shared" ref="J847" si="80">CHOOSE(year_selection, L847,M847,N847,O847,P847,Q847,R847,S847)</f>
        <v>29533.933561876322</v>
      </c>
      <c r="K847" s="232"/>
      <c r="L847" s="328"/>
      <c r="M847" s="328"/>
      <c r="N847" s="328"/>
      <c r="O847" s="328">
        <v>29533.933561876322</v>
      </c>
      <c r="P847" s="328">
        <v>29533.933561876322</v>
      </c>
      <c r="Q847" s="328">
        <v>29533.933561876322</v>
      </c>
      <c r="R847" s="328">
        <v>29533.933561876322</v>
      </c>
      <c r="S847" s="328">
        <v>29533.933561876322</v>
      </c>
    </row>
    <row r="848" spans="5:19" s="293" customFormat="1" x14ac:dyDescent="0.25">
      <c r="F848" s="196" t="s">
        <v>929</v>
      </c>
      <c r="G848" s="196" t="s">
        <v>120</v>
      </c>
      <c r="H848" s="196" t="s">
        <v>480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25">
      <c r="F849" s="196" t="s">
        <v>930</v>
      </c>
      <c r="G849" s="196" t="s">
        <v>120</v>
      </c>
      <c r="H849" s="196" t="s">
        <v>480</v>
      </c>
      <c r="I849" s="66"/>
      <c r="J849" s="233">
        <f t="shared" ref="J849" si="81">CHOOSE(year_selection, L849,M849,N849,O849,P849,Q849,R849,S849)</f>
        <v>38.060246396439958</v>
      </c>
      <c r="K849" s="234"/>
      <c r="L849" s="329"/>
      <c r="M849" s="329"/>
      <c r="N849" s="329"/>
      <c r="O849" s="329">
        <v>38.060246396439958</v>
      </c>
      <c r="P849" s="329">
        <v>38.060246396439958</v>
      </c>
      <c r="Q849" s="329">
        <v>38.060246396439958</v>
      </c>
      <c r="R849" s="329">
        <v>38.060246396439958</v>
      </c>
      <c r="S849" s="329">
        <v>38.060246396439958</v>
      </c>
    </row>
    <row r="850" spans="5:19" s="293" customFormat="1" x14ac:dyDescent="0.25">
      <c r="F850" s="196" t="s">
        <v>931</v>
      </c>
      <c r="G850" s="196" t="s">
        <v>120</v>
      </c>
      <c r="H850" s="196" t="s">
        <v>480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25">
      <c r="F851" s="196" t="s">
        <v>932</v>
      </c>
      <c r="G851" s="196" t="s">
        <v>120</v>
      </c>
      <c r="H851" s="196" t="s">
        <v>480</v>
      </c>
      <c r="I851" s="66"/>
      <c r="J851" s="233">
        <f t="shared" ref="J851" si="82">CHOOSE(year_selection, L851,M851,N851,O851,P851,Q851,R851,S851)</f>
        <v>157.41759572889416</v>
      </c>
      <c r="K851" s="234"/>
      <c r="L851" s="329"/>
      <c r="M851" s="329"/>
      <c r="N851" s="329"/>
      <c r="O851" s="329">
        <v>157.41759572889416</v>
      </c>
      <c r="P851" s="329">
        <v>157.41759572889416</v>
      </c>
      <c r="Q851" s="329">
        <v>157.41759572889416</v>
      </c>
      <c r="R851" s="329">
        <v>157.41759572889416</v>
      </c>
      <c r="S851" s="329">
        <v>157.41759572889416</v>
      </c>
    </row>
    <row r="852" spans="5:19" s="293" customFormat="1" x14ac:dyDescent="0.25">
      <c r="F852" s="196" t="s">
        <v>933</v>
      </c>
      <c r="G852" s="196" t="s">
        <v>120</v>
      </c>
      <c r="H852" s="196" t="s">
        <v>480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25">
      <c r="F853" s="196" t="s">
        <v>934</v>
      </c>
      <c r="G853" s="196" t="s">
        <v>120</v>
      </c>
      <c r="H853" s="196" t="s">
        <v>480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25">
      <c r="F854" s="196" t="s">
        <v>935</v>
      </c>
      <c r="G854" s="196" t="s">
        <v>120</v>
      </c>
      <c r="H854" s="196" t="s">
        <v>480</v>
      </c>
      <c r="I854" s="66"/>
      <c r="J854" s="233">
        <f t="shared" ref="J854" si="83">CHOOSE(year_selection, L854,M854,N854,O854,P854,Q854,R854,S854)</f>
        <v>53.178547581699839</v>
      </c>
      <c r="K854" s="234"/>
      <c r="L854" s="329"/>
      <c r="M854" s="329"/>
      <c r="N854" s="329"/>
      <c r="O854" s="329">
        <v>53.178547581699839</v>
      </c>
      <c r="P854" s="329">
        <v>53.178547581699839</v>
      </c>
      <c r="Q854" s="329">
        <v>53.178547581699839</v>
      </c>
      <c r="R854" s="329">
        <v>53.178547581699839</v>
      </c>
      <c r="S854" s="329">
        <v>53.178547581699839</v>
      </c>
    </row>
    <row r="855" spans="5:19" s="293" customFormat="1" x14ac:dyDescent="0.25">
      <c r="F855" s="196" t="s">
        <v>936</v>
      </c>
      <c r="G855" s="196" t="s">
        <v>120</v>
      </c>
      <c r="H855" s="196" t="s">
        <v>480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25">
      <c r="F856" s="196" t="s">
        <v>937</v>
      </c>
      <c r="G856" s="196" t="s">
        <v>120</v>
      </c>
      <c r="H856" s="196" t="s">
        <v>480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25">
      <c r="F857" s="196" t="s">
        <v>938</v>
      </c>
      <c r="G857" s="196" t="s">
        <v>120</v>
      </c>
      <c r="H857" s="196" t="s">
        <v>480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25">
      <c r="F858" s="196" t="s">
        <v>939</v>
      </c>
      <c r="G858" s="196" t="s">
        <v>120</v>
      </c>
      <c r="H858" s="196" t="s">
        <v>480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25">
      <c r="F859" s="196" t="s">
        <v>940</v>
      </c>
      <c r="G859" s="196" t="s">
        <v>120</v>
      </c>
      <c r="H859" s="196" t="s">
        <v>480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25">
      <c r="F860" s="196" t="s">
        <v>941</v>
      </c>
      <c r="G860" s="196" t="s">
        <v>120</v>
      </c>
      <c r="H860" s="196" t="s">
        <v>480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25">
      <c r="F861" s="196" t="s">
        <v>942</v>
      </c>
      <c r="G861" s="196" t="s">
        <v>120</v>
      </c>
      <c r="H861" s="196" t="s">
        <v>480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25">
      <c r="F862" s="93" t="s">
        <v>943</v>
      </c>
      <c r="G862" s="93" t="s">
        <v>120</v>
      </c>
      <c r="H862" s="93" t="s">
        <v>480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2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2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25">
      <c r="F865" s="91" t="s">
        <v>928</v>
      </c>
      <c r="G865" s="91" t="s">
        <v>120</v>
      </c>
      <c r="H865" s="91" t="s">
        <v>480</v>
      </c>
      <c r="I865" s="112"/>
      <c r="J865" s="231">
        <f t="shared" ref="J865" si="84">CHOOSE(year_selection, L865,M865,N865,O865,P865,Q865,R865,S865)</f>
        <v>27775.710046862965</v>
      </c>
      <c r="K865" s="232"/>
      <c r="L865" s="328"/>
      <c r="M865" s="328"/>
      <c r="N865" s="328"/>
      <c r="O865" s="328">
        <v>27775.710046862965</v>
      </c>
      <c r="P865" s="328">
        <v>27775.710046862965</v>
      </c>
      <c r="Q865" s="328">
        <v>27775.710046862965</v>
      </c>
      <c r="R865" s="328">
        <v>27775.710046862965</v>
      </c>
      <c r="S865" s="328">
        <v>27775.710046862965</v>
      </c>
    </row>
    <row r="866" spans="6:19" s="293" customFormat="1" x14ac:dyDescent="0.25">
      <c r="F866" s="196" t="s">
        <v>929</v>
      </c>
      <c r="G866" s="196" t="s">
        <v>120</v>
      </c>
      <c r="H866" s="196" t="s">
        <v>480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25">
      <c r="F867" s="196" t="s">
        <v>930</v>
      </c>
      <c r="G867" s="196" t="s">
        <v>120</v>
      </c>
      <c r="H867" s="196" t="s">
        <v>480</v>
      </c>
      <c r="I867" s="66"/>
      <c r="J867" s="233">
        <f t="shared" ref="J867" si="85">CHOOSE(year_selection, L867,M867,N867,O867,P867,Q867,R867,S867)</f>
        <v>36.921677671108576</v>
      </c>
      <c r="K867" s="234"/>
      <c r="L867" s="329"/>
      <c r="M867" s="329"/>
      <c r="N867" s="329"/>
      <c r="O867" s="329">
        <v>36.921677671108576</v>
      </c>
      <c r="P867" s="329">
        <v>36.921677671108576</v>
      </c>
      <c r="Q867" s="329">
        <v>36.921677671108576</v>
      </c>
      <c r="R867" s="329">
        <v>36.921677671108576</v>
      </c>
      <c r="S867" s="329">
        <v>36.921677671108576</v>
      </c>
    </row>
    <row r="868" spans="6:19" s="293" customFormat="1" x14ac:dyDescent="0.25">
      <c r="F868" s="196" t="s">
        <v>931</v>
      </c>
      <c r="G868" s="196" t="s">
        <v>120</v>
      </c>
      <c r="H868" s="196" t="s">
        <v>480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25">
      <c r="F869" s="196" t="s">
        <v>932</v>
      </c>
      <c r="G869" s="196" t="s">
        <v>120</v>
      </c>
      <c r="H869" s="196" t="s">
        <v>480</v>
      </c>
      <c r="I869" s="66"/>
      <c r="J869" s="233">
        <f t="shared" ref="J869" si="86">CHOOSE(year_selection, L869,M869,N869,O869,P869,Q869,R869,S869)</f>
        <v>143.7306318763377</v>
      </c>
      <c r="K869" s="234"/>
      <c r="L869" s="329"/>
      <c r="M869" s="329"/>
      <c r="N869" s="329"/>
      <c r="O869" s="329">
        <v>143.7306318763377</v>
      </c>
      <c r="P869" s="329">
        <v>143.7306318763377</v>
      </c>
      <c r="Q869" s="329">
        <v>143.7306318763377</v>
      </c>
      <c r="R869" s="329">
        <v>143.7306318763377</v>
      </c>
      <c r="S869" s="329">
        <v>143.7306318763377</v>
      </c>
    </row>
    <row r="870" spans="6:19" s="293" customFormat="1" x14ac:dyDescent="0.25">
      <c r="F870" s="196" t="s">
        <v>933</v>
      </c>
      <c r="G870" s="196" t="s">
        <v>120</v>
      </c>
      <c r="H870" s="196" t="s">
        <v>480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25">
      <c r="F871" s="196" t="s">
        <v>934</v>
      </c>
      <c r="G871" s="196" t="s">
        <v>120</v>
      </c>
      <c r="H871" s="196" t="s">
        <v>480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25">
      <c r="F872" s="196" t="s">
        <v>935</v>
      </c>
      <c r="G872" s="196" t="s">
        <v>120</v>
      </c>
      <c r="H872" s="196" t="s">
        <v>480</v>
      </c>
      <c r="I872" s="66"/>
      <c r="J872" s="233">
        <f t="shared" ref="J872" si="87">CHOOSE(year_selection, L872,M872,N872,O872,P872,Q872,R872,S872)</f>
        <v>60.454134059674857</v>
      </c>
      <c r="K872" s="234"/>
      <c r="L872" s="329"/>
      <c r="M872" s="329"/>
      <c r="N872" s="329"/>
      <c r="O872" s="329">
        <v>60.454134059674857</v>
      </c>
      <c r="P872" s="329">
        <v>60.454134059674857</v>
      </c>
      <c r="Q872" s="329">
        <v>60.454134059674857</v>
      </c>
      <c r="R872" s="329">
        <v>60.454134059674857</v>
      </c>
      <c r="S872" s="329">
        <v>60.454134059674857</v>
      </c>
    </row>
    <row r="873" spans="6:19" s="293" customFormat="1" x14ac:dyDescent="0.25">
      <c r="F873" s="196" t="s">
        <v>936</v>
      </c>
      <c r="G873" s="196" t="s">
        <v>120</v>
      </c>
      <c r="H873" s="196" t="s">
        <v>480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25">
      <c r="F874" s="196" t="s">
        <v>937</v>
      </c>
      <c r="G874" s="196" t="s">
        <v>120</v>
      </c>
      <c r="H874" s="196" t="s">
        <v>480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25">
      <c r="F875" s="196" t="s">
        <v>938</v>
      </c>
      <c r="G875" s="196" t="s">
        <v>120</v>
      </c>
      <c r="H875" s="196" t="s">
        <v>480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25">
      <c r="F876" s="196" t="s">
        <v>939</v>
      </c>
      <c r="G876" s="196" t="s">
        <v>120</v>
      </c>
      <c r="H876" s="196" t="s">
        <v>480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25">
      <c r="F877" s="196" t="s">
        <v>940</v>
      </c>
      <c r="G877" s="196" t="s">
        <v>120</v>
      </c>
      <c r="H877" s="196" t="s">
        <v>480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25">
      <c r="F878" s="196" t="s">
        <v>941</v>
      </c>
      <c r="G878" s="196" t="s">
        <v>120</v>
      </c>
      <c r="H878" s="196" t="s">
        <v>480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25">
      <c r="F879" s="196" t="s">
        <v>942</v>
      </c>
      <c r="G879" s="196" t="s">
        <v>120</v>
      </c>
      <c r="H879" s="196" t="s">
        <v>480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25">
      <c r="F880" s="93" t="s">
        <v>943</v>
      </c>
      <c r="G880" s="93" t="s">
        <v>120</v>
      </c>
      <c r="H880" s="93" t="s">
        <v>480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2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2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25">
      <c r="F883" s="91" t="s">
        <v>928</v>
      </c>
      <c r="G883" s="91" t="s">
        <v>74</v>
      </c>
      <c r="H883" s="91" t="s">
        <v>480</v>
      </c>
      <c r="I883" s="112"/>
      <c r="J883" s="231">
        <f t="shared" ref="J883" si="88">CHOOSE(year_selection, L883,M883,N883,O883,P883,Q883,R883,S883)</f>
        <v>23151</v>
      </c>
      <c r="K883" s="232"/>
      <c r="L883" s="328"/>
      <c r="M883" s="328"/>
      <c r="N883" s="328"/>
      <c r="O883" s="328">
        <v>23151</v>
      </c>
      <c r="P883" s="328">
        <v>23151</v>
      </c>
      <c r="Q883" s="328">
        <v>23151</v>
      </c>
      <c r="R883" s="328">
        <v>23151</v>
      </c>
      <c r="S883" s="328">
        <v>23151</v>
      </c>
    </row>
    <row r="884" spans="5:19" s="293" customFormat="1" x14ac:dyDescent="0.25">
      <c r="F884" s="196" t="s">
        <v>929</v>
      </c>
      <c r="G884" s="196" t="s">
        <v>74</v>
      </c>
      <c r="H884" s="196" t="s">
        <v>480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25">
      <c r="F885" s="196" t="s">
        <v>930</v>
      </c>
      <c r="G885" s="196" t="s">
        <v>74</v>
      </c>
      <c r="H885" s="196" t="s">
        <v>480</v>
      </c>
      <c r="I885" s="66"/>
      <c r="J885" s="233">
        <f t="shared" ref="J885" si="89">CHOOSE(year_selection, L885,M885,N885,O885,P885,Q885,R885,S885)</f>
        <v>12</v>
      </c>
      <c r="K885" s="234"/>
      <c r="L885" s="329"/>
      <c r="M885" s="329"/>
      <c r="N885" s="329"/>
      <c r="O885" s="329">
        <v>12</v>
      </c>
      <c r="P885" s="329">
        <v>12</v>
      </c>
      <c r="Q885" s="329">
        <v>12</v>
      </c>
      <c r="R885" s="329">
        <v>12</v>
      </c>
      <c r="S885" s="329">
        <v>12</v>
      </c>
    </row>
    <row r="886" spans="5:19" s="293" customFormat="1" x14ac:dyDescent="0.25">
      <c r="F886" s="196" t="s">
        <v>931</v>
      </c>
      <c r="G886" s="196" t="s">
        <v>74</v>
      </c>
      <c r="H886" s="196" t="s">
        <v>480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25">
      <c r="F887" s="196" t="s">
        <v>932</v>
      </c>
      <c r="G887" s="196" t="s">
        <v>74</v>
      </c>
      <c r="H887" s="196" t="s">
        <v>480</v>
      </c>
      <c r="I887" s="66"/>
      <c r="J887" s="233">
        <f t="shared" ref="J887" si="90">CHOOSE(year_selection, L887,M887,N887,O887,P887,Q887,R887,S887)</f>
        <v>5</v>
      </c>
      <c r="K887" s="234"/>
      <c r="L887" s="329"/>
      <c r="M887" s="329"/>
      <c r="N887" s="329"/>
      <c r="O887" s="329">
        <v>5</v>
      </c>
      <c r="P887" s="329">
        <v>5</v>
      </c>
      <c r="Q887" s="329">
        <v>5</v>
      </c>
      <c r="R887" s="329">
        <v>5</v>
      </c>
      <c r="S887" s="329">
        <v>5</v>
      </c>
    </row>
    <row r="888" spans="5:19" s="293" customFormat="1" x14ac:dyDescent="0.25">
      <c r="F888" s="196" t="s">
        <v>933</v>
      </c>
      <c r="G888" s="196" t="s">
        <v>74</v>
      </c>
      <c r="H888" s="196" t="s">
        <v>480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25">
      <c r="F889" s="196" t="s">
        <v>934</v>
      </c>
      <c r="G889" s="196" t="s">
        <v>74</v>
      </c>
      <c r="H889" s="196" t="s">
        <v>480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25">
      <c r="F890" s="196" t="s">
        <v>935</v>
      </c>
      <c r="G890" s="196" t="s">
        <v>74</v>
      </c>
      <c r="H890" s="196" t="s">
        <v>480</v>
      </c>
      <c r="I890" s="66"/>
      <c r="J890" s="233">
        <f t="shared" ref="J890" si="91">CHOOSE(year_selection, L890,M890,N890,O890,P890,Q890,R890,S890)</f>
        <v>14</v>
      </c>
      <c r="K890" s="234"/>
      <c r="L890" s="329"/>
      <c r="M890" s="329"/>
      <c r="N890" s="329"/>
      <c r="O890" s="329">
        <v>14</v>
      </c>
      <c r="P890" s="329">
        <v>14</v>
      </c>
      <c r="Q890" s="329">
        <v>14</v>
      </c>
      <c r="R890" s="329">
        <v>14</v>
      </c>
      <c r="S890" s="329">
        <v>14</v>
      </c>
    </row>
    <row r="891" spans="5:19" s="293" customFormat="1" x14ac:dyDescent="0.25">
      <c r="F891" s="196" t="s">
        <v>936</v>
      </c>
      <c r="G891" s="196" t="s">
        <v>74</v>
      </c>
      <c r="H891" s="196" t="s">
        <v>480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25">
      <c r="F892" s="196" t="s">
        <v>937</v>
      </c>
      <c r="G892" s="196" t="s">
        <v>74</v>
      </c>
      <c r="H892" s="196" t="s">
        <v>480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25">
      <c r="F893" s="196" t="s">
        <v>938</v>
      </c>
      <c r="G893" s="196" t="s">
        <v>74</v>
      </c>
      <c r="H893" s="196" t="s">
        <v>480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25">
      <c r="F894" s="196" t="s">
        <v>939</v>
      </c>
      <c r="G894" s="196" t="s">
        <v>74</v>
      </c>
      <c r="H894" s="196" t="s">
        <v>480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25">
      <c r="F895" s="196" t="s">
        <v>940</v>
      </c>
      <c r="G895" s="196" t="s">
        <v>74</v>
      </c>
      <c r="H895" s="196" t="s">
        <v>480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25">
      <c r="F896" s="196" t="s">
        <v>941</v>
      </c>
      <c r="G896" s="196" t="s">
        <v>74</v>
      </c>
      <c r="H896" s="196" t="s">
        <v>480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25">
      <c r="F897" s="196" t="s">
        <v>942</v>
      </c>
      <c r="G897" s="196" t="s">
        <v>74</v>
      </c>
      <c r="H897" s="196" t="s">
        <v>480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25">
      <c r="F898" s="93" t="s">
        <v>943</v>
      </c>
      <c r="G898" s="93" t="s">
        <v>74</v>
      </c>
      <c r="H898" s="93" t="s">
        <v>480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2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2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25">
      <c r="F901" s="91" t="s">
        <v>928</v>
      </c>
      <c r="G901" s="91" t="s">
        <v>169</v>
      </c>
      <c r="H901" s="91" t="s">
        <v>480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25">
      <c r="F902" s="196" t="s">
        <v>929</v>
      </c>
      <c r="G902" s="196" t="s">
        <v>169</v>
      </c>
      <c r="H902" s="196" t="s">
        <v>480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25">
      <c r="F903" s="196" t="s">
        <v>930</v>
      </c>
      <c r="G903" s="196" t="s">
        <v>169</v>
      </c>
      <c r="H903" s="196" t="s">
        <v>480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25">
      <c r="F904" s="196" t="s">
        <v>931</v>
      </c>
      <c r="G904" s="196" t="s">
        <v>169</v>
      </c>
      <c r="H904" s="196" t="s">
        <v>480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25">
      <c r="F905" s="196" t="s">
        <v>932</v>
      </c>
      <c r="G905" s="196" t="s">
        <v>169</v>
      </c>
      <c r="H905" s="196" t="s">
        <v>480</v>
      </c>
      <c r="I905" s="66"/>
      <c r="J905" s="233">
        <f t="shared" ref="J905" si="92">CHOOSE(year_selection, L905,M905,N905,O905,P905,Q905,R905,S905)</f>
        <v>264</v>
      </c>
      <c r="K905" s="234"/>
      <c r="L905" s="329"/>
      <c r="M905" s="329"/>
      <c r="N905" s="329"/>
      <c r="O905" s="329">
        <v>264</v>
      </c>
      <c r="P905" s="329">
        <v>264</v>
      </c>
      <c r="Q905" s="329">
        <v>264</v>
      </c>
      <c r="R905" s="329">
        <v>264</v>
      </c>
      <c r="S905" s="329">
        <v>264</v>
      </c>
    </row>
    <row r="906" spans="5:19" s="293" customFormat="1" x14ac:dyDescent="0.25">
      <c r="F906" s="196" t="s">
        <v>933</v>
      </c>
      <c r="G906" s="196" t="s">
        <v>169</v>
      </c>
      <c r="H906" s="196" t="s">
        <v>480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25">
      <c r="F907" s="196" t="s">
        <v>934</v>
      </c>
      <c r="G907" s="196" t="s">
        <v>169</v>
      </c>
      <c r="H907" s="196" t="s">
        <v>480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25">
      <c r="F908" s="196" t="s">
        <v>935</v>
      </c>
      <c r="G908" s="196" t="s">
        <v>169</v>
      </c>
      <c r="H908" s="196" t="s">
        <v>480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25">
      <c r="F909" s="196" t="s">
        <v>936</v>
      </c>
      <c r="G909" s="196" t="s">
        <v>169</v>
      </c>
      <c r="H909" s="196" t="s">
        <v>480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25">
      <c r="F910" s="196" t="s">
        <v>937</v>
      </c>
      <c r="G910" s="196" t="s">
        <v>169</v>
      </c>
      <c r="H910" s="196" t="s">
        <v>480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25">
      <c r="F911" s="196" t="s">
        <v>938</v>
      </c>
      <c r="G911" s="196" t="s">
        <v>169</v>
      </c>
      <c r="H911" s="196" t="s">
        <v>480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25">
      <c r="F912" s="196" t="s">
        <v>939</v>
      </c>
      <c r="G912" s="196" t="s">
        <v>169</v>
      </c>
      <c r="H912" s="196" t="s">
        <v>480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25">
      <c r="F913" s="196" t="s">
        <v>940</v>
      </c>
      <c r="G913" s="196" t="s">
        <v>169</v>
      </c>
      <c r="H913" s="196" t="s">
        <v>480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25">
      <c r="F914" s="196" t="s">
        <v>941</v>
      </c>
      <c r="G914" s="196" t="s">
        <v>169</v>
      </c>
      <c r="H914" s="196" t="s">
        <v>480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25">
      <c r="F915" s="196" t="s">
        <v>942</v>
      </c>
      <c r="G915" s="196" t="s">
        <v>169</v>
      </c>
      <c r="H915" s="196" t="s">
        <v>480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25">
      <c r="F916" s="93" t="s">
        <v>943</v>
      </c>
      <c r="G916" s="93" t="s">
        <v>169</v>
      </c>
      <c r="H916" s="93" t="s">
        <v>480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2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2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25">
      <c r="F919" s="91" t="s">
        <v>928</v>
      </c>
      <c r="G919" s="91" t="s">
        <v>169</v>
      </c>
      <c r="H919" s="91" t="s">
        <v>480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25">
      <c r="F920" s="196" t="s">
        <v>929</v>
      </c>
      <c r="G920" s="196" t="s">
        <v>169</v>
      </c>
      <c r="H920" s="196" t="s">
        <v>480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25">
      <c r="F921" s="196" t="s">
        <v>930</v>
      </c>
      <c r="G921" s="196" t="s">
        <v>169</v>
      </c>
      <c r="H921" s="196" t="s">
        <v>480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25">
      <c r="F922" s="196" t="s">
        <v>931</v>
      </c>
      <c r="G922" s="196" t="s">
        <v>169</v>
      </c>
      <c r="H922" s="196" t="s">
        <v>480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25">
      <c r="F923" s="196" t="s">
        <v>932</v>
      </c>
      <c r="G923" s="196" t="s">
        <v>169</v>
      </c>
      <c r="H923" s="196" t="s">
        <v>480</v>
      </c>
      <c r="I923" s="66"/>
      <c r="J923" s="233">
        <f t="shared" ref="J923" si="93">CHOOSE(year_selection, L923,M923,N923,O923,P923,Q923,R923,S923)</f>
        <v>0</v>
      </c>
      <c r="K923" s="234"/>
      <c r="L923" s="329"/>
      <c r="M923" s="329"/>
      <c r="N923" s="329"/>
      <c r="O923" s="329">
        <v>0</v>
      </c>
      <c r="P923" s="329">
        <v>0</v>
      </c>
      <c r="Q923" s="329">
        <v>0</v>
      </c>
      <c r="R923" s="329">
        <v>0</v>
      </c>
      <c r="S923" s="329">
        <v>0</v>
      </c>
    </row>
    <row r="924" spans="5:19" s="293" customFormat="1" x14ac:dyDescent="0.25">
      <c r="F924" s="196" t="s">
        <v>933</v>
      </c>
      <c r="G924" s="196" t="s">
        <v>169</v>
      </c>
      <c r="H924" s="196" t="s">
        <v>480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25">
      <c r="F925" s="196" t="s">
        <v>934</v>
      </c>
      <c r="G925" s="196" t="s">
        <v>169</v>
      </c>
      <c r="H925" s="196" t="s">
        <v>480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25">
      <c r="F926" s="196" t="s">
        <v>935</v>
      </c>
      <c r="G926" s="196" t="s">
        <v>169</v>
      </c>
      <c r="H926" s="196" t="s">
        <v>480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25">
      <c r="F927" s="196" t="s">
        <v>936</v>
      </c>
      <c r="G927" s="196" t="s">
        <v>169</v>
      </c>
      <c r="H927" s="196" t="s">
        <v>480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25">
      <c r="F928" s="196" t="s">
        <v>937</v>
      </c>
      <c r="G928" s="196" t="s">
        <v>169</v>
      </c>
      <c r="H928" s="196" t="s">
        <v>480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25">
      <c r="F929" s="196" t="s">
        <v>938</v>
      </c>
      <c r="G929" s="196" t="s">
        <v>169</v>
      </c>
      <c r="H929" s="196" t="s">
        <v>480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25">
      <c r="F930" s="196" t="s">
        <v>939</v>
      </c>
      <c r="G930" s="196" t="s">
        <v>169</v>
      </c>
      <c r="H930" s="196" t="s">
        <v>480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25">
      <c r="F931" s="196" t="s">
        <v>940</v>
      </c>
      <c r="G931" s="196" t="s">
        <v>169</v>
      </c>
      <c r="H931" s="196" t="s">
        <v>480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25">
      <c r="F932" s="196" t="s">
        <v>941</v>
      </c>
      <c r="G932" s="196" t="s">
        <v>169</v>
      </c>
      <c r="H932" s="196" t="s">
        <v>480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25">
      <c r="F933" s="196" t="s">
        <v>942</v>
      </c>
      <c r="G933" s="196" t="s">
        <v>169</v>
      </c>
      <c r="H933" s="196" t="s">
        <v>480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25">
      <c r="F934" s="93" t="s">
        <v>943</v>
      </c>
      <c r="G934" s="93" t="s">
        <v>169</v>
      </c>
      <c r="H934" s="93" t="s">
        <v>480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2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2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25">
      <c r="F937" s="91" t="s">
        <v>928</v>
      </c>
      <c r="G937" s="91" t="s">
        <v>170</v>
      </c>
      <c r="H937" s="91" t="s">
        <v>480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25">
      <c r="F938" s="196" t="s">
        <v>929</v>
      </c>
      <c r="G938" s="196" t="s">
        <v>170</v>
      </c>
      <c r="H938" s="196" t="s">
        <v>480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25">
      <c r="F939" s="196" t="s">
        <v>930</v>
      </c>
      <c r="G939" s="196" t="s">
        <v>170</v>
      </c>
      <c r="H939" s="196" t="s">
        <v>480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25">
      <c r="F940" s="196" t="s">
        <v>931</v>
      </c>
      <c r="G940" s="196" t="s">
        <v>170</v>
      </c>
      <c r="H940" s="196" t="s">
        <v>480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25">
      <c r="F941" s="196" t="s">
        <v>932</v>
      </c>
      <c r="G941" s="196" t="s">
        <v>170</v>
      </c>
      <c r="H941" s="196" t="s">
        <v>480</v>
      </c>
      <c r="I941" s="66"/>
      <c r="J941" s="233">
        <f t="shared" ref="J941" si="94">CHOOSE(year_selection, L941,M941,N941,O941,P941,Q941,R941,S941)</f>
        <v>12.011767862068968</v>
      </c>
      <c r="K941" s="234"/>
      <c r="L941" s="329"/>
      <c r="M941" s="329"/>
      <c r="N941" s="329"/>
      <c r="O941" s="329">
        <v>12.011767862068968</v>
      </c>
      <c r="P941" s="329">
        <v>12.011767862068968</v>
      </c>
      <c r="Q941" s="329">
        <v>12.011767862068968</v>
      </c>
      <c r="R941" s="329">
        <v>12.011767862068968</v>
      </c>
      <c r="S941" s="329">
        <v>12.011767862068968</v>
      </c>
    </row>
    <row r="942" spans="5:19" s="293" customFormat="1" x14ac:dyDescent="0.25">
      <c r="F942" s="196" t="s">
        <v>933</v>
      </c>
      <c r="G942" s="196" t="s">
        <v>170</v>
      </c>
      <c r="H942" s="196" t="s">
        <v>480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25">
      <c r="F943" s="196" t="s">
        <v>934</v>
      </c>
      <c r="G943" s="196" t="s">
        <v>170</v>
      </c>
      <c r="H943" s="196" t="s">
        <v>480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25">
      <c r="F944" s="196" t="s">
        <v>935</v>
      </c>
      <c r="G944" s="196" t="s">
        <v>170</v>
      </c>
      <c r="H944" s="196" t="s">
        <v>480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25">
      <c r="F945" s="196" t="s">
        <v>936</v>
      </c>
      <c r="G945" s="196" t="s">
        <v>170</v>
      </c>
      <c r="H945" s="196" t="s">
        <v>480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25">
      <c r="F946" s="196" t="s">
        <v>937</v>
      </c>
      <c r="G946" s="196" t="s">
        <v>170</v>
      </c>
      <c r="H946" s="196" t="s">
        <v>480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25">
      <c r="F947" s="196" t="s">
        <v>938</v>
      </c>
      <c r="G947" s="196" t="s">
        <v>170</v>
      </c>
      <c r="H947" s="196" t="s">
        <v>480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25">
      <c r="F948" s="196" t="s">
        <v>939</v>
      </c>
      <c r="G948" s="196" t="s">
        <v>170</v>
      </c>
      <c r="H948" s="196" t="s">
        <v>480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25">
      <c r="F949" s="196" t="s">
        <v>940</v>
      </c>
      <c r="G949" s="196" t="s">
        <v>170</v>
      </c>
      <c r="H949" s="196" t="s">
        <v>480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25">
      <c r="F950" s="196" t="s">
        <v>941</v>
      </c>
      <c r="G950" s="196" t="s">
        <v>170</v>
      </c>
      <c r="H950" s="196" t="s">
        <v>480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25">
      <c r="F951" s="196" t="s">
        <v>942</v>
      </c>
      <c r="G951" s="196" t="s">
        <v>170</v>
      </c>
      <c r="H951" s="196" t="s">
        <v>480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25">
      <c r="F952" s="93" t="s">
        <v>943</v>
      </c>
      <c r="G952" s="93" t="s">
        <v>170</v>
      </c>
      <c r="H952" s="93" t="s">
        <v>480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2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25">
      <c r="C954" s="7" t="str">
        <f ca="1">INDEX('Version control'!$H$34:$H$60,MATCH($A$1,'Version control'!$F$34:$F$60,0),1)&amp;"-J: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25">
      <c r="D955" s="96"/>
      <c r="I955" s="111"/>
    </row>
    <row r="956" spans="3:21" s="293" customFormat="1" x14ac:dyDescent="0.25">
      <c r="E956" s="144" t="s">
        <v>199</v>
      </c>
      <c r="I956" s="111" t="s">
        <v>359</v>
      </c>
      <c r="U956" s="293" t="s">
        <v>692</v>
      </c>
    </row>
    <row r="957" spans="3:21" s="293" customFormat="1" x14ac:dyDescent="0.25">
      <c r="F957" s="91" t="s">
        <v>928</v>
      </c>
      <c r="G957" s="91" t="s">
        <v>120</v>
      </c>
      <c r="H957" s="91" t="s">
        <v>480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25">
      <c r="F958" s="196" t="s">
        <v>929</v>
      </c>
      <c r="G958" s="196" t="s">
        <v>120</v>
      </c>
      <c r="H958" s="196" t="s">
        <v>480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25">
      <c r="F959" s="196" t="s">
        <v>930</v>
      </c>
      <c r="G959" s="196" t="s">
        <v>120</v>
      </c>
      <c r="H959" s="196" t="s">
        <v>480</v>
      </c>
      <c r="I959" s="66"/>
      <c r="J959" s="233">
        <f t="shared" ref="J959" si="95">CHOOSE(year_selection, L959,M959,N959,O959,P959,Q959,R959,S959)</f>
        <v>31.932630999120803</v>
      </c>
      <c r="K959" s="234"/>
      <c r="L959" s="329"/>
      <c r="M959" s="329"/>
      <c r="N959" s="329"/>
      <c r="O959" s="329">
        <v>31.932630999120803</v>
      </c>
      <c r="P959" s="329">
        <v>31.932630999120803</v>
      </c>
      <c r="Q959" s="329">
        <v>31.932630999120803</v>
      </c>
      <c r="R959" s="329">
        <v>31.932630999120803</v>
      </c>
      <c r="S959" s="329">
        <v>31.932630999120803</v>
      </c>
    </row>
    <row r="960" spans="3:21" s="293" customFormat="1" x14ac:dyDescent="0.25">
      <c r="F960" s="196" t="s">
        <v>931</v>
      </c>
      <c r="G960" s="196" t="s">
        <v>120</v>
      </c>
      <c r="H960" s="196" t="s">
        <v>480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25">
      <c r="F961" s="196" t="s">
        <v>932</v>
      </c>
      <c r="G961" s="196" t="s">
        <v>120</v>
      </c>
      <c r="H961" s="196" t="s">
        <v>480</v>
      </c>
      <c r="I961" s="66"/>
      <c r="J961" s="233">
        <f t="shared" ref="J961" si="96">CHOOSE(year_selection, L961,M961,N961,O961,P961,Q961,R961,S961)</f>
        <v>356.25543224999996</v>
      </c>
      <c r="K961" s="234"/>
      <c r="L961" s="329"/>
      <c r="M961" s="329"/>
      <c r="N961" s="329"/>
      <c r="O961" s="329">
        <v>356.25543224999996</v>
      </c>
      <c r="P961" s="329">
        <v>356.25543224999996</v>
      </c>
      <c r="Q961" s="329">
        <v>356.25543224999996</v>
      </c>
      <c r="R961" s="329">
        <v>356.25543224999996</v>
      </c>
      <c r="S961" s="329">
        <v>356.25543224999996</v>
      </c>
    </row>
    <row r="962" spans="5:19" s="293" customFormat="1" x14ac:dyDescent="0.25">
      <c r="F962" s="196" t="s">
        <v>933</v>
      </c>
      <c r="G962" s="196" t="s">
        <v>120</v>
      </c>
      <c r="H962" s="196" t="s">
        <v>480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25">
      <c r="F963" s="196" t="s">
        <v>934</v>
      </c>
      <c r="G963" s="196" t="s">
        <v>120</v>
      </c>
      <c r="H963" s="196" t="s">
        <v>480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25">
      <c r="F964" s="196" t="s">
        <v>935</v>
      </c>
      <c r="G964" s="196" t="s">
        <v>120</v>
      </c>
      <c r="H964" s="196" t="s">
        <v>480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25">
      <c r="F965" s="196" t="s">
        <v>936</v>
      </c>
      <c r="G965" s="196" t="s">
        <v>120</v>
      </c>
      <c r="H965" s="196" t="s">
        <v>480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25">
      <c r="F966" s="196" t="s">
        <v>937</v>
      </c>
      <c r="G966" s="196" t="s">
        <v>120</v>
      </c>
      <c r="H966" s="196" t="s">
        <v>480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25">
      <c r="F967" s="196" t="s">
        <v>938</v>
      </c>
      <c r="G967" s="196" t="s">
        <v>120</v>
      </c>
      <c r="H967" s="196" t="s">
        <v>480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25">
      <c r="F968" s="196" t="s">
        <v>939</v>
      </c>
      <c r="G968" s="196" t="s">
        <v>120</v>
      </c>
      <c r="H968" s="196" t="s">
        <v>480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25">
      <c r="F969" s="196" t="s">
        <v>940</v>
      </c>
      <c r="G969" s="196" t="s">
        <v>120</v>
      </c>
      <c r="H969" s="196" t="s">
        <v>480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25">
      <c r="F970" s="196" t="s">
        <v>941</v>
      </c>
      <c r="G970" s="196" t="s">
        <v>120</v>
      </c>
      <c r="H970" s="196" t="s">
        <v>480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25">
      <c r="F971" s="196" t="s">
        <v>942</v>
      </c>
      <c r="G971" s="196" t="s">
        <v>120</v>
      </c>
      <c r="H971" s="196" t="s">
        <v>480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25">
      <c r="F972" s="93" t="s">
        <v>943</v>
      </c>
      <c r="G972" s="93" t="s">
        <v>120</v>
      </c>
      <c r="H972" s="93" t="s">
        <v>480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2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2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25">
      <c r="F975" s="91" t="s">
        <v>928</v>
      </c>
      <c r="G975" s="91" t="s">
        <v>120</v>
      </c>
      <c r="H975" s="91" t="s">
        <v>480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25">
      <c r="F976" s="196" t="s">
        <v>929</v>
      </c>
      <c r="G976" s="196" t="s">
        <v>120</v>
      </c>
      <c r="H976" s="196" t="s">
        <v>480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25">
      <c r="F977" s="196" t="s">
        <v>930</v>
      </c>
      <c r="G977" s="196" t="s">
        <v>120</v>
      </c>
      <c r="H977" s="196" t="s">
        <v>480</v>
      </c>
      <c r="I977" s="66"/>
      <c r="J977" s="233">
        <f t="shared" ref="J977" si="97">CHOOSE(year_selection, L977,M977,N977,O977,P977,Q977,R977,S977)</f>
        <v>167.78284638414956</v>
      </c>
      <c r="K977" s="234"/>
      <c r="L977" s="329"/>
      <c r="M977" s="329"/>
      <c r="N977" s="329"/>
      <c r="O977" s="329">
        <v>167.78284638414956</v>
      </c>
      <c r="P977" s="329">
        <v>167.78284638414956</v>
      </c>
      <c r="Q977" s="329">
        <v>167.78284638414956</v>
      </c>
      <c r="R977" s="329">
        <v>167.78284638414956</v>
      </c>
      <c r="S977" s="329">
        <v>167.78284638414956</v>
      </c>
    </row>
    <row r="978" spans="5:19" s="293" customFormat="1" x14ac:dyDescent="0.25">
      <c r="F978" s="196" t="s">
        <v>931</v>
      </c>
      <c r="G978" s="196" t="s">
        <v>120</v>
      </c>
      <c r="H978" s="196" t="s">
        <v>480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25">
      <c r="F979" s="196" t="s">
        <v>932</v>
      </c>
      <c r="G979" s="196" t="s">
        <v>120</v>
      </c>
      <c r="H979" s="196" t="s">
        <v>480</v>
      </c>
      <c r="I979" s="66"/>
      <c r="J979" s="233">
        <f t="shared" ref="J979" si="98">CHOOSE(year_selection, L979,M979,N979,O979,P979,Q979,R979,S979)</f>
        <v>1629.6298830570747</v>
      </c>
      <c r="K979" s="234"/>
      <c r="L979" s="329"/>
      <c r="M979" s="329"/>
      <c r="N979" s="329"/>
      <c r="O979" s="329">
        <v>1629.6298830570747</v>
      </c>
      <c r="P979" s="329">
        <v>1629.6298830570747</v>
      </c>
      <c r="Q979" s="329">
        <v>1629.6298830570747</v>
      </c>
      <c r="R979" s="329">
        <v>1629.6298830570747</v>
      </c>
      <c r="S979" s="329">
        <v>1629.6298830570747</v>
      </c>
    </row>
    <row r="980" spans="5:19" s="293" customFormat="1" x14ac:dyDescent="0.25">
      <c r="F980" s="196" t="s">
        <v>933</v>
      </c>
      <c r="G980" s="196" t="s">
        <v>120</v>
      </c>
      <c r="H980" s="196" t="s">
        <v>480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25">
      <c r="F981" s="196" t="s">
        <v>934</v>
      </c>
      <c r="G981" s="196" t="s">
        <v>120</v>
      </c>
      <c r="H981" s="196" t="s">
        <v>480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25">
      <c r="F982" s="196" t="s">
        <v>935</v>
      </c>
      <c r="G982" s="196" t="s">
        <v>120</v>
      </c>
      <c r="H982" s="196" t="s">
        <v>480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25">
      <c r="F983" s="196" t="s">
        <v>936</v>
      </c>
      <c r="G983" s="196" t="s">
        <v>120</v>
      </c>
      <c r="H983" s="196" t="s">
        <v>480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25">
      <c r="F984" s="196" t="s">
        <v>937</v>
      </c>
      <c r="G984" s="196" t="s">
        <v>120</v>
      </c>
      <c r="H984" s="196" t="s">
        <v>480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25">
      <c r="F985" s="196" t="s">
        <v>938</v>
      </c>
      <c r="G985" s="196" t="s">
        <v>120</v>
      </c>
      <c r="H985" s="196" t="s">
        <v>480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25">
      <c r="F986" s="196" t="s">
        <v>939</v>
      </c>
      <c r="G986" s="196" t="s">
        <v>120</v>
      </c>
      <c r="H986" s="196" t="s">
        <v>480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25">
      <c r="F987" s="196" t="s">
        <v>940</v>
      </c>
      <c r="G987" s="196" t="s">
        <v>120</v>
      </c>
      <c r="H987" s="196" t="s">
        <v>480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25">
      <c r="F988" s="196" t="s">
        <v>941</v>
      </c>
      <c r="G988" s="196" t="s">
        <v>120</v>
      </c>
      <c r="H988" s="196" t="s">
        <v>480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25">
      <c r="F989" s="196" t="s">
        <v>942</v>
      </c>
      <c r="G989" s="196" t="s">
        <v>120</v>
      </c>
      <c r="H989" s="196" t="s">
        <v>480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25">
      <c r="F990" s="93" t="s">
        <v>943</v>
      </c>
      <c r="G990" s="93" t="s">
        <v>120</v>
      </c>
      <c r="H990" s="93" t="s">
        <v>480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2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2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25">
      <c r="F993" s="91" t="s">
        <v>928</v>
      </c>
      <c r="G993" s="91" t="s">
        <v>120</v>
      </c>
      <c r="H993" s="91" t="s">
        <v>480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25">
      <c r="F994" s="196" t="s">
        <v>929</v>
      </c>
      <c r="G994" s="196" t="s">
        <v>120</v>
      </c>
      <c r="H994" s="196" t="s">
        <v>480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25">
      <c r="F995" s="196" t="s">
        <v>930</v>
      </c>
      <c r="G995" s="196" t="s">
        <v>120</v>
      </c>
      <c r="H995" s="196" t="s">
        <v>480</v>
      </c>
      <c r="I995" s="66"/>
      <c r="J995" s="233">
        <f t="shared" ref="J995" si="99">CHOOSE(year_selection, L995,M995,N995,O995,P995,Q995,R995,S995)</f>
        <v>162.76363816488958</v>
      </c>
      <c r="K995" s="234"/>
      <c r="L995" s="329"/>
      <c r="M995" s="329"/>
      <c r="N995" s="329"/>
      <c r="O995" s="329">
        <v>162.76363816488958</v>
      </c>
      <c r="P995" s="329">
        <v>162.76363816488958</v>
      </c>
      <c r="Q995" s="329">
        <v>162.76363816488958</v>
      </c>
      <c r="R995" s="329">
        <v>162.76363816488958</v>
      </c>
      <c r="S995" s="329">
        <v>162.76363816488958</v>
      </c>
    </row>
    <row r="996" spans="6:19" s="293" customFormat="1" x14ac:dyDescent="0.25">
      <c r="F996" s="196" t="s">
        <v>931</v>
      </c>
      <c r="G996" s="196" t="s">
        <v>120</v>
      </c>
      <c r="H996" s="196" t="s">
        <v>480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25">
      <c r="F997" s="196" t="s">
        <v>932</v>
      </c>
      <c r="G997" s="196" t="s">
        <v>120</v>
      </c>
      <c r="H997" s="196" t="s">
        <v>480</v>
      </c>
      <c r="I997" s="66"/>
      <c r="J997" s="233">
        <f t="shared" ref="J997" si="100">CHOOSE(year_selection, L997,M997,N997,O997,P997,Q997,R997,S997)</f>
        <v>1487.9387004470868</v>
      </c>
      <c r="K997" s="234"/>
      <c r="L997" s="329"/>
      <c r="M997" s="329"/>
      <c r="N997" s="329"/>
      <c r="O997" s="329">
        <v>1487.9387004470868</v>
      </c>
      <c r="P997" s="329">
        <v>1487.9387004470868</v>
      </c>
      <c r="Q997" s="329">
        <v>1487.9387004470868</v>
      </c>
      <c r="R997" s="329">
        <v>1487.9387004470868</v>
      </c>
      <c r="S997" s="329">
        <v>1487.9387004470868</v>
      </c>
    </row>
    <row r="998" spans="6:19" s="293" customFormat="1" x14ac:dyDescent="0.25">
      <c r="F998" s="196" t="s">
        <v>933</v>
      </c>
      <c r="G998" s="196" t="s">
        <v>120</v>
      </c>
      <c r="H998" s="196" t="s">
        <v>480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25">
      <c r="F999" s="196" t="s">
        <v>934</v>
      </c>
      <c r="G999" s="196" t="s">
        <v>120</v>
      </c>
      <c r="H999" s="196" t="s">
        <v>480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25">
      <c r="F1000" s="196" t="s">
        <v>935</v>
      </c>
      <c r="G1000" s="196" t="s">
        <v>120</v>
      </c>
      <c r="H1000" s="196" t="s">
        <v>480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25">
      <c r="F1001" s="196" t="s">
        <v>936</v>
      </c>
      <c r="G1001" s="196" t="s">
        <v>120</v>
      </c>
      <c r="H1001" s="196" t="s">
        <v>480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25">
      <c r="F1002" s="196" t="s">
        <v>937</v>
      </c>
      <c r="G1002" s="196" t="s">
        <v>120</v>
      </c>
      <c r="H1002" s="196" t="s">
        <v>480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25">
      <c r="F1003" s="196" t="s">
        <v>938</v>
      </c>
      <c r="G1003" s="196" t="s">
        <v>120</v>
      </c>
      <c r="H1003" s="196" t="s">
        <v>480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25">
      <c r="F1004" s="196" t="s">
        <v>939</v>
      </c>
      <c r="G1004" s="196" t="s">
        <v>120</v>
      </c>
      <c r="H1004" s="196" t="s">
        <v>480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25">
      <c r="F1005" s="196" t="s">
        <v>940</v>
      </c>
      <c r="G1005" s="196" t="s">
        <v>120</v>
      </c>
      <c r="H1005" s="196" t="s">
        <v>480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25">
      <c r="F1006" s="196" t="s">
        <v>941</v>
      </c>
      <c r="G1006" s="196" t="s">
        <v>120</v>
      </c>
      <c r="H1006" s="196" t="s">
        <v>480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25">
      <c r="F1007" s="196" t="s">
        <v>942</v>
      </c>
      <c r="G1007" s="196" t="s">
        <v>120</v>
      </c>
      <c r="H1007" s="196" t="s">
        <v>480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25">
      <c r="F1008" s="93" t="s">
        <v>943</v>
      </c>
      <c r="G1008" s="93" t="s">
        <v>120</v>
      </c>
      <c r="H1008" s="93" t="s">
        <v>480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2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2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25">
      <c r="F1011" s="91" t="s">
        <v>928</v>
      </c>
      <c r="G1011" s="91" t="s">
        <v>74</v>
      </c>
      <c r="H1011" s="91" t="s">
        <v>480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25">
      <c r="F1012" s="196" t="s">
        <v>929</v>
      </c>
      <c r="G1012" s="196" t="s">
        <v>74</v>
      </c>
      <c r="H1012" s="196" t="s">
        <v>480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25">
      <c r="F1013" s="196" t="s">
        <v>930</v>
      </c>
      <c r="G1013" s="196" t="s">
        <v>74</v>
      </c>
      <c r="H1013" s="196" t="s">
        <v>480</v>
      </c>
      <c r="I1013" s="66"/>
      <c r="J1013" s="233">
        <f t="shared" ref="J1013" si="101">CHOOSE(year_selection, L1013,M1013,N1013,O1013,P1013,Q1013,R1013,S1013)</f>
        <v>55</v>
      </c>
      <c r="K1013" s="234"/>
      <c r="L1013" s="329"/>
      <c r="M1013" s="329"/>
      <c r="N1013" s="329"/>
      <c r="O1013" s="329">
        <v>55</v>
      </c>
      <c r="P1013" s="329">
        <v>55</v>
      </c>
      <c r="Q1013" s="329">
        <v>55</v>
      </c>
      <c r="R1013" s="329">
        <v>55</v>
      </c>
      <c r="S1013" s="329">
        <v>55</v>
      </c>
    </row>
    <row r="1014" spans="5:19" s="293" customFormat="1" x14ac:dyDescent="0.25">
      <c r="F1014" s="196" t="s">
        <v>931</v>
      </c>
      <c r="G1014" s="196" t="s">
        <v>74</v>
      </c>
      <c r="H1014" s="196" t="s">
        <v>480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25">
      <c r="F1015" s="196" t="s">
        <v>932</v>
      </c>
      <c r="G1015" s="196" t="s">
        <v>74</v>
      </c>
      <c r="H1015" s="196" t="s">
        <v>480</v>
      </c>
      <c r="I1015" s="66"/>
      <c r="J1015" s="233">
        <f t="shared" ref="J1015" si="102">CHOOSE(year_selection, L1015,M1015,N1015,O1015,P1015,Q1015,R1015,S1015)</f>
        <v>23</v>
      </c>
      <c r="K1015" s="234"/>
      <c r="L1015" s="329"/>
      <c r="M1015" s="329"/>
      <c r="N1015" s="329"/>
      <c r="O1015" s="329">
        <v>23</v>
      </c>
      <c r="P1015" s="329">
        <v>23</v>
      </c>
      <c r="Q1015" s="329">
        <v>23</v>
      </c>
      <c r="R1015" s="329">
        <v>23</v>
      </c>
      <c r="S1015" s="329">
        <v>23</v>
      </c>
    </row>
    <row r="1016" spans="5:19" s="293" customFormat="1" x14ac:dyDescent="0.25">
      <c r="F1016" s="196" t="s">
        <v>933</v>
      </c>
      <c r="G1016" s="196" t="s">
        <v>74</v>
      </c>
      <c r="H1016" s="196" t="s">
        <v>480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25">
      <c r="F1017" s="196" t="s">
        <v>934</v>
      </c>
      <c r="G1017" s="196" t="s">
        <v>74</v>
      </c>
      <c r="H1017" s="196" t="s">
        <v>480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25">
      <c r="F1018" s="196" t="s">
        <v>935</v>
      </c>
      <c r="G1018" s="196" t="s">
        <v>74</v>
      </c>
      <c r="H1018" s="196" t="s">
        <v>480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25">
      <c r="F1019" s="196" t="s">
        <v>936</v>
      </c>
      <c r="G1019" s="196" t="s">
        <v>74</v>
      </c>
      <c r="H1019" s="196" t="s">
        <v>480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25">
      <c r="F1020" s="196" t="s">
        <v>937</v>
      </c>
      <c r="G1020" s="196" t="s">
        <v>74</v>
      </c>
      <c r="H1020" s="196" t="s">
        <v>480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25">
      <c r="F1021" s="196" t="s">
        <v>938</v>
      </c>
      <c r="G1021" s="196" t="s">
        <v>74</v>
      </c>
      <c r="H1021" s="196" t="s">
        <v>480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25">
      <c r="F1022" s="196" t="s">
        <v>939</v>
      </c>
      <c r="G1022" s="196" t="s">
        <v>74</v>
      </c>
      <c r="H1022" s="196" t="s">
        <v>480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25">
      <c r="F1023" s="196" t="s">
        <v>940</v>
      </c>
      <c r="G1023" s="196" t="s">
        <v>74</v>
      </c>
      <c r="H1023" s="196" t="s">
        <v>480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25">
      <c r="F1024" s="196" t="s">
        <v>941</v>
      </c>
      <c r="G1024" s="196" t="s">
        <v>74</v>
      </c>
      <c r="H1024" s="196" t="s">
        <v>480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25">
      <c r="F1025" s="196" t="s">
        <v>942</v>
      </c>
      <c r="G1025" s="196" t="s">
        <v>74</v>
      </c>
      <c r="H1025" s="196" t="s">
        <v>480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25">
      <c r="F1026" s="93" t="s">
        <v>943</v>
      </c>
      <c r="G1026" s="93" t="s">
        <v>74</v>
      </c>
      <c r="H1026" s="93" t="s">
        <v>480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2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2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25">
      <c r="F1029" s="91" t="s">
        <v>928</v>
      </c>
      <c r="G1029" s="91" t="s">
        <v>169</v>
      </c>
      <c r="H1029" s="91" t="s">
        <v>480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25">
      <c r="F1030" s="196" t="s">
        <v>929</v>
      </c>
      <c r="G1030" s="196" t="s">
        <v>169</v>
      </c>
      <c r="H1030" s="196" t="s">
        <v>480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25">
      <c r="F1031" s="196" t="s">
        <v>930</v>
      </c>
      <c r="G1031" s="196" t="s">
        <v>169</v>
      </c>
      <c r="H1031" s="196" t="s">
        <v>480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25">
      <c r="F1032" s="196" t="s">
        <v>931</v>
      </c>
      <c r="G1032" s="196" t="s">
        <v>169</v>
      </c>
      <c r="H1032" s="196" t="s">
        <v>480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25">
      <c r="F1033" s="196" t="s">
        <v>932</v>
      </c>
      <c r="G1033" s="196" t="s">
        <v>169</v>
      </c>
      <c r="H1033" s="196" t="s">
        <v>480</v>
      </c>
      <c r="I1033" s="66"/>
      <c r="J1033" s="233">
        <f t="shared" ref="J1033" si="103">CHOOSE(year_selection, L1033,M1033,N1033,O1033,P1033,Q1033,R1033,S1033)</f>
        <v>2733</v>
      </c>
      <c r="K1033" s="234"/>
      <c r="L1033" s="329"/>
      <c r="M1033" s="329"/>
      <c r="N1033" s="329"/>
      <c r="O1033" s="329">
        <v>2733</v>
      </c>
      <c r="P1033" s="329">
        <v>2733</v>
      </c>
      <c r="Q1033" s="329">
        <v>2733</v>
      </c>
      <c r="R1033" s="329">
        <v>2733</v>
      </c>
      <c r="S1033" s="329">
        <v>2733</v>
      </c>
    </row>
    <row r="1034" spans="5:19" s="293" customFormat="1" x14ac:dyDescent="0.25">
      <c r="F1034" s="196" t="s">
        <v>933</v>
      </c>
      <c r="G1034" s="196" t="s">
        <v>169</v>
      </c>
      <c r="H1034" s="196" t="s">
        <v>480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25">
      <c r="F1035" s="196" t="s">
        <v>934</v>
      </c>
      <c r="G1035" s="196" t="s">
        <v>169</v>
      </c>
      <c r="H1035" s="196" t="s">
        <v>480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25">
      <c r="F1036" s="196" t="s">
        <v>935</v>
      </c>
      <c r="G1036" s="196" t="s">
        <v>169</v>
      </c>
      <c r="H1036" s="196" t="s">
        <v>480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25">
      <c r="F1037" s="196" t="s">
        <v>936</v>
      </c>
      <c r="G1037" s="196" t="s">
        <v>169</v>
      </c>
      <c r="H1037" s="196" t="s">
        <v>480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25">
      <c r="F1038" s="196" t="s">
        <v>937</v>
      </c>
      <c r="G1038" s="196" t="s">
        <v>169</v>
      </c>
      <c r="H1038" s="196" t="s">
        <v>480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25">
      <c r="F1039" s="196" t="s">
        <v>938</v>
      </c>
      <c r="G1039" s="196" t="s">
        <v>169</v>
      </c>
      <c r="H1039" s="196" t="s">
        <v>480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25">
      <c r="F1040" s="196" t="s">
        <v>939</v>
      </c>
      <c r="G1040" s="196" t="s">
        <v>169</v>
      </c>
      <c r="H1040" s="196" t="s">
        <v>480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25">
      <c r="F1041" s="196" t="s">
        <v>940</v>
      </c>
      <c r="G1041" s="196" t="s">
        <v>169</v>
      </c>
      <c r="H1041" s="196" t="s">
        <v>480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25">
      <c r="F1042" s="196" t="s">
        <v>941</v>
      </c>
      <c r="G1042" s="196" t="s">
        <v>169</v>
      </c>
      <c r="H1042" s="196" t="s">
        <v>480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25">
      <c r="F1043" s="196" t="s">
        <v>942</v>
      </c>
      <c r="G1043" s="196" t="s">
        <v>169</v>
      </c>
      <c r="H1043" s="196" t="s">
        <v>480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25">
      <c r="F1044" s="93" t="s">
        <v>943</v>
      </c>
      <c r="G1044" s="93" t="s">
        <v>169</v>
      </c>
      <c r="H1044" s="93" t="s">
        <v>480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2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2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25">
      <c r="F1047" s="91" t="s">
        <v>928</v>
      </c>
      <c r="G1047" s="91" t="s">
        <v>169</v>
      </c>
      <c r="H1047" s="91" t="s">
        <v>480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25">
      <c r="F1048" s="196" t="s">
        <v>929</v>
      </c>
      <c r="G1048" s="196" t="s">
        <v>169</v>
      </c>
      <c r="H1048" s="196" t="s">
        <v>480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25">
      <c r="F1049" s="196" t="s">
        <v>930</v>
      </c>
      <c r="G1049" s="196" t="s">
        <v>169</v>
      </c>
      <c r="H1049" s="196" t="s">
        <v>480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25">
      <c r="F1050" s="196" t="s">
        <v>931</v>
      </c>
      <c r="G1050" s="196" t="s">
        <v>169</v>
      </c>
      <c r="H1050" s="196" t="s">
        <v>480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25">
      <c r="F1051" s="196" t="s">
        <v>932</v>
      </c>
      <c r="G1051" s="196" t="s">
        <v>169</v>
      </c>
      <c r="H1051" s="196" t="s">
        <v>480</v>
      </c>
      <c r="I1051" s="66"/>
      <c r="J1051" s="233">
        <f t="shared" ref="J1051" si="104">CHOOSE(year_selection, L1051,M1051,N1051,O1051,P1051,Q1051,R1051,S1051)</f>
        <v>0</v>
      </c>
      <c r="K1051" s="234"/>
      <c r="L1051" s="329"/>
      <c r="M1051" s="329"/>
      <c r="N1051" s="329"/>
      <c r="O1051" s="329">
        <v>0</v>
      </c>
      <c r="P1051" s="329">
        <v>0</v>
      </c>
      <c r="Q1051" s="329">
        <v>0</v>
      </c>
      <c r="R1051" s="329">
        <v>0</v>
      </c>
      <c r="S1051" s="329">
        <v>0</v>
      </c>
    </row>
    <row r="1052" spans="5:19" s="293" customFormat="1" x14ac:dyDescent="0.25">
      <c r="F1052" s="196" t="s">
        <v>933</v>
      </c>
      <c r="G1052" s="196" t="s">
        <v>169</v>
      </c>
      <c r="H1052" s="196" t="s">
        <v>480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25">
      <c r="F1053" s="196" t="s">
        <v>934</v>
      </c>
      <c r="G1053" s="196" t="s">
        <v>169</v>
      </c>
      <c r="H1053" s="196" t="s">
        <v>480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25">
      <c r="F1054" s="196" t="s">
        <v>935</v>
      </c>
      <c r="G1054" s="196" t="s">
        <v>169</v>
      </c>
      <c r="H1054" s="196" t="s">
        <v>480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25">
      <c r="F1055" s="196" t="s">
        <v>936</v>
      </c>
      <c r="G1055" s="196" t="s">
        <v>169</v>
      </c>
      <c r="H1055" s="196" t="s">
        <v>480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25">
      <c r="F1056" s="196" t="s">
        <v>937</v>
      </c>
      <c r="G1056" s="196" t="s">
        <v>169</v>
      </c>
      <c r="H1056" s="196" t="s">
        <v>480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25">
      <c r="F1057" s="196" t="s">
        <v>938</v>
      </c>
      <c r="G1057" s="196" t="s">
        <v>169</v>
      </c>
      <c r="H1057" s="196" t="s">
        <v>480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25">
      <c r="F1058" s="196" t="s">
        <v>939</v>
      </c>
      <c r="G1058" s="196" t="s">
        <v>169</v>
      </c>
      <c r="H1058" s="196" t="s">
        <v>480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25">
      <c r="F1059" s="196" t="s">
        <v>940</v>
      </c>
      <c r="G1059" s="196" t="s">
        <v>169</v>
      </c>
      <c r="H1059" s="196" t="s">
        <v>480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25">
      <c r="F1060" s="196" t="s">
        <v>941</v>
      </c>
      <c r="G1060" s="196" t="s">
        <v>169</v>
      </c>
      <c r="H1060" s="196" t="s">
        <v>480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25">
      <c r="F1061" s="196" t="s">
        <v>942</v>
      </c>
      <c r="G1061" s="196" t="s">
        <v>169</v>
      </c>
      <c r="H1061" s="196" t="s">
        <v>480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25">
      <c r="F1062" s="93" t="s">
        <v>943</v>
      </c>
      <c r="G1062" s="93" t="s">
        <v>169</v>
      </c>
      <c r="H1062" s="93" t="s">
        <v>480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2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2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25">
      <c r="F1065" s="91" t="s">
        <v>928</v>
      </c>
      <c r="G1065" s="91" t="s">
        <v>170</v>
      </c>
      <c r="H1065" s="91" t="s">
        <v>480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25">
      <c r="F1066" s="196" t="s">
        <v>929</v>
      </c>
      <c r="G1066" s="196" t="s">
        <v>170</v>
      </c>
      <c r="H1066" s="196" t="s">
        <v>480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25">
      <c r="F1067" s="196" t="s">
        <v>930</v>
      </c>
      <c r="G1067" s="196" t="s">
        <v>170</v>
      </c>
      <c r="H1067" s="196" t="s">
        <v>480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25">
      <c r="F1068" s="196" t="s">
        <v>931</v>
      </c>
      <c r="G1068" s="196" t="s">
        <v>170</v>
      </c>
      <c r="H1068" s="196" t="s">
        <v>480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25">
      <c r="F1069" s="196" t="s">
        <v>932</v>
      </c>
      <c r="G1069" s="196" t="s">
        <v>170</v>
      </c>
      <c r="H1069" s="196" t="s">
        <v>480</v>
      </c>
      <c r="I1069" s="66"/>
      <c r="J1069" s="233">
        <f t="shared" ref="J1069" si="105">CHOOSE(year_selection, L1069,M1069,N1069,O1069,P1069,Q1069,R1069,S1069)</f>
        <v>124.3490968448276</v>
      </c>
      <c r="K1069" s="234"/>
      <c r="L1069" s="329"/>
      <c r="M1069" s="329"/>
      <c r="N1069" s="329"/>
      <c r="O1069" s="329">
        <v>124.3490968448276</v>
      </c>
      <c r="P1069" s="329">
        <v>124.3490968448276</v>
      </c>
      <c r="Q1069" s="329">
        <v>124.3490968448276</v>
      </c>
      <c r="R1069" s="329">
        <v>124.3490968448276</v>
      </c>
      <c r="S1069" s="329">
        <v>124.3490968448276</v>
      </c>
    </row>
    <row r="1070" spans="5:19" s="293" customFormat="1" x14ac:dyDescent="0.25">
      <c r="F1070" s="196" t="s">
        <v>933</v>
      </c>
      <c r="G1070" s="196" t="s">
        <v>170</v>
      </c>
      <c r="H1070" s="196" t="s">
        <v>480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25">
      <c r="F1071" s="196" t="s">
        <v>934</v>
      </c>
      <c r="G1071" s="196" t="s">
        <v>170</v>
      </c>
      <c r="H1071" s="196" t="s">
        <v>480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25">
      <c r="F1072" s="196" t="s">
        <v>935</v>
      </c>
      <c r="G1072" s="196" t="s">
        <v>170</v>
      </c>
      <c r="H1072" s="196" t="s">
        <v>480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25">
      <c r="F1073" s="196" t="s">
        <v>936</v>
      </c>
      <c r="G1073" s="196" t="s">
        <v>170</v>
      </c>
      <c r="H1073" s="196" t="s">
        <v>480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25">
      <c r="F1074" s="196" t="s">
        <v>937</v>
      </c>
      <c r="G1074" s="196" t="s">
        <v>170</v>
      </c>
      <c r="H1074" s="196" t="s">
        <v>480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25">
      <c r="F1075" s="196" t="s">
        <v>938</v>
      </c>
      <c r="G1075" s="196" t="s">
        <v>170</v>
      </c>
      <c r="H1075" s="196" t="s">
        <v>480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25">
      <c r="F1076" s="196" t="s">
        <v>939</v>
      </c>
      <c r="G1076" s="196" t="s">
        <v>170</v>
      </c>
      <c r="H1076" s="196" t="s">
        <v>480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25">
      <c r="F1077" s="196" t="s">
        <v>940</v>
      </c>
      <c r="G1077" s="196" t="s">
        <v>170</v>
      </c>
      <c r="H1077" s="196" t="s">
        <v>480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25">
      <c r="F1078" s="196" t="s">
        <v>941</v>
      </c>
      <c r="G1078" s="196" t="s">
        <v>170</v>
      </c>
      <c r="H1078" s="196" t="s">
        <v>480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25">
      <c r="F1079" s="196" t="s">
        <v>942</v>
      </c>
      <c r="G1079" s="196" t="s">
        <v>170</v>
      </c>
      <c r="H1079" s="196" t="s">
        <v>480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25">
      <c r="F1080" s="93" t="s">
        <v>943</v>
      </c>
      <c r="G1080" s="93" t="s">
        <v>170</v>
      </c>
      <c r="H1080" s="93" t="s">
        <v>480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2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25">
      <c r="C1082" s="7" t="str">
        <f ca="1">INDEX('Version control'!$H$34:$H$60,MATCH($A$1,'Version control'!$F$34:$F$60,0),1)&amp;"-K: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25">
      <c r="D1083" s="96"/>
      <c r="I1083" s="111"/>
    </row>
    <row r="1084" spans="3:21" s="293" customFormat="1" x14ac:dyDescent="0.25">
      <c r="E1084" s="144" t="s">
        <v>199</v>
      </c>
      <c r="I1084" s="111" t="s">
        <v>359</v>
      </c>
      <c r="U1084" s="293" t="s">
        <v>692</v>
      </c>
    </row>
    <row r="1085" spans="3:21" s="293" customFormat="1" x14ac:dyDescent="0.25">
      <c r="F1085" s="91" t="s">
        <v>928</v>
      </c>
      <c r="G1085" s="91" t="s">
        <v>120</v>
      </c>
      <c r="H1085" s="91" t="s">
        <v>480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25">
      <c r="F1086" s="196" t="s">
        <v>929</v>
      </c>
      <c r="G1086" s="196" t="s">
        <v>120</v>
      </c>
      <c r="H1086" s="196" t="s">
        <v>480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25">
      <c r="F1087" s="196" t="s">
        <v>930</v>
      </c>
      <c r="G1087" s="196" t="s">
        <v>120</v>
      </c>
      <c r="H1087" s="196" t="s">
        <v>480</v>
      </c>
      <c r="I1087" s="66"/>
      <c r="J1087" s="233">
        <f t="shared" ref="J1087" si="106">CHOOSE(year_selection, L1087,M1087,N1087,O1087,P1087,Q1087,R1087,S1087)</f>
        <v>40.452214392886461</v>
      </c>
      <c r="K1087" s="234"/>
      <c r="L1087" s="329"/>
      <c r="M1087" s="329"/>
      <c r="N1087" s="329"/>
      <c r="O1087" s="329">
        <v>40.452214392886461</v>
      </c>
      <c r="P1087" s="329">
        <v>40.452214392886461</v>
      </c>
      <c r="Q1087" s="329">
        <v>40.452214392886461</v>
      </c>
      <c r="R1087" s="329">
        <v>40.452214392886461</v>
      </c>
      <c r="S1087" s="329">
        <v>40.452214392886461</v>
      </c>
    </row>
    <row r="1088" spans="3:21" s="293" customFormat="1" x14ac:dyDescent="0.25">
      <c r="F1088" s="196" t="s">
        <v>931</v>
      </c>
      <c r="G1088" s="196" t="s">
        <v>120</v>
      </c>
      <c r="H1088" s="196" t="s">
        <v>480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25">
      <c r="F1089" s="196" t="s">
        <v>932</v>
      </c>
      <c r="G1089" s="196" t="s">
        <v>120</v>
      </c>
      <c r="H1089" s="196" t="s">
        <v>480</v>
      </c>
      <c r="I1089" s="66"/>
      <c r="J1089" s="233">
        <f t="shared" ref="J1089" si="107">CHOOSE(year_selection, L1089,M1089,N1089,O1089,P1089,Q1089,R1089,S1089)</f>
        <v>205.69742849999994</v>
      </c>
      <c r="K1089" s="234"/>
      <c r="L1089" s="329"/>
      <c r="M1089" s="329"/>
      <c r="N1089" s="329"/>
      <c r="O1089" s="329">
        <v>205.69742849999994</v>
      </c>
      <c r="P1089" s="329">
        <v>205.69742849999994</v>
      </c>
      <c r="Q1089" s="329">
        <v>205.69742849999994</v>
      </c>
      <c r="R1089" s="329">
        <v>205.69742849999994</v>
      </c>
      <c r="S1089" s="329">
        <v>205.69742849999994</v>
      </c>
    </row>
    <row r="1090" spans="5:19" s="293" customFormat="1" x14ac:dyDescent="0.25">
      <c r="F1090" s="196" t="s">
        <v>933</v>
      </c>
      <c r="G1090" s="196" t="s">
        <v>120</v>
      </c>
      <c r="H1090" s="196" t="s">
        <v>480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25">
      <c r="F1091" s="196" t="s">
        <v>934</v>
      </c>
      <c r="G1091" s="196" t="s">
        <v>120</v>
      </c>
      <c r="H1091" s="196" t="s">
        <v>480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25">
      <c r="F1092" s="196" t="s">
        <v>935</v>
      </c>
      <c r="G1092" s="196" t="s">
        <v>120</v>
      </c>
      <c r="H1092" s="196" t="s">
        <v>480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25">
      <c r="F1093" s="196" t="s">
        <v>936</v>
      </c>
      <c r="G1093" s="196" t="s">
        <v>120</v>
      </c>
      <c r="H1093" s="196" t="s">
        <v>480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25">
      <c r="F1094" s="196" t="s">
        <v>937</v>
      </c>
      <c r="G1094" s="196" t="s">
        <v>120</v>
      </c>
      <c r="H1094" s="196" t="s">
        <v>480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25">
      <c r="F1095" s="196" t="s">
        <v>938</v>
      </c>
      <c r="G1095" s="196" t="s">
        <v>120</v>
      </c>
      <c r="H1095" s="196" t="s">
        <v>480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25">
      <c r="F1096" s="196" t="s">
        <v>939</v>
      </c>
      <c r="G1096" s="196" t="s">
        <v>120</v>
      </c>
      <c r="H1096" s="196" t="s">
        <v>480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25">
      <c r="F1097" s="196" t="s">
        <v>940</v>
      </c>
      <c r="G1097" s="196" t="s">
        <v>120</v>
      </c>
      <c r="H1097" s="196" t="s">
        <v>480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25">
      <c r="F1098" s="196" t="s">
        <v>941</v>
      </c>
      <c r="G1098" s="196" t="s">
        <v>120</v>
      </c>
      <c r="H1098" s="196" t="s">
        <v>480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25">
      <c r="F1099" s="196" t="s">
        <v>942</v>
      </c>
      <c r="G1099" s="196" t="s">
        <v>120</v>
      </c>
      <c r="H1099" s="196" t="s">
        <v>480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25">
      <c r="F1100" s="93" t="s">
        <v>943</v>
      </c>
      <c r="G1100" s="93" t="s">
        <v>120</v>
      </c>
      <c r="H1100" s="93" t="s">
        <v>480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2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2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25">
      <c r="F1103" s="91" t="s">
        <v>928</v>
      </c>
      <c r="G1103" s="91" t="s">
        <v>120</v>
      </c>
      <c r="H1103" s="91" t="s">
        <v>480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25">
      <c r="F1104" s="196" t="s">
        <v>929</v>
      </c>
      <c r="G1104" s="196" t="s">
        <v>120</v>
      </c>
      <c r="H1104" s="196" t="s">
        <v>480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25">
      <c r="F1105" s="196" t="s">
        <v>930</v>
      </c>
      <c r="G1105" s="196" t="s">
        <v>120</v>
      </c>
      <c r="H1105" s="196" t="s">
        <v>480</v>
      </c>
      <c r="I1105" s="66"/>
      <c r="J1105" s="233">
        <f t="shared" ref="J1105" si="108">CHOOSE(year_selection, L1105,M1105,N1105,O1105,P1105,Q1105,R1105,S1105)</f>
        <v>212.54708619428266</v>
      </c>
      <c r="K1105" s="234"/>
      <c r="L1105" s="329"/>
      <c r="M1105" s="329"/>
      <c r="N1105" s="329"/>
      <c r="O1105" s="329">
        <v>212.54708619428266</v>
      </c>
      <c r="P1105" s="329">
        <v>212.54708619428266</v>
      </c>
      <c r="Q1105" s="329">
        <v>212.54708619428266</v>
      </c>
      <c r="R1105" s="329">
        <v>212.54708619428266</v>
      </c>
      <c r="S1105" s="329">
        <v>212.54708619428266</v>
      </c>
    </row>
    <row r="1106" spans="5:19" s="293" customFormat="1" x14ac:dyDescent="0.25">
      <c r="F1106" s="196" t="s">
        <v>931</v>
      </c>
      <c r="G1106" s="196" t="s">
        <v>120</v>
      </c>
      <c r="H1106" s="196" t="s">
        <v>480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25">
      <c r="F1107" s="196" t="s">
        <v>932</v>
      </c>
      <c r="G1107" s="196" t="s">
        <v>120</v>
      </c>
      <c r="H1107" s="196" t="s">
        <v>480</v>
      </c>
      <c r="I1107" s="66"/>
      <c r="J1107" s="233">
        <f t="shared" ref="J1107" si="109">CHOOSE(year_selection, L1107,M1107,N1107,O1107,P1107,Q1107,R1107,S1107)</f>
        <v>940.92790174316281</v>
      </c>
      <c r="K1107" s="234"/>
      <c r="L1107" s="329"/>
      <c r="M1107" s="329"/>
      <c r="N1107" s="329"/>
      <c r="O1107" s="329">
        <v>940.92790174316281</v>
      </c>
      <c r="P1107" s="329">
        <v>940.92790174316281</v>
      </c>
      <c r="Q1107" s="329">
        <v>940.92790174316281</v>
      </c>
      <c r="R1107" s="329">
        <v>940.92790174316281</v>
      </c>
      <c r="S1107" s="329">
        <v>940.92790174316281</v>
      </c>
    </row>
    <row r="1108" spans="5:19" s="293" customFormat="1" x14ac:dyDescent="0.25">
      <c r="F1108" s="196" t="s">
        <v>933</v>
      </c>
      <c r="G1108" s="196" t="s">
        <v>120</v>
      </c>
      <c r="H1108" s="196" t="s">
        <v>480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25">
      <c r="F1109" s="196" t="s">
        <v>934</v>
      </c>
      <c r="G1109" s="196" t="s">
        <v>120</v>
      </c>
      <c r="H1109" s="196" t="s">
        <v>480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25">
      <c r="F1110" s="196" t="s">
        <v>935</v>
      </c>
      <c r="G1110" s="196" t="s">
        <v>120</v>
      </c>
      <c r="H1110" s="196" t="s">
        <v>480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25">
      <c r="F1111" s="196" t="s">
        <v>936</v>
      </c>
      <c r="G1111" s="196" t="s">
        <v>120</v>
      </c>
      <c r="H1111" s="196" t="s">
        <v>480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25">
      <c r="F1112" s="196" t="s">
        <v>937</v>
      </c>
      <c r="G1112" s="196" t="s">
        <v>120</v>
      </c>
      <c r="H1112" s="196" t="s">
        <v>480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25">
      <c r="F1113" s="196" t="s">
        <v>938</v>
      </c>
      <c r="G1113" s="196" t="s">
        <v>120</v>
      </c>
      <c r="H1113" s="196" t="s">
        <v>480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25">
      <c r="F1114" s="196" t="s">
        <v>939</v>
      </c>
      <c r="G1114" s="196" t="s">
        <v>120</v>
      </c>
      <c r="H1114" s="196" t="s">
        <v>480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25">
      <c r="F1115" s="196" t="s">
        <v>940</v>
      </c>
      <c r="G1115" s="196" t="s">
        <v>120</v>
      </c>
      <c r="H1115" s="196" t="s">
        <v>480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25">
      <c r="F1116" s="196" t="s">
        <v>941</v>
      </c>
      <c r="G1116" s="196" t="s">
        <v>120</v>
      </c>
      <c r="H1116" s="196" t="s">
        <v>480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25">
      <c r="F1117" s="196" t="s">
        <v>942</v>
      </c>
      <c r="G1117" s="196" t="s">
        <v>120</v>
      </c>
      <c r="H1117" s="196" t="s">
        <v>480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25">
      <c r="F1118" s="93" t="s">
        <v>943</v>
      </c>
      <c r="G1118" s="93" t="s">
        <v>120</v>
      </c>
      <c r="H1118" s="93" t="s">
        <v>480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2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2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25">
      <c r="F1121" s="91" t="s">
        <v>928</v>
      </c>
      <c r="G1121" s="91" t="s">
        <v>120</v>
      </c>
      <c r="H1121" s="91" t="s">
        <v>480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25">
      <c r="F1122" s="196" t="s">
        <v>929</v>
      </c>
      <c r="G1122" s="196" t="s">
        <v>120</v>
      </c>
      <c r="H1122" s="196" t="s">
        <v>480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25">
      <c r="F1123" s="196" t="s">
        <v>930</v>
      </c>
      <c r="G1123" s="196" t="s">
        <v>120</v>
      </c>
      <c r="H1123" s="196" t="s">
        <v>480</v>
      </c>
      <c r="I1123" s="66"/>
      <c r="J1123" s="233">
        <f t="shared" ref="J1123" si="110">CHOOSE(year_selection, L1123,M1123,N1123,O1123,P1123,Q1123,R1123,S1123)</f>
        <v>206.18875991125159</v>
      </c>
      <c r="K1123" s="234"/>
      <c r="L1123" s="329"/>
      <c r="M1123" s="329"/>
      <c r="N1123" s="329"/>
      <c r="O1123" s="329">
        <v>206.18875991125159</v>
      </c>
      <c r="P1123" s="329">
        <v>206.18875991125159</v>
      </c>
      <c r="Q1123" s="329">
        <v>206.18875991125159</v>
      </c>
      <c r="R1123" s="329">
        <v>206.18875991125159</v>
      </c>
      <c r="S1123" s="329">
        <v>206.18875991125159</v>
      </c>
    </row>
    <row r="1124" spans="6:19" s="293" customFormat="1" x14ac:dyDescent="0.25">
      <c r="F1124" s="196" t="s">
        <v>931</v>
      </c>
      <c r="G1124" s="196" t="s">
        <v>120</v>
      </c>
      <c r="H1124" s="196" t="s">
        <v>480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25">
      <c r="F1125" s="196" t="s">
        <v>932</v>
      </c>
      <c r="G1125" s="196" t="s">
        <v>120</v>
      </c>
      <c r="H1125" s="196" t="s">
        <v>480</v>
      </c>
      <c r="I1125" s="66"/>
      <c r="J1125" s="233">
        <f t="shared" ref="J1125" si="111">CHOOSE(year_selection, L1125,M1125,N1125,O1125,P1125,Q1125,R1125,S1125)</f>
        <v>859.11718598810933</v>
      </c>
      <c r="K1125" s="234"/>
      <c r="L1125" s="329"/>
      <c r="M1125" s="329"/>
      <c r="N1125" s="329"/>
      <c r="O1125" s="329">
        <v>859.11718598810933</v>
      </c>
      <c r="P1125" s="329">
        <v>859.11718598810933</v>
      </c>
      <c r="Q1125" s="329">
        <v>859.11718598810933</v>
      </c>
      <c r="R1125" s="329">
        <v>859.11718598810933</v>
      </c>
      <c r="S1125" s="329">
        <v>859.11718598810933</v>
      </c>
    </row>
    <row r="1126" spans="6:19" s="293" customFormat="1" x14ac:dyDescent="0.25">
      <c r="F1126" s="196" t="s">
        <v>933</v>
      </c>
      <c r="G1126" s="196" t="s">
        <v>120</v>
      </c>
      <c r="H1126" s="196" t="s">
        <v>480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25">
      <c r="F1127" s="196" t="s">
        <v>934</v>
      </c>
      <c r="G1127" s="196" t="s">
        <v>120</v>
      </c>
      <c r="H1127" s="196" t="s">
        <v>480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25">
      <c r="F1128" s="196" t="s">
        <v>935</v>
      </c>
      <c r="G1128" s="196" t="s">
        <v>120</v>
      </c>
      <c r="H1128" s="196" t="s">
        <v>480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25">
      <c r="F1129" s="196" t="s">
        <v>936</v>
      </c>
      <c r="G1129" s="196" t="s">
        <v>120</v>
      </c>
      <c r="H1129" s="196" t="s">
        <v>480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25">
      <c r="F1130" s="196" t="s">
        <v>937</v>
      </c>
      <c r="G1130" s="196" t="s">
        <v>120</v>
      </c>
      <c r="H1130" s="196" t="s">
        <v>480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25">
      <c r="F1131" s="196" t="s">
        <v>938</v>
      </c>
      <c r="G1131" s="196" t="s">
        <v>120</v>
      </c>
      <c r="H1131" s="196" t="s">
        <v>480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25">
      <c r="F1132" s="196" t="s">
        <v>939</v>
      </c>
      <c r="G1132" s="196" t="s">
        <v>120</v>
      </c>
      <c r="H1132" s="196" t="s">
        <v>480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25">
      <c r="F1133" s="196" t="s">
        <v>940</v>
      </c>
      <c r="G1133" s="196" t="s">
        <v>120</v>
      </c>
      <c r="H1133" s="196" t="s">
        <v>480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25">
      <c r="F1134" s="196" t="s">
        <v>941</v>
      </c>
      <c r="G1134" s="196" t="s">
        <v>120</v>
      </c>
      <c r="H1134" s="196" t="s">
        <v>480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25">
      <c r="F1135" s="196" t="s">
        <v>942</v>
      </c>
      <c r="G1135" s="196" t="s">
        <v>120</v>
      </c>
      <c r="H1135" s="196" t="s">
        <v>480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25">
      <c r="F1136" s="93" t="s">
        <v>943</v>
      </c>
      <c r="G1136" s="93" t="s">
        <v>120</v>
      </c>
      <c r="H1136" s="93" t="s">
        <v>480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2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2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25">
      <c r="F1139" s="91" t="s">
        <v>928</v>
      </c>
      <c r="G1139" s="91" t="s">
        <v>74</v>
      </c>
      <c r="H1139" s="91" t="s">
        <v>480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25">
      <c r="F1140" s="196" t="s">
        <v>929</v>
      </c>
      <c r="G1140" s="196" t="s">
        <v>74</v>
      </c>
      <c r="H1140" s="196" t="s">
        <v>480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25">
      <c r="F1141" s="196" t="s">
        <v>930</v>
      </c>
      <c r="G1141" s="196" t="s">
        <v>74</v>
      </c>
      <c r="H1141" s="196" t="s">
        <v>480</v>
      </c>
      <c r="I1141" s="66"/>
      <c r="J1141" s="233">
        <f t="shared" ref="J1141" si="112">CHOOSE(year_selection, L1141,M1141,N1141,O1141,P1141,Q1141,R1141,S1141)</f>
        <v>69</v>
      </c>
      <c r="K1141" s="234"/>
      <c r="L1141" s="329"/>
      <c r="M1141" s="329"/>
      <c r="N1141" s="329"/>
      <c r="O1141" s="329">
        <v>69</v>
      </c>
      <c r="P1141" s="329">
        <v>69</v>
      </c>
      <c r="Q1141" s="329">
        <v>69</v>
      </c>
      <c r="R1141" s="329">
        <v>69</v>
      </c>
      <c r="S1141" s="329">
        <v>69</v>
      </c>
    </row>
    <row r="1142" spans="5:19" s="293" customFormat="1" x14ac:dyDescent="0.25">
      <c r="F1142" s="196" t="s">
        <v>931</v>
      </c>
      <c r="G1142" s="196" t="s">
        <v>74</v>
      </c>
      <c r="H1142" s="196" t="s">
        <v>480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25">
      <c r="F1143" s="196" t="s">
        <v>932</v>
      </c>
      <c r="G1143" s="196" t="s">
        <v>74</v>
      </c>
      <c r="H1143" s="196" t="s">
        <v>480</v>
      </c>
      <c r="I1143" s="66"/>
      <c r="J1143" s="233">
        <f t="shared" ref="J1143" si="113">CHOOSE(year_selection, L1143,M1143,N1143,O1143,P1143,Q1143,R1143,S1143)</f>
        <v>8</v>
      </c>
      <c r="K1143" s="234"/>
      <c r="L1143" s="329"/>
      <c r="M1143" s="329"/>
      <c r="N1143" s="329"/>
      <c r="O1143" s="329">
        <v>8</v>
      </c>
      <c r="P1143" s="329">
        <v>8</v>
      </c>
      <c r="Q1143" s="329">
        <v>8</v>
      </c>
      <c r="R1143" s="329">
        <v>8</v>
      </c>
      <c r="S1143" s="329">
        <v>8</v>
      </c>
    </row>
    <row r="1144" spans="5:19" s="293" customFormat="1" x14ac:dyDescent="0.25">
      <c r="F1144" s="196" t="s">
        <v>933</v>
      </c>
      <c r="G1144" s="196" t="s">
        <v>74</v>
      </c>
      <c r="H1144" s="196" t="s">
        <v>480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25">
      <c r="F1145" s="196" t="s">
        <v>934</v>
      </c>
      <c r="G1145" s="196" t="s">
        <v>74</v>
      </c>
      <c r="H1145" s="196" t="s">
        <v>480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25">
      <c r="F1146" s="196" t="s">
        <v>935</v>
      </c>
      <c r="G1146" s="196" t="s">
        <v>74</v>
      </c>
      <c r="H1146" s="196" t="s">
        <v>480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25">
      <c r="F1147" s="196" t="s">
        <v>936</v>
      </c>
      <c r="G1147" s="196" t="s">
        <v>74</v>
      </c>
      <c r="H1147" s="196" t="s">
        <v>480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25">
      <c r="F1148" s="196" t="s">
        <v>937</v>
      </c>
      <c r="G1148" s="196" t="s">
        <v>74</v>
      </c>
      <c r="H1148" s="196" t="s">
        <v>480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25">
      <c r="F1149" s="196" t="s">
        <v>938</v>
      </c>
      <c r="G1149" s="196" t="s">
        <v>74</v>
      </c>
      <c r="H1149" s="196" t="s">
        <v>480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25">
      <c r="F1150" s="196" t="s">
        <v>939</v>
      </c>
      <c r="G1150" s="196" t="s">
        <v>74</v>
      </c>
      <c r="H1150" s="196" t="s">
        <v>480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25">
      <c r="F1151" s="196" t="s">
        <v>940</v>
      </c>
      <c r="G1151" s="196" t="s">
        <v>74</v>
      </c>
      <c r="H1151" s="196" t="s">
        <v>480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25">
      <c r="F1152" s="196" t="s">
        <v>941</v>
      </c>
      <c r="G1152" s="196" t="s">
        <v>74</v>
      </c>
      <c r="H1152" s="196" t="s">
        <v>480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25">
      <c r="F1153" s="196" t="s">
        <v>942</v>
      </c>
      <c r="G1153" s="196" t="s">
        <v>74</v>
      </c>
      <c r="H1153" s="196" t="s">
        <v>480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25">
      <c r="F1154" s="93" t="s">
        <v>943</v>
      </c>
      <c r="G1154" s="93" t="s">
        <v>74</v>
      </c>
      <c r="H1154" s="93" t="s">
        <v>480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2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2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25">
      <c r="F1157" s="91" t="s">
        <v>928</v>
      </c>
      <c r="G1157" s="91" t="s">
        <v>169</v>
      </c>
      <c r="H1157" s="91" t="s">
        <v>480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25">
      <c r="F1158" s="196" t="s">
        <v>929</v>
      </c>
      <c r="G1158" s="196" t="s">
        <v>169</v>
      </c>
      <c r="H1158" s="196" t="s">
        <v>480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25">
      <c r="F1159" s="196" t="s">
        <v>930</v>
      </c>
      <c r="G1159" s="196" t="s">
        <v>169</v>
      </c>
      <c r="H1159" s="196" t="s">
        <v>480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25">
      <c r="F1160" s="196" t="s">
        <v>931</v>
      </c>
      <c r="G1160" s="196" t="s">
        <v>169</v>
      </c>
      <c r="H1160" s="196" t="s">
        <v>480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25">
      <c r="F1161" s="196" t="s">
        <v>932</v>
      </c>
      <c r="G1161" s="196" t="s">
        <v>169</v>
      </c>
      <c r="H1161" s="196" t="s">
        <v>480</v>
      </c>
      <c r="I1161" s="66"/>
      <c r="J1161" s="233">
        <f t="shared" ref="J1161" si="114">CHOOSE(year_selection, L1161,M1161,N1161,O1161,P1161,Q1161,R1161,S1161)</f>
        <v>1578</v>
      </c>
      <c r="K1161" s="234"/>
      <c r="L1161" s="329"/>
      <c r="M1161" s="329"/>
      <c r="N1161" s="329"/>
      <c r="O1161" s="329">
        <v>1578</v>
      </c>
      <c r="P1161" s="329">
        <v>1578</v>
      </c>
      <c r="Q1161" s="329">
        <v>1578</v>
      </c>
      <c r="R1161" s="329">
        <v>1578</v>
      </c>
      <c r="S1161" s="329">
        <v>1578</v>
      </c>
    </row>
    <row r="1162" spans="5:19" s="293" customFormat="1" x14ac:dyDescent="0.25">
      <c r="F1162" s="196" t="s">
        <v>933</v>
      </c>
      <c r="G1162" s="196" t="s">
        <v>169</v>
      </c>
      <c r="H1162" s="196" t="s">
        <v>480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25">
      <c r="F1163" s="196" t="s">
        <v>934</v>
      </c>
      <c r="G1163" s="196" t="s">
        <v>169</v>
      </c>
      <c r="H1163" s="196" t="s">
        <v>480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25">
      <c r="F1164" s="196" t="s">
        <v>935</v>
      </c>
      <c r="G1164" s="196" t="s">
        <v>169</v>
      </c>
      <c r="H1164" s="196" t="s">
        <v>480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25">
      <c r="F1165" s="196" t="s">
        <v>936</v>
      </c>
      <c r="G1165" s="196" t="s">
        <v>169</v>
      </c>
      <c r="H1165" s="196" t="s">
        <v>480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25">
      <c r="F1166" s="196" t="s">
        <v>937</v>
      </c>
      <c r="G1166" s="196" t="s">
        <v>169</v>
      </c>
      <c r="H1166" s="196" t="s">
        <v>480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25">
      <c r="F1167" s="196" t="s">
        <v>938</v>
      </c>
      <c r="G1167" s="196" t="s">
        <v>169</v>
      </c>
      <c r="H1167" s="196" t="s">
        <v>480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25">
      <c r="F1168" s="196" t="s">
        <v>939</v>
      </c>
      <c r="G1168" s="196" t="s">
        <v>169</v>
      </c>
      <c r="H1168" s="196" t="s">
        <v>480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25">
      <c r="F1169" s="196" t="s">
        <v>940</v>
      </c>
      <c r="G1169" s="196" t="s">
        <v>169</v>
      </c>
      <c r="H1169" s="196" t="s">
        <v>480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25">
      <c r="F1170" s="196" t="s">
        <v>941</v>
      </c>
      <c r="G1170" s="196" t="s">
        <v>169</v>
      </c>
      <c r="H1170" s="196" t="s">
        <v>480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25">
      <c r="F1171" s="196" t="s">
        <v>942</v>
      </c>
      <c r="G1171" s="196" t="s">
        <v>169</v>
      </c>
      <c r="H1171" s="196" t="s">
        <v>480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25">
      <c r="F1172" s="93" t="s">
        <v>943</v>
      </c>
      <c r="G1172" s="93" t="s">
        <v>169</v>
      </c>
      <c r="H1172" s="93" t="s">
        <v>480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2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2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25">
      <c r="F1175" s="91" t="s">
        <v>928</v>
      </c>
      <c r="G1175" s="91" t="s">
        <v>169</v>
      </c>
      <c r="H1175" s="91" t="s">
        <v>480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25">
      <c r="F1176" s="196" t="s">
        <v>929</v>
      </c>
      <c r="G1176" s="196" t="s">
        <v>169</v>
      </c>
      <c r="H1176" s="196" t="s">
        <v>480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25">
      <c r="F1177" s="196" t="s">
        <v>930</v>
      </c>
      <c r="G1177" s="196" t="s">
        <v>169</v>
      </c>
      <c r="H1177" s="196" t="s">
        <v>480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25">
      <c r="F1178" s="196" t="s">
        <v>931</v>
      </c>
      <c r="G1178" s="196" t="s">
        <v>169</v>
      </c>
      <c r="H1178" s="196" t="s">
        <v>480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25">
      <c r="F1179" s="196" t="s">
        <v>932</v>
      </c>
      <c r="G1179" s="196" t="s">
        <v>169</v>
      </c>
      <c r="H1179" s="196" t="s">
        <v>480</v>
      </c>
      <c r="I1179" s="66"/>
      <c r="J1179" s="233">
        <f t="shared" ref="J1179" si="115">CHOOSE(year_selection, L1179,M1179,N1179,O1179,P1179,Q1179,R1179,S1179)</f>
        <v>0</v>
      </c>
      <c r="K1179" s="234"/>
      <c r="L1179" s="329"/>
      <c r="M1179" s="329"/>
      <c r="N1179" s="329"/>
      <c r="O1179" s="329">
        <v>0</v>
      </c>
      <c r="P1179" s="329">
        <v>0</v>
      </c>
      <c r="Q1179" s="329">
        <v>0</v>
      </c>
      <c r="R1179" s="329">
        <v>0</v>
      </c>
      <c r="S1179" s="329">
        <v>0</v>
      </c>
    </row>
    <row r="1180" spans="5:19" s="293" customFormat="1" x14ac:dyDescent="0.25">
      <c r="F1180" s="196" t="s">
        <v>933</v>
      </c>
      <c r="G1180" s="196" t="s">
        <v>169</v>
      </c>
      <c r="H1180" s="196" t="s">
        <v>480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25">
      <c r="F1181" s="196" t="s">
        <v>934</v>
      </c>
      <c r="G1181" s="196" t="s">
        <v>169</v>
      </c>
      <c r="H1181" s="196" t="s">
        <v>480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25">
      <c r="F1182" s="196" t="s">
        <v>935</v>
      </c>
      <c r="G1182" s="196" t="s">
        <v>169</v>
      </c>
      <c r="H1182" s="196" t="s">
        <v>480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25">
      <c r="F1183" s="196" t="s">
        <v>936</v>
      </c>
      <c r="G1183" s="196" t="s">
        <v>169</v>
      </c>
      <c r="H1183" s="196" t="s">
        <v>480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25">
      <c r="F1184" s="196" t="s">
        <v>937</v>
      </c>
      <c r="G1184" s="196" t="s">
        <v>169</v>
      </c>
      <c r="H1184" s="196" t="s">
        <v>480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25">
      <c r="F1185" s="196" t="s">
        <v>938</v>
      </c>
      <c r="G1185" s="196" t="s">
        <v>169</v>
      </c>
      <c r="H1185" s="196" t="s">
        <v>480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25">
      <c r="F1186" s="196" t="s">
        <v>939</v>
      </c>
      <c r="G1186" s="196" t="s">
        <v>169</v>
      </c>
      <c r="H1186" s="196" t="s">
        <v>480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25">
      <c r="F1187" s="196" t="s">
        <v>940</v>
      </c>
      <c r="G1187" s="196" t="s">
        <v>169</v>
      </c>
      <c r="H1187" s="196" t="s">
        <v>480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25">
      <c r="F1188" s="196" t="s">
        <v>941</v>
      </c>
      <c r="G1188" s="196" t="s">
        <v>169</v>
      </c>
      <c r="H1188" s="196" t="s">
        <v>480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25">
      <c r="F1189" s="196" t="s">
        <v>942</v>
      </c>
      <c r="G1189" s="196" t="s">
        <v>169</v>
      </c>
      <c r="H1189" s="196" t="s">
        <v>480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25">
      <c r="F1190" s="93" t="s">
        <v>943</v>
      </c>
      <c r="G1190" s="93" t="s">
        <v>169</v>
      </c>
      <c r="H1190" s="93" t="s">
        <v>480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2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2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25">
      <c r="F1193" s="91" t="s">
        <v>928</v>
      </c>
      <c r="G1193" s="91" t="s">
        <v>170</v>
      </c>
      <c r="H1193" s="91" t="s">
        <v>480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25">
      <c r="F1194" s="196" t="s">
        <v>929</v>
      </c>
      <c r="G1194" s="196" t="s">
        <v>170</v>
      </c>
      <c r="H1194" s="196" t="s">
        <v>480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25">
      <c r="F1195" s="196" t="s">
        <v>930</v>
      </c>
      <c r="G1195" s="196" t="s">
        <v>170</v>
      </c>
      <c r="H1195" s="196" t="s">
        <v>480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25">
      <c r="F1196" s="196" t="s">
        <v>931</v>
      </c>
      <c r="G1196" s="196" t="s">
        <v>170</v>
      </c>
      <c r="H1196" s="196" t="s">
        <v>480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25">
      <c r="F1197" s="196" t="s">
        <v>932</v>
      </c>
      <c r="G1197" s="196" t="s">
        <v>170</v>
      </c>
      <c r="H1197" s="196" t="s">
        <v>480</v>
      </c>
      <c r="I1197" s="66"/>
      <c r="J1197" s="233">
        <f t="shared" ref="J1197" si="116">CHOOSE(year_selection, L1197,M1197,N1197,O1197,P1197,Q1197,R1197,S1197)</f>
        <v>71.797612448275856</v>
      </c>
      <c r="K1197" s="234"/>
      <c r="L1197" s="329"/>
      <c r="M1197" s="329"/>
      <c r="N1197" s="329"/>
      <c r="O1197" s="329">
        <v>71.797612448275856</v>
      </c>
      <c r="P1197" s="329">
        <v>71.797612448275856</v>
      </c>
      <c r="Q1197" s="329">
        <v>71.797612448275856</v>
      </c>
      <c r="R1197" s="329">
        <v>71.797612448275856</v>
      </c>
      <c r="S1197" s="329">
        <v>71.797612448275856</v>
      </c>
    </row>
    <row r="1198" spans="5:19" s="293" customFormat="1" x14ac:dyDescent="0.25">
      <c r="F1198" s="196" t="s">
        <v>933</v>
      </c>
      <c r="G1198" s="196" t="s">
        <v>170</v>
      </c>
      <c r="H1198" s="196" t="s">
        <v>480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25">
      <c r="F1199" s="196" t="s">
        <v>934</v>
      </c>
      <c r="G1199" s="196" t="s">
        <v>170</v>
      </c>
      <c r="H1199" s="196" t="s">
        <v>480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25">
      <c r="F1200" s="196" t="s">
        <v>935</v>
      </c>
      <c r="G1200" s="196" t="s">
        <v>170</v>
      </c>
      <c r="H1200" s="196" t="s">
        <v>480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25">
      <c r="F1201" s="196" t="s">
        <v>936</v>
      </c>
      <c r="G1201" s="196" t="s">
        <v>170</v>
      </c>
      <c r="H1201" s="196" t="s">
        <v>480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25">
      <c r="F1202" s="196" t="s">
        <v>937</v>
      </c>
      <c r="G1202" s="196" t="s">
        <v>170</v>
      </c>
      <c r="H1202" s="196" t="s">
        <v>480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25">
      <c r="F1203" s="196" t="s">
        <v>938</v>
      </c>
      <c r="G1203" s="196" t="s">
        <v>170</v>
      </c>
      <c r="H1203" s="196" t="s">
        <v>480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25">
      <c r="F1204" s="196" t="s">
        <v>939</v>
      </c>
      <c r="G1204" s="196" t="s">
        <v>170</v>
      </c>
      <c r="H1204" s="196" t="s">
        <v>480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25">
      <c r="F1205" s="196" t="s">
        <v>940</v>
      </c>
      <c r="G1205" s="196" t="s">
        <v>170</v>
      </c>
      <c r="H1205" s="196" t="s">
        <v>480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25">
      <c r="F1206" s="196" t="s">
        <v>941</v>
      </c>
      <c r="G1206" s="196" t="s">
        <v>170</v>
      </c>
      <c r="H1206" s="196" t="s">
        <v>480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25">
      <c r="F1207" s="196" t="s">
        <v>942</v>
      </c>
      <c r="G1207" s="196" t="s">
        <v>170</v>
      </c>
      <c r="H1207" s="196" t="s">
        <v>480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25">
      <c r="F1208" s="93" t="s">
        <v>943</v>
      </c>
      <c r="G1208" s="93" t="s">
        <v>170</v>
      </c>
      <c r="H1208" s="93" t="s">
        <v>480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2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25">
      <c r="C1210" s="7" t="str">
        <f ca="1">INDEX('Version control'!$H$34:$H$60,MATCH($A$1,'Version control'!$F$34:$F$60,0),1)&amp;"-L: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25">
      <c r="D1211" s="96"/>
      <c r="I1211" s="111"/>
    </row>
    <row r="1212" spans="3:21" s="293" customFormat="1" x14ac:dyDescent="0.25">
      <c r="E1212" s="144" t="s">
        <v>199</v>
      </c>
      <c r="I1212" s="111" t="s">
        <v>359</v>
      </c>
      <c r="U1212" s="293" t="s">
        <v>692</v>
      </c>
    </row>
    <row r="1213" spans="3:21" s="293" customFormat="1" x14ac:dyDescent="0.25">
      <c r="F1213" s="91" t="s">
        <v>928</v>
      </c>
      <c r="G1213" s="91" t="s">
        <v>120</v>
      </c>
      <c r="H1213" s="91" t="s">
        <v>480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25">
      <c r="F1214" s="196" t="s">
        <v>929</v>
      </c>
      <c r="G1214" s="196" t="s">
        <v>120</v>
      </c>
      <c r="H1214" s="196" t="s">
        <v>480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25">
      <c r="F1215" s="196" t="s">
        <v>930</v>
      </c>
      <c r="G1215" s="196" t="s">
        <v>120</v>
      </c>
      <c r="H1215" s="196" t="s">
        <v>480</v>
      </c>
      <c r="I1215" s="66"/>
      <c r="J1215" s="233">
        <f t="shared" ref="J1215" si="117">CHOOSE(year_selection, L1215,M1215,N1215,O1215,P1215,Q1215,R1215,S1215)</f>
        <v>138.1906828346134</v>
      </c>
      <c r="K1215" s="234"/>
      <c r="L1215" s="329"/>
      <c r="M1215" s="329"/>
      <c r="N1215" s="329"/>
      <c r="O1215" s="329">
        <v>138.1906828346134</v>
      </c>
      <c r="P1215" s="329">
        <v>138.1906828346134</v>
      </c>
      <c r="Q1215" s="329">
        <v>138.1906828346134</v>
      </c>
      <c r="R1215" s="329">
        <v>138.1906828346134</v>
      </c>
      <c r="S1215" s="329">
        <v>138.1906828346134</v>
      </c>
    </row>
    <row r="1216" spans="3:21" s="293" customFormat="1" x14ac:dyDescent="0.25">
      <c r="F1216" s="196" t="s">
        <v>931</v>
      </c>
      <c r="G1216" s="196" t="s">
        <v>120</v>
      </c>
      <c r="H1216" s="196" t="s">
        <v>480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25">
      <c r="F1217" s="196" t="s">
        <v>932</v>
      </c>
      <c r="G1217" s="196" t="s">
        <v>120</v>
      </c>
      <c r="H1217" s="196" t="s">
        <v>480</v>
      </c>
      <c r="I1217" s="66"/>
      <c r="J1217" s="233">
        <f t="shared" ref="J1217" si="118">CHOOSE(year_selection, L1217,M1217,N1217,O1217,P1217,Q1217,R1217,S1217)</f>
        <v>159.68273124999999</v>
      </c>
      <c r="K1217" s="234"/>
      <c r="L1217" s="329"/>
      <c r="M1217" s="329"/>
      <c r="N1217" s="329"/>
      <c r="O1217" s="329">
        <v>159.68273124999999</v>
      </c>
      <c r="P1217" s="329">
        <v>159.68273124999999</v>
      </c>
      <c r="Q1217" s="329">
        <v>159.68273124999999</v>
      </c>
      <c r="R1217" s="329">
        <v>159.68273124999999</v>
      </c>
      <c r="S1217" s="329">
        <v>159.68273124999999</v>
      </c>
    </row>
    <row r="1218" spans="5:19" s="293" customFormat="1" x14ac:dyDescent="0.25">
      <c r="F1218" s="196" t="s">
        <v>933</v>
      </c>
      <c r="G1218" s="196" t="s">
        <v>120</v>
      </c>
      <c r="H1218" s="196" t="s">
        <v>480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25">
      <c r="F1219" s="196" t="s">
        <v>934</v>
      </c>
      <c r="G1219" s="196" t="s">
        <v>120</v>
      </c>
      <c r="H1219" s="196" t="s">
        <v>480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25">
      <c r="F1220" s="196" t="s">
        <v>935</v>
      </c>
      <c r="G1220" s="196" t="s">
        <v>120</v>
      </c>
      <c r="H1220" s="196" t="s">
        <v>480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25">
      <c r="F1221" s="196" t="s">
        <v>936</v>
      </c>
      <c r="G1221" s="196" t="s">
        <v>120</v>
      </c>
      <c r="H1221" s="196" t="s">
        <v>480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25">
      <c r="F1222" s="196" t="s">
        <v>937</v>
      </c>
      <c r="G1222" s="196" t="s">
        <v>120</v>
      </c>
      <c r="H1222" s="196" t="s">
        <v>480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25">
      <c r="F1223" s="196" t="s">
        <v>938</v>
      </c>
      <c r="G1223" s="196" t="s">
        <v>120</v>
      </c>
      <c r="H1223" s="196" t="s">
        <v>480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25">
      <c r="F1224" s="196" t="s">
        <v>939</v>
      </c>
      <c r="G1224" s="196" t="s">
        <v>120</v>
      </c>
      <c r="H1224" s="196" t="s">
        <v>480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25">
      <c r="F1225" s="196" t="s">
        <v>940</v>
      </c>
      <c r="G1225" s="196" t="s">
        <v>120</v>
      </c>
      <c r="H1225" s="196" t="s">
        <v>480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25">
      <c r="F1226" s="196" t="s">
        <v>941</v>
      </c>
      <c r="G1226" s="196" t="s">
        <v>120</v>
      </c>
      <c r="H1226" s="196" t="s">
        <v>480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25">
      <c r="F1227" s="196" t="s">
        <v>942</v>
      </c>
      <c r="G1227" s="196" t="s">
        <v>120</v>
      </c>
      <c r="H1227" s="196" t="s">
        <v>480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25">
      <c r="F1228" s="93" t="s">
        <v>943</v>
      </c>
      <c r="G1228" s="93" t="s">
        <v>120</v>
      </c>
      <c r="H1228" s="93" t="s">
        <v>480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2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2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25">
      <c r="F1231" s="91" t="s">
        <v>928</v>
      </c>
      <c r="G1231" s="91" t="s">
        <v>120</v>
      </c>
      <c r="H1231" s="91" t="s">
        <v>480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25">
      <c r="F1232" s="196" t="s">
        <v>929</v>
      </c>
      <c r="G1232" s="196" t="s">
        <v>120</v>
      </c>
      <c r="H1232" s="196" t="s">
        <v>480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25">
      <c r="F1233" s="196" t="s">
        <v>930</v>
      </c>
      <c r="G1233" s="196" t="s">
        <v>120</v>
      </c>
      <c r="H1233" s="196" t="s">
        <v>480</v>
      </c>
      <c r="I1233" s="66"/>
      <c r="J1233" s="233">
        <f t="shared" ref="J1233" si="119">CHOOSE(year_selection, L1233,M1233,N1233,O1233,P1233,Q1233,R1233,S1233)</f>
        <v>726.09194370482794</v>
      </c>
      <c r="K1233" s="234"/>
      <c r="L1233" s="329"/>
      <c r="M1233" s="329"/>
      <c r="N1233" s="329"/>
      <c r="O1233" s="329">
        <v>726.09194370482794</v>
      </c>
      <c r="P1233" s="329">
        <v>726.09194370482794</v>
      </c>
      <c r="Q1233" s="329">
        <v>726.09194370482794</v>
      </c>
      <c r="R1233" s="329">
        <v>726.09194370482794</v>
      </c>
      <c r="S1233" s="329">
        <v>726.09194370482794</v>
      </c>
    </row>
    <row r="1234" spans="5:19" s="293" customFormat="1" x14ac:dyDescent="0.25">
      <c r="F1234" s="196" t="s">
        <v>931</v>
      </c>
      <c r="G1234" s="196" t="s">
        <v>120</v>
      </c>
      <c r="H1234" s="196" t="s">
        <v>480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25">
      <c r="F1235" s="196" t="s">
        <v>932</v>
      </c>
      <c r="G1235" s="196" t="s">
        <v>120</v>
      </c>
      <c r="H1235" s="196" t="s">
        <v>480</v>
      </c>
      <c r="I1235" s="66"/>
      <c r="J1235" s="233">
        <f t="shared" ref="J1235" si="120">CHOOSE(year_selection, L1235,M1235,N1235,O1235,P1235,Q1235,R1235,S1235)</f>
        <v>730.44149533293705</v>
      </c>
      <c r="K1235" s="234"/>
      <c r="L1235" s="329"/>
      <c r="M1235" s="329"/>
      <c r="N1235" s="329"/>
      <c r="O1235" s="329">
        <v>730.44149533293705</v>
      </c>
      <c r="P1235" s="329">
        <v>730.44149533293705</v>
      </c>
      <c r="Q1235" s="329">
        <v>730.44149533293705</v>
      </c>
      <c r="R1235" s="329">
        <v>730.44149533293705</v>
      </c>
      <c r="S1235" s="329">
        <v>730.44149533293705</v>
      </c>
    </row>
    <row r="1236" spans="5:19" s="293" customFormat="1" x14ac:dyDescent="0.25">
      <c r="F1236" s="196" t="s">
        <v>933</v>
      </c>
      <c r="G1236" s="196" t="s">
        <v>120</v>
      </c>
      <c r="H1236" s="196" t="s">
        <v>480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25">
      <c r="F1237" s="196" t="s">
        <v>934</v>
      </c>
      <c r="G1237" s="196" t="s">
        <v>120</v>
      </c>
      <c r="H1237" s="196" t="s">
        <v>480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25">
      <c r="F1238" s="196" t="s">
        <v>935</v>
      </c>
      <c r="G1238" s="196" t="s">
        <v>120</v>
      </c>
      <c r="H1238" s="196" t="s">
        <v>480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25">
      <c r="F1239" s="196" t="s">
        <v>936</v>
      </c>
      <c r="G1239" s="196" t="s">
        <v>120</v>
      </c>
      <c r="H1239" s="196" t="s">
        <v>480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25">
      <c r="F1240" s="196" t="s">
        <v>937</v>
      </c>
      <c r="G1240" s="196" t="s">
        <v>120</v>
      </c>
      <c r="H1240" s="196" t="s">
        <v>480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25">
      <c r="F1241" s="196" t="s">
        <v>938</v>
      </c>
      <c r="G1241" s="196" t="s">
        <v>120</v>
      </c>
      <c r="H1241" s="196" t="s">
        <v>480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25">
      <c r="F1242" s="196" t="s">
        <v>939</v>
      </c>
      <c r="G1242" s="196" t="s">
        <v>120</v>
      </c>
      <c r="H1242" s="196" t="s">
        <v>480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25">
      <c r="F1243" s="196" t="s">
        <v>940</v>
      </c>
      <c r="G1243" s="196" t="s">
        <v>120</v>
      </c>
      <c r="H1243" s="196" t="s">
        <v>480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25">
      <c r="F1244" s="196" t="s">
        <v>941</v>
      </c>
      <c r="G1244" s="196" t="s">
        <v>120</v>
      </c>
      <c r="H1244" s="196" t="s">
        <v>480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25">
      <c r="F1245" s="196" t="s">
        <v>942</v>
      </c>
      <c r="G1245" s="196" t="s">
        <v>120</v>
      </c>
      <c r="H1245" s="196" t="s">
        <v>480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25">
      <c r="F1246" s="93" t="s">
        <v>943</v>
      </c>
      <c r="G1246" s="93" t="s">
        <v>120</v>
      </c>
      <c r="H1246" s="93" t="s">
        <v>480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2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2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25">
      <c r="F1249" s="91" t="s">
        <v>928</v>
      </c>
      <c r="G1249" s="91" t="s">
        <v>120</v>
      </c>
      <c r="H1249" s="91" t="s">
        <v>480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25">
      <c r="F1250" s="196" t="s">
        <v>929</v>
      </c>
      <c r="G1250" s="196" t="s">
        <v>120</v>
      </c>
      <c r="H1250" s="196" t="s">
        <v>480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25">
      <c r="F1251" s="196" t="s">
        <v>930</v>
      </c>
      <c r="G1251" s="196" t="s">
        <v>120</v>
      </c>
      <c r="H1251" s="196" t="s">
        <v>480</v>
      </c>
      <c r="I1251" s="66"/>
      <c r="J1251" s="233">
        <f t="shared" ref="J1251" si="121">CHOOSE(year_selection, L1251,M1251,N1251,O1251,P1251,Q1251,R1251,S1251)</f>
        <v>704.37097085020366</v>
      </c>
      <c r="K1251" s="234"/>
      <c r="L1251" s="329"/>
      <c r="M1251" s="329"/>
      <c r="N1251" s="329"/>
      <c r="O1251" s="329">
        <v>704.37097085020366</v>
      </c>
      <c r="P1251" s="329">
        <v>704.37097085020366</v>
      </c>
      <c r="Q1251" s="329">
        <v>704.37097085020366</v>
      </c>
      <c r="R1251" s="329">
        <v>704.37097085020366</v>
      </c>
      <c r="S1251" s="329">
        <v>704.37097085020366</v>
      </c>
    </row>
    <row r="1252" spans="6:19" s="293" customFormat="1" x14ac:dyDescent="0.25">
      <c r="F1252" s="196" t="s">
        <v>931</v>
      </c>
      <c r="G1252" s="196" t="s">
        <v>120</v>
      </c>
      <c r="H1252" s="196" t="s">
        <v>480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25">
      <c r="F1253" s="196" t="s">
        <v>932</v>
      </c>
      <c r="G1253" s="196" t="s">
        <v>120</v>
      </c>
      <c r="H1253" s="196" t="s">
        <v>480</v>
      </c>
      <c r="I1253" s="66"/>
      <c r="J1253" s="233">
        <f t="shared" ref="J1253" si="122">CHOOSE(year_selection, L1253,M1253,N1253,O1253,P1253,Q1253,R1253,S1253)</f>
        <v>666.9319092746731</v>
      </c>
      <c r="K1253" s="234"/>
      <c r="L1253" s="329"/>
      <c r="M1253" s="329"/>
      <c r="N1253" s="329"/>
      <c r="O1253" s="329">
        <v>666.9319092746731</v>
      </c>
      <c r="P1253" s="329">
        <v>666.9319092746731</v>
      </c>
      <c r="Q1253" s="329">
        <v>666.9319092746731</v>
      </c>
      <c r="R1253" s="329">
        <v>666.9319092746731</v>
      </c>
      <c r="S1253" s="329">
        <v>666.9319092746731</v>
      </c>
    </row>
    <row r="1254" spans="6:19" s="293" customFormat="1" x14ac:dyDescent="0.25">
      <c r="F1254" s="196" t="s">
        <v>933</v>
      </c>
      <c r="G1254" s="196" t="s">
        <v>120</v>
      </c>
      <c r="H1254" s="196" t="s">
        <v>480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25">
      <c r="F1255" s="196" t="s">
        <v>934</v>
      </c>
      <c r="G1255" s="196" t="s">
        <v>120</v>
      </c>
      <c r="H1255" s="196" t="s">
        <v>480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25">
      <c r="F1256" s="196" t="s">
        <v>935</v>
      </c>
      <c r="G1256" s="196" t="s">
        <v>120</v>
      </c>
      <c r="H1256" s="196" t="s">
        <v>480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25">
      <c r="F1257" s="196" t="s">
        <v>936</v>
      </c>
      <c r="G1257" s="196" t="s">
        <v>120</v>
      </c>
      <c r="H1257" s="196" t="s">
        <v>480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25">
      <c r="F1258" s="196" t="s">
        <v>937</v>
      </c>
      <c r="G1258" s="196" t="s">
        <v>120</v>
      </c>
      <c r="H1258" s="196" t="s">
        <v>480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25">
      <c r="F1259" s="196" t="s">
        <v>938</v>
      </c>
      <c r="G1259" s="196" t="s">
        <v>120</v>
      </c>
      <c r="H1259" s="196" t="s">
        <v>480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25">
      <c r="F1260" s="196" t="s">
        <v>939</v>
      </c>
      <c r="G1260" s="196" t="s">
        <v>120</v>
      </c>
      <c r="H1260" s="196" t="s">
        <v>480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25">
      <c r="F1261" s="196" t="s">
        <v>940</v>
      </c>
      <c r="G1261" s="196" t="s">
        <v>120</v>
      </c>
      <c r="H1261" s="196" t="s">
        <v>480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25">
      <c r="F1262" s="196" t="s">
        <v>941</v>
      </c>
      <c r="G1262" s="196" t="s">
        <v>120</v>
      </c>
      <c r="H1262" s="196" t="s">
        <v>480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25">
      <c r="F1263" s="196" t="s">
        <v>942</v>
      </c>
      <c r="G1263" s="196" t="s">
        <v>120</v>
      </c>
      <c r="H1263" s="196" t="s">
        <v>480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25">
      <c r="F1264" s="93" t="s">
        <v>943</v>
      </c>
      <c r="G1264" s="93" t="s">
        <v>120</v>
      </c>
      <c r="H1264" s="93" t="s">
        <v>480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2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2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25">
      <c r="F1267" s="91" t="s">
        <v>928</v>
      </c>
      <c r="G1267" s="91" t="s">
        <v>74</v>
      </c>
      <c r="H1267" s="91" t="s">
        <v>480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25">
      <c r="F1268" s="196" t="s">
        <v>929</v>
      </c>
      <c r="G1268" s="196" t="s">
        <v>74</v>
      </c>
      <c r="H1268" s="196" t="s">
        <v>480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25">
      <c r="F1269" s="196" t="s">
        <v>930</v>
      </c>
      <c r="G1269" s="196" t="s">
        <v>74</v>
      </c>
      <c r="H1269" s="196" t="s">
        <v>480</v>
      </c>
      <c r="I1269" s="66"/>
      <c r="J1269" s="233">
        <f t="shared" ref="J1269" si="123">CHOOSE(year_selection, L1269,M1269,N1269,O1269,P1269,Q1269,R1269,S1269)</f>
        <v>237</v>
      </c>
      <c r="K1269" s="234"/>
      <c r="L1269" s="329"/>
      <c r="M1269" s="329"/>
      <c r="N1269" s="329"/>
      <c r="O1269" s="329">
        <v>237</v>
      </c>
      <c r="P1269" s="329">
        <v>237</v>
      </c>
      <c r="Q1269" s="329">
        <v>237</v>
      </c>
      <c r="R1269" s="329">
        <v>237</v>
      </c>
      <c r="S1269" s="329">
        <v>237</v>
      </c>
    </row>
    <row r="1270" spans="5:19" s="293" customFormat="1" x14ac:dyDescent="0.25">
      <c r="F1270" s="196" t="s">
        <v>931</v>
      </c>
      <c r="G1270" s="196" t="s">
        <v>74</v>
      </c>
      <c r="H1270" s="196" t="s">
        <v>480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25">
      <c r="F1271" s="196" t="s">
        <v>932</v>
      </c>
      <c r="G1271" s="196" t="s">
        <v>74</v>
      </c>
      <c r="H1271" s="196" t="s">
        <v>480</v>
      </c>
      <c r="I1271" s="66"/>
      <c r="J1271" s="233">
        <f t="shared" ref="J1271" si="124">CHOOSE(year_selection, L1271,M1271,N1271,O1271,P1271,Q1271,R1271,S1271)</f>
        <v>4</v>
      </c>
      <c r="K1271" s="234"/>
      <c r="L1271" s="329"/>
      <c r="M1271" s="329"/>
      <c r="N1271" s="329"/>
      <c r="O1271" s="329">
        <v>4</v>
      </c>
      <c r="P1271" s="329">
        <v>4</v>
      </c>
      <c r="Q1271" s="329">
        <v>4</v>
      </c>
      <c r="R1271" s="329">
        <v>4</v>
      </c>
      <c r="S1271" s="329">
        <v>4</v>
      </c>
    </row>
    <row r="1272" spans="5:19" s="293" customFormat="1" x14ac:dyDescent="0.25">
      <c r="F1272" s="196" t="s">
        <v>933</v>
      </c>
      <c r="G1272" s="196" t="s">
        <v>74</v>
      </c>
      <c r="H1272" s="196" t="s">
        <v>480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25">
      <c r="F1273" s="196" t="s">
        <v>934</v>
      </c>
      <c r="G1273" s="196" t="s">
        <v>74</v>
      </c>
      <c r="H1273" s="196" t="s">
        <v>480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25">
      <c r="F1274" s="196" t="s">
        <v>935</v>
      </c>
      <c r="G1274" s="196" t="s">
        <v>74</v>
      </c>
      <c r="H1274" s="196" t="s">
        <v>480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25">
      <c r="F1275" s="196" t="s">
        <v>936</v>
      </c>
      <c r="G1275" s="196" t="s">
        <v>74</v>
      </c>
      <c r="H1275" s="196" t="s">
        <v>480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25">
      <c r="F1276" s="196" t="s">
        <v>937</v>
      </c>
      <c r="G1276" s="196" t="s">
        <v>74</v>
      </c>
      <c r="H1276" s="196" t="s">
        <v>480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25">
      <c r="F1277" s="196" t="s">
        <v>938</v>
      </c>
      <c r="G1277" s="196" t="s">
        <v>74</v>
      </c>
      <c r="H1277" s="196" t="s">
        <v>480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25">
      <c r="F1278" s="196" t="s">
        <v>939</v>
      </c>
      <c r="G1278" s="196" t="s">
        <v>74</v>
      </c>
      <c r="H1278" s="196" t="s">
        <v>480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25">
      <c r="F1279" s="196" t="s">
        <v>940</v>
      </c>
      <c r="G1279" s="196" t="s">
        <v>74</v>
      </c>
      <c r="H1279" s="196" t="s">
        <v>480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25">
      <c r="F1280" s="196" t="s">
        <v>941</v>
      </c>
      <c r="G1280" s="196" t="s">
        <v>74</v>
      </c>
      <c r="H1280" s="196" t="s">
        <v>480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25">
      <c r="F1281" s="196" t="s">
        <v>942</v>
      </c>
      <c r="G1281" s="196" t="s">
        <v>74</v>
      </c>
      <c r="H1281" s="196" t="s">
        <v>480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25">
      <c r="F1282" s="93" t="s">
        <v>943</v>
      </c>
      <c r="G1282" s="93" t="s">
        <v>74</v>
      </c>
      <c r="H1282" s="93" t="s">
        <v>480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2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2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25">
      <c r="F1285" s="91" t="s">
        <v>928</v>
      </c>
      <c r="G1285" s="91" t="s">
        <v>169</v>
      </c>
      <c r="H1285" s="91" t="s">
        <v>480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25">
      <c r="F1286" s="196" t="s">
        <v>929</v>
      </c>
      <c r="G1286" s="196" t="s">
        <v>169</v>
      </c>
      <c r="H1286" s="196" t="s">
        <v>480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25">
      <c r="F1287" s="196" t="s">
        <v>930</v>
      </c>
      <c r="G1287" s="196" t="s">
        <v>169</v>
      </c>
      <c r="H1287" s="196" t="s">
        <v>480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25">
      <c r="F1288" s="196" t="s">
        <v>931</v>
      </c>
      <c r="G1288" s="196" t="s">
        <v>169</v>
      </c>
      <c r="H1288" s="196" t="s">
        <v>480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25">
      <c r="F1289" s="196" t="s">
        <v>932</v>
      </c>
      <c r="G1289" s="196" t="s">
        <v>169</v>
      </c>
      <c r="H1289" s="196" t="s">
        <v>480</v>
      </c>
      <c r="I1289" s="66"/>
      <c r="J1289" s="233">
        <f t="shared" ref="J1289" si="125">CHOOSE(year_selection, L1289,M1289,N1289,O1289,P1289,Q1289,R1289,S1289)</f>
        <v>1225</v>
      </c>
      <c r="K1289" s="234"/>
      <c r="L1289" s="329"/>
      <c r="M1289" s="329"/>
      <c r="N1289" s="329"/>
      <c r="O1289" s="329">
        <v>1225</v>
      </c>
      <c r="P1289" s="329">
        <v>1225</v>
      </c>
      <c r="Q1289" s="329">
        <v>1225</v>
      </c>
      <c r="R1289" s="329">
        <v>1225</v>
      </c>
      <c r="S1289" s="329">
        <v>1225</v>
      </c>
    </row>
    <row r="1290" spans="5:19" s="293" customFormat="1" x14ac:dyDescent="0.25">
      <c r="F1290" s="196" t="s">
        <v>933</v>
      </c>
      <c r="G1290" s="196" t="s">
        <v>169</v>
      </c>
      <c r="H1290" s="196" t="s">
        <v>480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25">
      <c r="F1291" s="196" t="s">
        <v>934</v>
      </c>
      <c r="G1291" s="196" t="s">
        <v>169</v>
      </c>
      <c r="H1291" s="196" t="s">
        <v>480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25">
      <c r="F1292" s="196" t="s">
        <v>935</v>
      </c>
      <c r="G1292" s="196" t="s">
        <v>169</v>
      </c>
      <c r="H1292" s="196" t="s">
        <v>480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25">
      <c r="F1293" s="196" t="s">
        <v>936</v>
      </c>
      <c r="G1293" s="196" t="s">
        <v>169</v>
      </c>
      <c r="H1293" s="196" t="s">
        <v>480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25">
      <c r="F1294" s="196" t="s">
        <v>937</v>
      </c>
      <c r="G1294" s="196" t="s">
        <v>169</v>
      </c>
      <c r="H1294" s="196" t="s">
        <v>480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25">
      <c r="F1295" s="196" t="s">
        <v>938</v>
      </c>
      <c r="G1295" s="196" t="s">
        <v>169</v>
      </c>
      <c r="H1295" s="196" t="s">
        <v>480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25">
      <c r="F1296" s="196" t="s">
        <v>939</v>
      </c>
      <c r="G1296" s="196" t="s">
        <v>169</v>
      </c>
      <c r="H1296" s="196" t="s">
        <v>480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25">
      <c r="F1297" s="196" t="s">
        <v>940</v>
      </c>
      <c r="G1297" s="196" t="s">
        <v>169</v>
      </c>
      <c r="H1297" s="196" t="s">
        <v>480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25">
      <c r="F1298" s="196" t="s">
        <v>941</v>
      </c>
      <c r="G1298" s="196" t="s">
        <v>169</v>
      </c>
      <c r="H1298" s="196" t="s">
        <v>480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25">
      <c r="F1299" s="196" t="s">
        <v>942</v>
      </c>
      <c r="G1299" s="196" t="s">
        <v>169</v>
      </c>
      <c r="H1299" s="196" t="s">
        <v>480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25">
      <c r="F1300" s="93" t="s">
        <v>943</v>
      </c>
      <c r="G1300" s="93" t="s">
        <v>169</v>
      </c>
      <c r="H1300" s="93" t="s">
        <v>480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2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2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25">
      <c r="F1303" s="91" t="s">
        <v>928</v>
      </c>
      <c r="G1303" s="91" t="s">
        <v>169</v>
      </c>
      <c r="H1303" s="91" t="s">
        <v>480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25">
      <c r="F1304" s="196" t="s">
        <v>929</v>
      </c>
      <c r="G1304" s="196" t="s">
        <v>169</v>
      </c>
      <c r="H1304" s="196" t="s">
        <v>480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25">
      <c r="F1305" s="196" t="s">
        <v>930</v>
      </c>
      <c r="G1305" s="196" t="s">
        <v>169</v>
      </c>
      <c r="H1305" s="196" t="s">
        <v>480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25">
      <c r="F1306" s="196" t="s">
        <v>931</v>
      </c>
      <c r="G1306" s="196" t="s">
        <v>169</v>
      </c>
      <c r="H1306" s="196" t="s">
        <v>480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25">
      <c r="F1307" s="196" t="s">
        <v>932</v>
      </c>
      <c r="G1307" s="196" t="s">
        <v>169</v>
      </c>
      <c r="H1307" s="196" t="s">
        <v>480</v>
      </c>
      <c r="I1307" s="66"/>
      <c r="J1307" s="233">
        <f t="shared" ref="J1307" si="126">CHOOSE(year_selection, L1307,M1307,N1307,O1307,P1307,Q1307,R1307,S1307)</f>
        <v>0</v>
      </c>
      <c r="K1307" s="234"/>
      <c r="L1307" s="329"/>
      <c r="M1307" s="329"/>
      <c r="N1307" s="329"/>
      <c r="O1307" s="329">
        <v>0</v>
      </c>
      <c r="P1307" s="329">
        <v>0</v>
      </c>
      <c r="Q1307" s="329">
        <v>0</v>
      </c>
      <c r="R1307" s="329">
        <v>0</v>
      </c>
      <c r="S1307" s="329">
        <v>0</v>
      </c>
    </row>
    <row r="1308" spans="5:19" s="293" customFormat="1" x14ac:dyDescent="0.25">
      <c r="F1308" s="196" t="s">
        <v>933</v>
      </c>
      <c r="G1308" s="196" t="s">
        <v>169</v>
      </c>
      <c r="H1308" s="196" t="s">
        <v>480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25">
      <c r="F1309" s="196" t="s">
        <v>934</v>
      </c>
      <c r="G1309" s="196" t="s">
        <v>169</v>
      </c>
      <c r="H1309" s="196" t="s">
        <v>480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25">
      <c r="F1310" s="196" t="s">
        <v>935</v>
      </c>
      <c r="G1310" s="196" t="s">
        <v>169</v>
      </c>
      <c r="H1310" s="196" t="s">
        <v>480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25">
      <c r="F1311" s="196" t="s">
        <v>936</v>
      </c>
      <c r="G1311" s="196" t="s">
        <v>169</v>
      </c>
      <c r="H1311" s="196" t="s">
        <v>480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25">
      <c r="F1312" s="196" t="s">
        <v>937</v>
      </c>
      <c r="G1312" s="196" t="s">
        <v>169</v>
      </c>
      <c r="H1312" s="196" t="s">
        <v>480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25">
      <c r="F1313" s="196" t="s">
        <v>938</v>
      </c>
      <c r="G1313" s="196" t="s">
        <v>169</v>
      </c>
      <c r="H1313" s="196" t="s">
        <v>480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25">
      <c r="F1314" s="196" t="s">
        <v>939</v>
      </c>
      <c r="G1314" s="196" t="s">
        <v>169</v>
      </c>
      <c r="H1314" s="196" t="s">
        <v>480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25">
      <c r="F1315" s="196" t="s">
        <v>940</v>
      </c>
      <c r="G1315" s="196" t="s">
        <v>169</v>
      </c>
      <c r="H1315" s="196" t="s">
        <v>480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25">
      <c r="F1316" s="196" t="s">
        <v>941</v>
      </c>
      <c r="G1316" s="196" t="s">
        <v>169</v>
      </c>
      <c r="H1316" s="196" t="s">
        <v>480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25">
      <c r="F1317" s="196" t="s">
        <v>942</v>
      </c>
      <c r="G1317" s="196" t="s">
        <v>169</v>
      </c>
      <c r="H1317" s="196" t="s">
        <v>480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25">
      <c r="F1318" s="93" t="s">
        <v>943</v>
      </c>
      <c r="G1318" s="93" t="s">
        <v>169</v>
      </c>
      <c r="H1318" s="93" t="s">
        <v>480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2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2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25">
      <c r="F1321" s="91" t="s">
        <v>928</v>
      </c>
      <c r="G1321" s="91" t="s">
        <v>170</v>
      </c>
      <c r="H1321" s="91" t="s">
        <v>480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25">
      <c r="F1322" s="196" t="s">
        <v>929</v>
      </c>
      <c r="G1322" s="196" t="s">
        <v>170</v>
      </c>
      <c r="H1322" s="196" t="s">
        <v>480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25">
      <c r="F1323" s="196" t="s">
        <v>930</v>
      </c>
      <c r="G1323" s="196" t="s">
        <v>170</v>
      </c>
      <c r="H1323" s="196" t="s">
        <v>480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25">
      <c r="F1324" s="196" t="s">
        <v>931</v>
      </c>
      <c r="G1324" s="196" t="s">
        <v>170</v>
      </c>
      <c r="H1324" s="196" t="s">
        <v>480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25">
      <c r="F1325" s="196" t="s">
        <v>932</v>
      </c>
      <c r="G1325" s="196" t="s">
        <v>170</v>
      </c>
      <c r="H1325" s="196" t="s">
        <v>480</v>
      </c>
      <c r="I1325" s="66"/>
      <c r="J1325" s="233">
        <f t="shared" ref="J1325" si="127">CHOOSE(year_selection, L1325,M1325,N1325,O1325,P1325,Q1325,R1325,S1325)</f>
        <v>55.736422844827587</v>
      </c>
      <c r="K1325" s="234"/>
      <c r="L1325" s="329"/>
      <c r="M1325" s="329"/>
      <c r="N1325" s="329"/>
      <c r="O1325" s="329">
        <v>55.736422844827587</v>
      </c>
      <c r="P1325" s="329">
        <v>55.736422844827587</v>
      </c>
      <c r="Q1325" s="329">
        <v>55.736422844827587</v>
      </c>
      <c r="R1325" s="329">
        <v>55.736422844827587</v>
      </c>
      <c r="S1325" s="329">
        <v>55.736422844827587</v>
      </c>
    </row>
    <row r="1326" spans="5:19" s="293" customFormat="1" x14ac:dyDescent="0.25">
      <c r="F1326" s="196" t="s">
        <v>933</v>
      </c>
      <c r="G1326" s="196" t="s">
        <v>170</v>
      </c>
      <c r="H1326" s="196" t="s">
        <v>480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25">
      <c r="F1327" s="196" t="s">
        <v>934</v>
      </c>
      <c r="G1327" s="196" t="s">
        <v>170</v>
      </c>
      <c r="H1327" s="196" t="s">
        <v>480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25">
      <c r="F1328" s="196" t="s">
        <v>935</v>
      </c>
      <c r="G1328" s="196" t="s">
        <v>170</v>
      </c>
      <c r="H1328" s="196" t="s">
        <v>480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25">
      <c r="F1329" s="196" t="s">
        <v>936</v>
      </c>
      <c r="G1329" s="196" t="s">
        <v>170</v>
      </c>
      <c r="H1329" s="196" t="s">
        <v>480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25">
      <c r="F1330" s="196" t="s">
        <v>937</v>
      </c>
      <c r="G1330" s="196" t="s">
        <v>170</v>
      </c>
      <c r="H1330" s="196" t="s">
        <v>480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25">
      <c r="F1331" s="196" t="s">
        <v>938</v>
      </c>
      <c r="G1331" s="196" t="s">
        <v>170</v>
      </c>
      <c r="H1331" s="196" t="s">
        <v>480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25">
      <c r="F1332" s="196" t="s">
        <v>939</v>
      </c>
      <c r="G1332" s="196" t="s">
        <v>170</v>
      </c>
      <c r="H1332" s="196" t="s">
        <v>480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25">
      <c r="F1333" s="196" t="s">
        <v>940</v>
      </c>
      <c r="G1333" s="196" t="s">
        <v>170</v>
      </c>
      <c r="H1333" s="196" t="s">
        <v>480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25">
      <c r="F1334" s="196" t="s">
        <v>941</v>
      </c>
      <c r="G1334" s="196" t="s">
        <v>170</v>
      </c>
      <c r="H1334" s="196" t="s">
        <v>480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25">
      <c r="F1335" s="196" t="s">
        <v>942</v>
      </c>
      <c r="G1335" s="196" t="s">
        <v>170</v>
      </c>
      <c r="H1335" s="196" t="s">
        <v>480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25">
      <c r="F1336" s="93" t="s">
        <v>943</v>
      </c>
      <c r="G1336" s="93" t="s">
        <v>170</v>
      </c>
      <c r="H1336" s="93" t="s">
        <v>480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2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25">
      <c r="C1338" s="7" t="str">
        <f ca="1">INDEX('Version control'!$H$34:$H$60,MATCH($A$1,'Version control'!$F$34:$F$60,0),1)&amp;"-M: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2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2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692</v>
      </c>
    </row>
    <row r="1341" spans="3:21" x14ac:dyDescent="0.25">
      <c r="F1341" s="91" t="s">
        <v>928</v>
      </c>
      <c r="G1341" s="91" t="s">
        <v>120</v>
      </c>
      <c r="H1341" s="91" t="s">
        <v>481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25">
      <c r="F1342" s="196" t="s">
        <v>929</v>
      </c>
      <c r="G1342" s="196" t="s">
        <v>120</v>
      </c>
      <c r="H1342" s="196" t="s">
        <v>481</v>
      </c>
      <c r="I1342" s="66"/>
      <c r="J1342" s="233">
        <f t="shared" ref="J1342:J1355" si="128">CHOOSE(year_selection, L1342,M1342,N1342,O1342,P1342,Q1342,R1342,S1342)</f>
        <v>0</v>
      </c>
      <c r="K1342" s="234"/>
      <c r="L1342" s="329"/>
      <c r="M1342" s="329"/>
      <c r="N1342" s="329"/>
      <c r="O1342" s="329">
        <v>0</v>
      </c>
      <c r="P1342" s="329">
        <v>0</v>
      </c>
      <c r="Q1342" s="329">
        <v>0</v>
      </c>
      <c r="R1342" s="329">
        <v>0</v>
      </c>
      <c r="S1342" s="329">
        <v>0</v>
      </c>
    </row>
    <row r="1343" spans="3:21" x14ac:dyDescent="0.25">
      <c r="F1343" s="196" t="s">
        <v>930</v>
      </c>
      <c r="G1343" s="196" t="s">
        <v>120</v>
      </c>
      <c r="H1343" s="196" t="s">
        <v>481</v>
      </c>
      <c r="I1343" s="66"/>
      <c r="J1343" s="233">
        <f t="shared" si="128"/>
        <v>0</v>
      </c>
      <c r="K1343" s="234"/>
      <c r="L1343" s="329"/>
      <c r="M1343" s="329"/>
      <c r="N1343" s="329"/>
      <c r="O1343" s="329">
        <v>0</v>
      </c>
      <c r="P1343" s="329">
        <v>0</v>
      </c>
      <c r="Q1343" s="329">
        <v>0</v>
      </c>
      <c r="R1343" s="329">
        <v>0</v>
      </c>
      <c r="S1343" s="329">
        <v>0</v>
      </c>
    </row>
    <row r="1344" spans="3:21" x14ac:dyDescent="0.25">
      <c r="F1344" s="196" t="s">
        <v>931</v>
      </c>
      <c r="G1344" s="196" t="s">
        <v>120</v>
      </c>
      <c r="H1344" s="196" t="s">
        <v>481</v>
      </c>
      <c r="I1344" s="66"/>
      <c r="J1344" s="233">
        <f t="shared" si="128"/>
        <v>0</v>
      </c>
      <c r="K1344" s="234"/>
      <c r="L1344" s="329"/>
      <c r="M1344" s="329"/>
      <c r="N1344" s="329"/>
      <c r="O1344" s="329">
        <v>0</v>
      </c>
      <c r="P1344" s="329">
        <v>0</v>
      </c>
      <c r="Q1344" s="329">
        <v>0</v>
      </c>
      <c r="R1344" s="329">
        <v>0</v>
      </c>
      <c r="S1344" s="329">
        <v>0</v>
      </c>
    </row>
    <row r="1345" spans="5:19" x14ac:dyDescent="0.25">
      <c r="F1345" s="196" t="s">
        <v>932</v>
      </c>
      <c r="G1345" s="196" t="s">
        <v>120</v>
      </c>
      <c r="H1345" s="196" t="s">
        <v>481</v>
      </c>
      <c r="I1345" s="66"/>
      <c r="J1345" s="233">
        <f t="shared" si="128"/>
        <v>0</v>
      </c>
      <c r="K1345" s="234"/>
      <c r="L1345" s="329"/>
      <c r="M1345" s="329"/>
      <c r="N1345" s="329"/>
      <c r="O1345" s="329">
        <v>0</v>
      </c>
      <c r="P1345" s="329">
        <v>0</v>
      </c>
      <c r="Q1345" s="329">
        <v>0</v>
      </c>
      <c r="R1345" s="329">
        <v>0</v>
      </c>
      <c r="S1345" s="329">
        <v>0</v>
      </c>
    </row>
    <row r="1346" spans="5:19" x14ac:dyDescent="0.25">
      <c r="F1346" s="196" t="s">
        <v>933</v>
      </c>
      <c r="G1346" s="196" t="s">
        <v>120</v>
      </c>
      <c r="H1346" s="196" t="s">
        <v>481</v>
      </c>
      <c r="I1346" s="66"/>
      <c r="J1346" s="233">
        <f t="shared" si="128"/>
        <v>0</v>
      </c>
      <c r="K1346" s="234"/>
      <c r="L1346" s="329"/>
      <c r="M1346" s="329"/>
      <c r="N1346" s="329"/>
      <c r="O1346" s="329">
        <v>0</v>
      </c>
      <c r="P1346" s="329">
        <v>0</v>
      </c>
      <c r="Q1346" s="329">
        <v>0</v>
      </c>
      <c r="R1346" s="329">
        <v>0</v>
      </c>
      <c r="S1346" s="329">
        <v>0</v>
      </c>
    </row>
    <row r="1347" spans="5:19" x14ac:dyDescent="0.25">
      <c r="F1347" s="196" t="s">
        <v>934</v>
      </c>
      <c r="G1347" s="196" t="s">
        <v>120</v>
      </c>
      <c r="H1347" s="196" t="s">
        <v>481</v>
      </c>
      <c r="I1347" s="66"/>
      <c r="J1347" s="233">
        <f t="shared" si="128"/>
        <v>0</v>
      </c>
      <c r="K1347" s="234"/>
      <c r="L1347" s="329"/>
      <c r="M1347" s="329"/>
      <c r="N1347" s="329"/>
      <c r="O1347" s="329">
        <v>0</v>
      </c>
      <c r="P1347" s="329">
        <v>0</v>
      </c>
      <c r="Q1347" s="329">
        <v>0</v>
      </c>
      <c r="R1347" s="329">
        <v>0</v>
      </c>
      <c r="S1347" s="329">
        <v>0</v>
      </c>
    </row>
    <row r="1348" spans="5:19" x14ac:dyDescent="0.25">
      <c r="F1348" s="196" t="s">
        <v>935</v>
      </c>
      <c r="G1348" s="196" t="s">
        <v>120</v>
      </c>
      <c r="H1348" s="196" t="s">
        <v>481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25">
      <c r="F1349" s="196" t="s">
        <v>936</v>
      </c>
      <c r="G1349" s="196" t="s">
        <v>120</v>
      </c>
      <c r="H1349" s="196" t="s">
        <v>481</v>
      </c>
      <c r="I1349" s="66"/>
      <c r="J1349" s="233">
        <f t="shared" si="128"/>
        <v>0</v>
      </c>
      <c r="K1349" s="234"/>
      <c r="L1349" s="329"/>
      <c r="M1349" s="329"/>
      <c r="N1349" s="329"/>
      <c r="O1349" s="329">
        <v>0</v>
      </c>
      <c r="P1349" s="329">
        <v>0</v>
      </c>
      <c r="Q1349" s="329">
        <v>0</v>
      </c>
      <c r="R1349" s="329">
        <v>0</v>
      </c>
      <c r="S1349" s="329">
        <v>0</v>
      </c>
    </row>
    <row r="1350" spans="5:19" x14ac:dyDescent="0.25">
      <c r="F1350" s="196" t="s">
        <v>937</v>
      </c>
      <c r="G1350" s="196" t="s">
        <v>120</v>
      </c>
      <c r="H1350" s="196" t="s">
        <v>481</v>
      </c>
      <c r="I1350" s="66"/>
      <c r="J1350" s="233">
        <f t="shared" si="128"/>
        <v>0</v>
      </c>
      <c r="K1350" s="234"/>
      <c r="L1350" s="329"/>
      <c r="M1350" s="329"/>
      <c r="N1350" s="329"/>
      <c r="O1350" s="329">
        <v>0</v>
      </c>
      <c r="P1350" s="329">
        <v>0</v>
      </c>
      <c r="Q1350" s="329">
        <v>0</v>
      </c>
      <c r="R1350" s="329">
        <v>0</v>
      </c>
      <c r="S1350" s="329">
        <v>0</v>
      </c>
    </row>
    <row r="1351" spans="5:19" x14ac:dyDescent="0.25">
      <c r="F1351" s="196" t="s">
        <v>938</v>
      </c>
      <c r="G1351" s="196" t="s">
        <v>120</v>
      </c>
      <c r="H1351" s="196" t="s">
        <v>481</v>
      </c>
      <c r="I1351" s="66"/>
      <c r="J1351" s="233">
        <f t="shared" si="128"/>
        <v>50.298000000000002</v>
      </c>
      <c r="K1351" s="234"/>
      <c r="L1351" s="329"/>
      <c r="M1351" s="329"/>
      <c r="N1351" s="329"/>
      <c r="O1351" s="329">
        <v>50.298000000000002</v>
      </c>
      <c r="P1351" s="329">
        <v>50.298000000000002</v>
      </c>
      <c r="Q1351" s="329">
        <v>50.298000000000002</v>
      </c>
      <c r="R1351" s="329">
        <v>50.298000000000002</v>
      </c>
      <c r="S1351" s="329">
        <v>50.298000000000002</v>
      </c>
    </row>
    <row r="1352" spans="5:19" x14ac:dyDescent="0.25">
      <c r="F1352" s="196" t="s">
        <v>939</v>
      </c>
      <c r="G1352" s="196" t="s">
        <v>120</v>
      </c>
      <c r="H1352" s="196" t="s">
        <v>481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25">
      <c r="F1353" s="196" t="s">
        <v>940</v>
      </c>
      <c r="G1353" s="196" t="s">
        <v>120</v>
      </c>
      <c r="H1353" s="196" t="s">
        <v>481</v>
      </c>
      <c r="I1353" s="66"/>
      <c r="J1353" s="233">
        <f t="shared" si="128"/>
        <v>0</v>
      </c>
      <c r="K1353" s="234"/>
      <c r="L1353" s="329"/>
      <c r="M1353" s="329"/>
      <c r="N1353" s="329"/>
      <c r="O1353" s="329">
        <v>0</v>
      </c>
      <c r="P1353" s="329">
        <v>0</v>
      </c>
      <c r="Q1353" s="329">
        <v>0</v>
      </c>
      <c r="R1353" s="329">
        <v>0</v>
      </c>
      <c r="S1353" s="329">
        <v>0</v>
      </c>
    </row>
    <row r="1354" spans="5:19" x14ac:dyDescent="0.25">
      <c r="F1354" s="196" t="s">
        <v>941</v>
      </c>
      <c r="G1354" s="196" t="s">
        <v>120</v>
      </c>
      <c r="H1354" s="196" t="s">
        <v>481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25">
      <c r="F1355" s="196" t="s">
        <v>942</v>
      </c>
      <c r="G1355" s="196" t="s">
        <v>120</v>
      </c>
      <c r="H1355" s="196" t="s">
        <v>481</v>
      </c>
      <c r="I1355" s="66"/>
      <c r="J1355" s="233">
        <f t="shared" si="128"/>
        <v>0</v>
      </c>
      <c r="K1355" s="234"/>
      <c r="L1355" s="329"/>
      <c r="M1355" s="329"/>
      <c r="N1355" s="329"/>
      <c r="O1355" s="329">
        <v>0</v>
      </c>
      <c r="P1355" s="329">
        <v>0</v>
      </c>
      <c r="Q1355" s="329">
        <v>0</v>
      </c>
      <c r="R1355" s="329">
        <v>0</v>
      </c>
      <c r="S1355" s="329">
        <v>0</v>
      </c>
    </row>
    <row r="1356" spans="5:19" x14ac:dyDescent="0.25">
      <c r="F1356" s="93" t="s">
        <v>943</v>
      </c>
      <c r="G1356" s="93" t="s">
        <v>120</v>
      </c>
      <c r="H1356" s="93" t="s">
        <v>481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2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2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25">
      <c r="F1359" s="91" t="s">
        <v>928</v>
      </c>
      <c r="G1359" s="91" t="s">
        <v>120</v>
      </c>
      <c r="H1359" s="91" t="s">
        <v>481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25">
      <c r="F1360" s="196" t="s">
        <v>929</v>
      </c>
      <c r="G1360" s="196" t="s">
        <v>120</v>
      </c>
      <c r="H1360" s="196" t="s">
        <v>481</v>
      </c>
      <c r="I1360" s="66"/>
      <c r="J1360" s="233">
        <f t="shared" ref="J1360:J1365" si="129">CHOOSE(year_selection, L1360,M1360,N1360,O1360,P1360,Q1360,R1360,S1360)</f>
        <v>0</v>
      </c>
      <c r="K1360" s="234"/>
      <c r="L1360" s="329"/>
      <c r="M1360" s="329"/>
      <c r="N1360" s="329"/>
      <c r="O1360" s="329">
        <v>0</v>
      </c>
      <c r="P1360" s="329">
        <v>0</v>
      </c>
      <c r="Q1360" s="329">
        <v>0</v>
      </c>
      <c r="R1360" s="329">
        <v>0</v>
      </c>
      <c r="S1360" s="329">
        <v>0</v>
      </c>
    </row>
    <row r="1361" spans="5:19" x14ac:dyDescent="0.25">
      <c r="F1361" s="196" t="s">
        <v>930</v>
      </c>
      <c r="G1361" s="196" t="s">
        <v>120</v>
      </c>
      <c r="H1361" s="196" t="s">
        <v>481</v>
      </c>
      <c r="I1361" s="66"/>
      <c r="J1361" s="233">
        <f t="shared" si="129"/>
        <v>0</v>
      </c>
      <c r="K1361" s="234"/>
      <c r="L1361" s="329"/>
      <c r="M1361" s="329"/>
      <c r="N1361" s="329"/>
      <c r="O1361" s="329">
        <v>0</v>
      </c>
      <c r="P1361" s="329">
        <v>0</v>
      </c>
      <c r="Q1361" s="329">
        <v>0</v>
      </c>
      <c r="R1361" s="329">
        <v>0</v>
      </c>
      <c r="S1361" s="329">
        <v>0</v>
      </c>
    </row>
    <row r="1362" spans="5:19" x14ac:dyDescent="0.25">
      <c r="F1362" s="196" t="s">
        <v>931</v>
      </c>
      <c r="G1362" s="196" t="s">
        <v>120</v>
      </c>
      <c r="H1362" s="196" t="s">
        <v>481</v>
      </c>
      <c r="I1362" s="66"/>
      <c r="J1362" s="233">
        <f t="shared" si="129"/>
        <v>0</v>
      </c>
      <c r="K1362" s="234"/>
      <c r="L1362" s="329"/>
      <c r="M1362" s="329"/>
      <c r="N1362" s="329"/>
      <c r="O1362" s="329">
        <v>0</v>
      </c>
      <c r="P1362" s="329">
        <v>0</v>
      </c>
      <c r="Q1362" s="329">
        <v>0</v>
      </c>
      <c r="R1362" s="329">
        <v>0</v>
      </c>
      <c r="S1362" s="329">
        <v>0</v>
      </c>
    </row>
    <row r="1363" spans="5:19" x14ac:dyDescent="0.25">
      <c r="F1363" s="196" t="s">
        <v>932</v>
      </c>
      <c r="G1363" s="196" t="s">
        <v>120</v>
      </c>
      <c r="H1363" s="196" t="s">
        <v>481</v>
      </c>
      <c r="I1363" s="66"/>
      <c r="J1363" s="233">
        <f t="shared" si="129"/>
        <v>0</v>
      </c>
      <c r="K1363" s="234"/>
      <c r="L1363" s="329"/>
      <c r="M1363" s="329"/>
      <c r="N1363" s="329"/>
      <c r="O1363" s="329">
        <v>0</v>
      </c>
      <c r="P1363" s="329">
        <v>0</v>
      </c>
      <c r="Q1363" s="329">
        <v>0</v>
      </c>
      <c r="R1363" s="329">
        <v>0</v>
      </c>
      <c r="S1363" s="329">
        <v>0</v>
      </c>
    </row>
    <row r="1364" spans="5:19" x14ac:dyDescent="0.25">
      <c r="F1364" s="196" t="s">
        <v>933</v>
      </c>
      <c r="G1364" s="196" t="s">
        <v>120</v>
      </c>
      <c r="H1364" s="196" t="s">
        <v>481</v>
      </c>
      <c r="I1364" s="66"/>
      <c r="J1364" s="233">
        <f t="shared" si="129"/>
        <v>0</v>
      </c>
      <c r="K1364" s="234"/>
      <c r="L1364" s="329"/>
      <c r="M1364" s="329"/>
      <c r="N1364" s="329"/>
      <c r="O1364" s="329">
        <v>0</v>
      </c>
      <c r="P1364" s="329">
        <v>0</v>
      </c>
      <c r="Q1364" s="329">
        <v>0</v>
      </c>
      <c r="R1364" s="329">
        <v>0</v>
      </c>
      <c r="S1364" s="329">
        <v>0</v>
      </c>
    </row>
    <row r="1365" spans="5:19" x14ac:dyDescent="0.25">
      <c r="F1365" s="196" t="s">
        <v>934</v>
      </c>
      <c r="G1365" s="196" t="s">
        <v>120</v>
      </c>
      <c r="H1365" s="196" t="s">
        <v>481</v>
      </c>
      <c r="I1365" s="66"/>
      <c r="J1365" s="233">
        <f t="shared" si="129"/>
        <v>0</v>
      </c>
      <c r="K1365" s="234"/>
      <c r="L1365" s="329"/>
      <c r="M1365" s="329"/>
      <c r="N1365" s="329"/>
      <c r="O1365" s="329">
        <v>0</v>
      </c>
      <c r="P1365" s="329">
        <v>0</v>
      </c>
      <c r="Q1365" s="329">
        <v>0</v>
      </c>
      <c r="R1365" s="329">
        <v>0</v>
      </c>
      <c r="S1365" s="329">
        <v>0</v>
      </c>
    </row>
    <row r="1366" spans="5:19" x14ac:dyDescent="0.25">
      <c r="F1366" s="196" t="s">
        <v>935</v>
      </c>
      <c r="G1366" s="196" t="s">
        <v>120</v>
      </c>
      <c r="H1366" s="196" t="s">
        <v>481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25">
      <c r="F1367" s="196" t="s">
        <v>936</v>
      </c>
      <c r="G1367" s="196" t="s">
        <v>120</v>
      </c>
      <c r="H1367" s="196" t="s">
        <v>481</v>
      </c>
      <c r="I1367" s="66"/>
      <c r="J1367" s="233">
        <f t="shared" ref="J1367:J1369" si="130">CHOOSE(year_selection, L1367,M1367,N1367,O1367,P1367,Q1367,R1367,S1367)</f>
        <v>0</v>
      </c>
      <c r="K1367" s="234"/>
      <c r="L1367" s="329"/>
      <c r="M1367" s="329"/>
      <c r="N1367" s="329"/>
      <c r="O1367" s="329">
        <v>0</v>
      </c>
      <c r="P1367" s="329">
        <v>0</v>
      </c>
      <c r="Q1367" s="329">
        <v>0</v>
      </c>
      <c r="R1367" s="329">
        <v>0</v>
      </c>
      <c r="S1367" s="329">
        <v>0</v>
      </c>
    </row>
    <row r="1368" spans="5:19" x14ac:dyDescent="0.25">
      <c r="F1368" s="196" t="s">
        <v>937</v>
      </c>
      <c r="G1368" s="196" t="s">
        <v>120</v>
      </c>
      <c r="H1368" s="196" t="s">
        <v>481</v>
      </c>
      <c r="I1368" s="66"/>
      <c r="J1368" s="233">
        <f t="shared" si="130"/>
        <v>0</v>
      </c>
      <c r="K1368" s="234"/>
      <c r="L1368" s="329"/>
      <c r="M1368" s="329"/>
      <c r="N1368" s="329"/>
      <c r="O1368" s="329">
        <v>0</v>
      </c>
      <c r="P1368" s="329">
        <v>0</v>
      </c>
      <c r="Q1368" s="329">
        <v>0</v>
      </c>
      <c r="R1368" s="329">
        <v>0</v>
      </c>
      <c r="S1368" s="329">
        <v>0</v>
      </c>
    </row>
    <row r="1369" spans="5:19" x14ac:dyDescent="0.25">
      <c r="F1369" s="196" t="s">
        <v>938</v>
      </c>
      <c r="G1369" s="196" t="s">
        <v>120</v>
      </c>
      <c r="H1369" s="196" t="s">
        <v>481</v>
      </c>
      <c r="I1369" s="66"/>
      <c r="J1369" s="233">
        <f t="shared" si="130"/>
        <v>0</v>
      </c>
      <c r="K1369" s="234"/>
      <c r="L1369" s="329"/>
      <c r="M1369" s="329"/>
      <c r="N1369" s="329"/>
      <c r="O1369" s="329">
        <v>0</v>
      </c>
      <c r="P1369" s="329">
        <v>0</v>
      </c>
      <c r="Q1369" s="329">
        <v>0</v>
      </c>
      <c r="R1369" s="329">
        <v>0</v>
      </c>
      <c r="S1369" s="329">
        <v>0</v>
      </c>
    </row>
    <row r="1370" spans="5:19" x14ac:dyDescent="0.25">
      <c r="F1370" s="196" t="s">
        <v>939</v>
      </c>
      <c r="G1370" s="196" t="s">
        <v>120</v>
      </c>
      <c r="H1370" s="196" t="s">
        <v>481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25">
      <c r="F1371" s="196" t="s">
        <v>940</v>
      </c>
      <c r="G1371" s="196" t="s">
        <v>120</v>
      </c>
      <c r="H1371" s="196" t="s">
        <v>481</v>
      </c>
      <c r="I1371" s="66"/>
      <c r="J1371" s="233">
        <f t="shared" ref="J1371" si="131">CHOOSE(year_selection, L1371,M1371,N1371,O1371,P1371,Q1371,R1371,S1371)</f>
        <v>0</v>
      </c>
      <c r="K1371" s="234"/>
      <c r="L1371" s="329"/>
      <c r="M1371" s="329"/>
      <c r="N1371" s="329"/>
      <c r="O1371" s="329">
        <v>0</v>
      </c>
      <c r="P1371" s="329">
        <v>0</v>
      </c>
      <c r="Q1371" s="329">
        <v>0</v>
      </c>
      <c r="R1371" s="329">
        <v>0</v>
      </c>
      <c r="S1371" s="329">
        <v>0</v>
      </c>
    </row>
    <row r="1372" spans="5:19" x14ac:dyDescent="0.25">
      <c r="F1372" s="196" t="s">
        <v>941</v>
      </c>
      <c r="G1372" s="196" t="s">
        <v>120</v>
      </c>
      <c r="H1372" s="196" t="s">
        <v>481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25">
      <c r="F1373" s="196" t="s">
        <v>942</v>
      </c>
      <c r="G1373" s="196" t="s">
        <v>120</v>
      </c>
      <c r="H1373" s="196" t="s">
        <v>481</v>
      </c>
      <c r="I1373" s="66"/>
      <c r="J1373" s="233">
        <f t="shared" ref="J1373" si="132">CHOOSE(year_selection, L1373,M1373,N1373,O1373,P1373,Q1373,R1373,S1373)</f>
        <v>0</v>
      </c>
      <c r="K1373" s="234"/>
      <c r="L1373" s="329"/>
      <c r="M1373" s="329"/>
      <c r="N1373" s="329"/>
      <c r="O1373" s="329">
        <v>0</v>
      </c>
      <c r="P1373" s="329">
        <v>0</v>
      </c>
      <c r="Q1373" s="329">
        <v>0</v>
      </c>
      <c r="R1373" s="329">
        <v>0</v>
      </c>
      <c r="S1373" s="329">
        <v>0</v>
      </c>
    </row>
    <row r="1374" spans="5:19" x14ac:dyDescent="0.25">
      <c r="F1374" s="93" t="s">
        <v>943</v>
      </c>
      <c r="G1374" s="93" t="s">
        <v>120</v>
      </c>
      <c r="H1374" s="93" t="s">
        <v>481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2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2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25">
      <c r="F1377" s="91" t="s">
        <v>928</v>
      </c>
      <c r="G1377" s="91" t="s">
        <v>120</v>
      </c>
      <c r="H1377" s="91" t="s">
        <v>481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25">
      <c r="F1378" s="196" t="s">
        <v>929</v>
      </c>
      <c r="G1378" s="196" t="s">
        <v>120</v>
      </c>
      <c r="H1378" s="196" t="s">
        <v>481</v>
      </c>
      <c r="I1378" s="66"/>
      <c r="J1378" s="233">
        <f t="shared" ref="J1378:J1383" si="133">CHOOSE(year_selection, L1378,M1378,N1378,O1378,P1378,Q1378,R1378,S1378)</f>
        <v>0</v>
      </c>
      <c r="K1378" s="234"/>
      <c r="L1378" s="329"/>
      <c r="M1378" s="329"/>
      <c r="N1378" s="329"/>
      <c r="O1378" s="329">
        <v>0</v>
      </c>
      <c r="P1378" s="329">
        <v>0</v>
      </c>
      <c r="Q1378" s="329">
        <v>0</v>
      </c>
      <c r="R1378" s="329">
        <v>0</v>
      </c>
      <c r="S1378" s="329">
        <v>0</v>
      </c>
    </row>
    <row r="1379" spans="6:19" x14ac:dyDescent="0.25">
      <c r="F1379" s="196" t="s">
        <v>930</v>
      </c>
      <c r="G1379" s="196" t="s">
        <v>120</v>
      </c>
      <c r="H1379" s="196" t="s">
        <v>481</v>
      </c>
      <c r="I1379" s="66"/>
      <c r="J1379" s="233">
        <f t="shared" si="133"/>
        <v>0</v>
      </c>
      <c r="K1379" s="234"/>
      <c r="L1379" s="329"/>
      <c r="M1379" s="329"/>
      <c r="N1379" s="329"/>
      <c r="O1379" s="329">
        <v>0</v>
      </c>
      <c r="P1379" s="329">
        <v>0</v>
      </c>
      <c r="Q1379" s="329">
        <v>0</v>
      </c>
      <c r="R1379" s="329">
        <v>0</v>
      </c>
      <c r="S1379" s="329">
        <v>0</v>
      </c>
    </row>
    <row r="1380" spans="6:19" x14ac:dyDescent="0.25">
      <c r="F1380" s="196" t="s">
        <v>931</v>
      </c>
      <c r="G1380" s="196" t="s">
        <v>120</v>
      </c>
      <c r="H1380" s="196" t="s">
        <v>481</v>
      </c>
      <c r="I1380" s="66"/>
      <c r="J1380" s="233">
        <f t="shared" si="133"/>
        <v>0</v>
      </c>
      <c r="K1380" s="234"/>
      <c r="L1380" s="329"/>
      <c r="M1380" s="329"/>
      <c r="N1380" s="329"/>
      <c r="O1380" s="329">
        <v>0</v>
      </c>
      <c r="P1380" s="329">
        <v>0</v>
      </c>
      <c r="Q1380" s="329">
        <v>0</v>
      </c>
      <c r="R1380" s="329">
        <v>0</v>
      </c>
      <c r="S1380" s="329">
        <v>0</v>
      </c>
    </row>
    <row r="1381" spans="6:19" x14ac:dyDescent="0.25">
      <c r="F1381" s="196" t="s">
        <v>932</v>
      </c>
      <c r="G1381" s="196" t="s">
        <v>120</v>
      </c>
      <c r="H1381" s="196" t="s">
        <v>481</v>
      </c>
      <c r="I1381" s="66"/>
      <c r="J1381" s="233">
        <f t="shared" si="133"/>
        <v>0</v>
      </c>
      <c r="K1381" s="234"/>
      <c r="L1381" s="329"/>
      <c r="M1381" s="329"/>
      <c r="N1381" s="329"/>
      <c r="O1381" s="329">
        <v>0</v>
      </c>
      <c r="P1381" s="329">
        <v>0</v>
      </c>
      <c r="Q1381" s="329">
        <v>0</v>
      </c>
      <c r="R1381" s="329">
        <v>0</v>
      </c>
      <c r="S1381" s="329">
        <v>0</v>
      </c>
    </row>
    <row r="1382" spans="6:19" x14ac:dyDescent="0.25">
      <c r="F1382" s="196" t="s">
        <v>933</v>
      </c>
      <c r="G1382" s="196" t="s">
        <v>120</v>
      </c>
      <c r="H1382" s="196" t="s">
        <v>481</v>
      </c>
      <c r="I1382" s="66"/>
      <c r="J1382" s="233">
        <f t="shared" si="133"/>
        <v>0</v>
      </c>
      <c r="K1382" s="234"/>
      <c r="L1382" s="329"/>
      <c r="M1382" s="329"/>
      <c r="N1382" s="329"/>
      <c r="O1382" s="329">
        <v>0</v>
      </c>
      <c r="P1382" s="329">
        <v>0</v>
      </c>
      <c r="Q1382" s="329">
        <v>0</v>
      </c>
      <c r="R1382" s="329">
        <v>0</v>
      </c>
      <c r="S1382" s="329">
        <v>0</v>
      </c>
    </row>
    <row r="1383" spans="6:19" x14ac:dyDescent="0.25">
      <c r="F1383" s="196" t="s">
        <v>934</v>
      </c>
      <c r="G1383" s="196" t="s">
        <v>120</v>
      </c>
      <c r="H1383" s="196" t="s">
        <v>481</v>
      </c>
      <c r="I1383" s="66"/>
      <c r="J1383" s="233">
        <f t="shared" si="133"/>
        <v>0</v>
      </c>
      <c r="K1383" s="234"/>
      <c r="L1383" s="329"/>
      <c r="M1383" s="329"/>
      <c r="N1383" s="329"/>
      <c r="O1383" s="329">
        <v>0</v>
      </c>
      <c r="P1383" s="329">
        <v>0</v>
      </c>
      <c r="Q1383" s="329">
        <v>0</v>
      </c>
      <c r="R1383" s="329">
        <v>0</v>
      </c>
      <c r="S1383" s="329">
        <v>0</v>
      </c>
    </row>
    <row r="1384" spans="6:19" x14ac:dyDescent="0.25">
      <c r="F1384" s="196" t="s">
        <v>935</v>
      </c>
      <c r="G1384" s="196" t="s">
        <v>120</v>
      </c>
      <c r="H1384" s="196" t="s">
        <v>481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25">
      <c r="F1385" s="196" t="s">
        <v>936</v>
      </c>
      <c r="G1385" s="196" t="s">
        <v>120</v>
      </c>
      <c r="H1385" s="196" t="s">
        <v>481</v>
      </c>
      <c r="I1385" s="66"/>
      <c r="J1385" s="233">
        <f t="shared" ref="J1385:J1387" si="134">CHOOSE(year_selection, L1385,M1385,N1385,O1385,P1385,Q1385,R1385,S1385)</f>
        <v>0</v>
      </c>
      <c r="K1385" s="234"/>
      <c r="L1385" s="329"/>
      <c r="M1385" s="329"/>
      <c r="N1385" s="329"/>
      <c r="O1385" s="329">
        <v>0</v>
      </c>
      <c r="P1385" s="329">
        <v>0</v>
      </c>
      <c r="Q1385" s="329">
        <v>0</v>
      </c>
      <c r="R1385" s="329">
        <v>0</v>
      </c>
      <c r="S1385" s="329">
        <v>0</v>
      </c>
    </row>
    <row r="1386" spans="6:19" x14ac:dyDescent="0.25">
      <c r="F1386" s="196" t="s">
        <v>937</v>
      </c>
      <c r="G1386" s="196" t="s">
        <v>120</v>
      </c>
      <c r="H1386" s="196" t="s">
        <v>481</v>
      </c>
      <c r="I1386" s="66"/>
      <c r="J1386" s="233">
        <f t="shared" si="134"/>
        <v>0</v>
      </c>
      <c r="K1386" s="234"/>
      <c r="L1386" s="329"/>
      <c r="M1386" s="329"/>
      <c r="N1386" s="329"/>
      <c r="O1386" s="329">
        <v>0</v>
      </c>
      <c r="P1386" s="329">
        <v>0</v>
      </c>
      <c r="Q1386" s="329">
        <v>0</v>
      </c>
      <c r="R1386" s="329">
        <v>0</v>
      </c>
      <c r="S1386" s="329">
        <v>0</v>
      </c>
    </row>
    <row r="1387" spans="6:19" x14ac:dyDescent="0.25">
      <c r="F1387" s="196" t="s">
        <v>938</v>
      </c>
      <c r="G1387" s="196" t="s">
        <v>120</v>
      </c>
      <c r="H1387" s="196" t="s">
        <v>481</v>
      </c>
      <c r="I1387" s="66"/>
      <c r="J1387" s="233">
        <f t="shared" si="134"/>
        <v>0</v>
      </c>
      <c r="K1387" s="234"/>
      <c r="L1387" s="329"/>
      <c r="M1387" s="329"/>
      <c r="N1387" s="329"/>
      <c r="O1387" s="329">
        <v>0</v>
      </c>
      <c r="P1387" s="329">
        <v>0</v>
      </c>
      <c r="Q1387" s="329">
        <v>0</v>
      </c>
      <c r="R1387" s="329">
        <v>0</v>
      </c>
      <c r="S1387" s="329">
        <v>0</v>
      </c>
    </row>
    <row r="1388" spans="6:19" x14ac:dyDescent="0.25">
      <c r="F1388" s="196" t="s">
        <v>939</v>
      </c>
      <c r="G1388" s="196" t="s">
        <v>120</v>
      </c>
      <c r="H1388" s="196" t="s">
        <v>481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25">
      <c r="F1389" s="196" t="s">
        <v>940</v>
      </c>
      <c r="G1389" s="196" t="s">
        <v>120</v>
      </c>
      <c r="H1389" s="196" t="s">
        <v>481</v>
      </c>
      <c r="I1389" s="66"/>
      <c r="J1389" s="233">
        <f t="shared" ref="J1389" si="135">CHOOSE(year_selection, L1389,M1389,N1389,O1389,P1389,Q1389,R1389,S1389)</f>
        <v>0</v>
      </c>
      <c r="K1389" s="234"/>
      <c r="L1389" s="329"/>
      <c r="M1389" s="329"/>
      <c r="N1389" s="329"/>
      <c r="O1389" s="329">
        <v>0</v>
      </c>
      <c r="P1389" s="329">
        <v>0</v>
      </c>
      <c r="Q1389" s="329">
        <v>0</v>
      </c>
      <c r="R1389" s="329">
        <v>0</v>
      </c>
      <c r="S1389" s="329">
        <v>0</v>
      </c>
    </row>
    <row r="1390" spans="6:19" x14ac:dyDescent="0.25">
      <c r="F1390" s="196" t="s">
        <v>941</v>
      </c>
      <c r="G1390" s="196" t="s">
        <v>120</v>
      </c>
      <c r="H1390" s="196" t="s">
        <v>481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25">
      <c r="F1391" s="196" t="s">
        <v>942</v>
      </c>
      <c r="G1391" s="196" t="s">
        <v>120</v>
      </c>
      <c r="H1391" s="196" t="s">
        <v>481</v>
      </c>
      <c r="I1391" s="66"/>
      <c r="J1391" s="233">
        <f t="shared" ref="J1391" si="136">CHOOSE(year_selection, L1391,M1391,N1391,O1391,P1391,Q1391,R1391,S1391)</f>
        <v>0</v>
      </c>
      <c r="K1391" s="234"/>
      <c r="L1391" s="329"/>
      <c r="M1391" s="329"/>
      <c r="N1391" s="329"/>
      <c r="O1391" s="329">
        <v>0</v>
      </c>
      <c r="P1391" s="329">
        <v>0</v>
      </c>
      <c r="Q1391" s="329">
        <v>0</v>
      </c>
      <c r="R1391" s="329">
        <v>0</v>
      </c>
      <c r="S1391" s="329">
        <v>0</v>
      </c>
    </row>
    <row r="1392" spans="6:19" x14ac:dyDescent="0.25">
      <c r="F1392" s="93" t="s">
        <v>943</v>
      </c>
      <c r="G1392" s="93" t="s">
        <v>120</v>
      </c>
      <c r="H1392" s="93" t="s">
        <v>481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2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2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25">
      <c r="F1395" s="91" t="s">
        <v>928</v>
      </c>
      <c r="G1395" s="91" t="s">
        <v>74</v>
      </c>
      <c r="H1395" s="91" t="s">
        <v>481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25">
      <c r="F1396" s="196" t="s">
        <v>929</v>
      </c>
      <c r="G1396" s="196" t="s">
        <v>74</v>
      </c>
      <c r="H1396" s="196" t="s">
        <v>481</v>
      </c>
      <c r="I1396" s="66"/>
      <c r="J1396" s="233">
        <f t="shared" ref="J1396:J1401" si="137">CHOOSE(year_selection, L1396,M1396,N1396,O1396,P1396,Q1396,R1396,S1396)</f>
        <v>0</v>
      </c>
      <c r="K1396" s="234"/>
      <c r="L1396" s="329"/>
      <c r="M1396" s="329"/>
      <c r="N1396" s="329"/>
      <c r="O1396" s="329">
        <v>0</v>
      </c>
      <c r="P1396" s="329">
        <v>0</v>
      </c>
      <c r="Q1396" s="329">
        <v>0</v>
      </c>
      <c r="R1396" s="329">
        <v>0</v>
      </c>
      <c r="S1396" s="329">
        <v>0</v>
      </c>
    </row>
    <row r="1397" spans="5:19" x14ac:dyDescent="0.25">
      <c r="F1397" s="196" t="s">
        <v>930</v>
      </c>
      <c r="G1397" s="196" t="s">
        <v>74</v>
      </c>
      <c r="H1397" s="196" t="s">
        <v>481</v>
      </c>
      <c r="I1397" s="66"/>
      <c r="J1397" s="233">
        <f t="shared" si="137"/>
        <v>0</v>
      </c>
      <c r="K1397" s="234"/>
      <c r="L1397" s="329"/>
      <c r="M1397" s="329"/>
      <c r="N1397" s="329"/>
      <c r="O1397" s="329">
        <v>0</v>
      </c>
      <c r="P1397" s="329">
        <v>0</v>
      </c>
      <c r="Q1397" s="329">
        <v>0</v>
      </c>
      <c r="R1397" s="329">
        <v>0</v>
      </c>
      <c r="S1397" s="329">
        <v>0</v>
      </c>
    </row>
    <row r="1398" spans="5:19" x14ac:dyDescent="0.25">
      <c r="F1398" s="196" t="s">
        <v>931</v>
      </c>
      <c r="G1398" s="196" t="s">
        <v>74</v>
      </c>
      <c r="H1398" s="196" t="s">
        <v>481</v>
      </c>
      <c r="I1398" s="66"/>
      <c r="J1398" s="233">
        <f t="shared" si="137"/>
        <v>0</v>
      </c>
      <c r="K1398" s="234"/>
      <c r="L1398" s="329"/>
      <c r="M1398" s="329"/>
      <c r="N1398" s="329"/>
      <c r="O1398" s="329">
        <v>0</v>
      </c>
      <c r="P1398" s="329">
        <v>0</v>
      </c>
      <c r="Q1398" s="329">
        <v>0</v>
      </c>
      <c r="R1398" s="329">
        <v>0</v>
      </c>
      <c r="S1398" s="329">
        <v>0</v>
      </c>
    </row>
    <row r="1399" spans="5:19" x14ac:dyDescent="0.25">
      <c r="F1399" s="196" t="s">
        <v>932</v>
      </c>
      <c r="G1399" s="196" t="s">
        <v>74</v>
      </c>
      <c r="H1399" s="196" t="s">
        <v>481</v>
      </c>
      <c r="I1399" s="66"/>
      <c r="J1399" s="233">
        <f t="shared" si="137"/>
        <v>0</v>
      </c>
      <c r="K1399" s="234"/>
      <c r="L1399" s="329"/>
      <c r="M1399" s="329"/>
      <c r="N1399" s="329"/>
      <c r="O1399" s="329">
        <v>0</v>
      </c>
      <c r="P1399" s="329">
        <v>0</v>
      </c>
      <c r="Q1399" s="329">
        <v>0</v>
      </c>
      <c r="R1399" s="329">
        <v>0</v>
      </c>
      <c r="S1399" s="329">
        <v>0</v>
      </c>
    </row>
    <row r="1400" spans="5:19" x14ac:dyDescent="0.25">
      <c r="F1400" s="196" t="s">
        <v>933</v>
      </c>
      <c r="G1400" s="196" t="s">
        <v>74</v>
      </c>
      <c r="H1400" s="196" t="s">
        <v>481</v>
      </c>
      <c r="I1400" s="66"/>
      <c r="J1400" s="233">
        <f t="shared" si="137"/>
        <v>0</v>
      </c>
      <c r="K1400" s="234"/>
      <c r="L1400" s="329"/>
      <c r="M1400" s="329"/>
      <c r="N1400" s="329"/>
      <c r="O1400" s="329">
        <v>0</v>
      </c>
      <c r="P1400" s="329">
        <v>0</v>
      </c>
      <c r="Q1400" s="329">
        <v>0</v>
      </c>
      <c r="R1400" s="329">
        <v>0</v>
      </c>
      <c r="S1400" s="329">
        <v>0</v>
      </c>
    </row>
    <row r="1401" spans="5:19" x14ac:dyDescent="0.25">
      <c r="F1401" s="196" t="s">
        <v>934</v>
      </c>
      <c r="G1401" s="196" t="s">
        <v>74</v>
      </c>
      <c r="H1401" s="196" t="s">
        <v>481</v>
      </c>
      <c r="I1401" s="66"/>
      <c r="J1401" s="233">
        <f t="shared" si="137"/>
        <v>0</v>
      </c>
      <c r="K1401" s="234"/>
      <c r="L1401" s="329"/>
      <c r="M1401" s="329"/>
      <c r="N1401" s="329"/>
      <c r="O1401" s="329">
        <v>0</v>
      </c>
      <c r="P1401" s="329">
        <v>0</v>
      </c>
      <c r="Q1401" s="329">
        <v>0</v>
      </c>
      <c r="R1401" s="329">
        <v>0</v>
      </c>
      <c r="S1401" s="329">
        <v>0</v>
      </c>
    </row>
    <row r="1402" spans="5:19" x14ac:dyDescent="0.25">
      <c r="F1402" s="196" t="s">
        <v>935</v>
      </c>
      <c r="G1402" s="196" t="s">
        <v>74</v>
      </c>
      <c r="H1402" s="196" t="s">
        <v>481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25">
      <c r="F1403" s="196" t="s">
        <v>936</v>
      </c>
      <c r="G1403" s="196" t="s">
        <v>74</v>
      </c>
      <c r="H1403" s="196" t="s">
        <v>481</v>
      </c>
      <c r="I1403" s="66"/>
      <c r="J1403" s="233">
        <f t="shared" ref="J1403:J1405" si="138">CHOOSE(year_selection, L1403,M1403,N1403,O1403,P1403,Q1403,R1403,S1403)</f>
        <v>0</v>
      </c>
      <c r="K1403" s="234"/>
      <c r="L1403" s="329"/>
      <c r="M1403" s="329"/>
      <c r="N1403" s="329"/>
      <c r="O1403" s="329">
        <v>0</v>
      </c>
      <c r="P1403" s="329">
        <v>0</v>
      </c>
      <c r="Q1403" s="329">
        <v>0</v>
      </c>
      <c r="R1403" s="329">
        <v>0</v>
      </c>
      <c r="S1403" s="329">
        <v>0</v>
      </c>
    </row>
    <row r="1404" spans="5:19" x14ac:dyDescent="0.25">
      <c r="F1404" s="196" t="s">
        <v>937</v>
      </c>
      <c r="G1404" s="196" t="s">
        <v>74</v>
      </c>
      <c r="H1404" s="196" t="s">
        <v>481</v>
      </c>
      <c r="I1404" s="66"/>
      <c r="J1404" s="233">
        <f t="shared" si="138"/>
        <v>0</v>
      </c>
      <c r="K1404" s="234"/>
      <c r="L1404" s="329"/>
      <c r="M1404" s="329"/>
      <c r="N1404" s="329"/>
      <c r="O1404" s="329">
        <v>0</v>
      </c>
      <c r="P1404" s="329">
        <v>0</v>
      </c>
      <c r="Q1404" s="329">
        <v>0</v>
      </c>
      <c r="R1404" s="329">
        <v>0</v>
      </c>
      <c r="S1404" s="329">
        <v>0</v>
      </c>
    </row>
    <row r="1405" spans="5:19" x14ac:dyDescent="0.25">
      <c r="F1405" s="196" t="s">
        <v>938</v>
      </c>
      <c r="G1405" s="196" t="s">
        <v>74</v>
      </c>
      <c r="H1405" s="196" t="s">
        <v>481</v>
      </c>
      <c r="I1405" s="66"/>
      <c r="J1405" s="233">
        <f t="shared" si="138"/>
        <v>1</v>
      </c>
      <c r="K1405" s="234"/>
      <c r="L1405" s="329"/>
      <c r="M1405" s="329"/>
      <c r="N1405" s="329"/>
      <c r="O1405" s="329">
        <v>1</v>
      </c>
      <c r="P1405" s="329">
        <v>1</v>
      </c>
      <c r="Q1405" s="329">
        <v>1</v>
      </c>
      <c r="R1405" s="329">
        <v>1</v>
      </c>
      <c r="S1405" s="329">
        <v>1</v>
      </c>
    </row>
    <row r="1406" spans="5:19" x14ac:dyDescent="0.25">
      <c r="F1406" s="196" t="s">
        <v>939</v>
      </c>
      <c r="G1406" s="196" t="s">
        <v>74</v>
      </c>
      <c r="H1406" s="196" t="s">
        <v>481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25">
      <c r="F1407" s="196" t="s">
        <v>940</v>
      </c>
      <c r="G1407" s="196" t="s">
        <v>74</v>
      </c>
      <c r="H1407" s="196" t="s">
        <v>481</v>
      </c>
      <c r="I1407" s="66"/>
      <c r="J1407" s="233">
        <f t="shared" ref="J1407" si="139">CHOOSE(year_selection, L1407,M1407,N1407,O1407,P1407,Q1407,R1407,S1407)</f>
        <v>0</v>
      </c>
      <c r="K1407" s="234"/>
      <c r="L1407" s="329"/>
      <c r="M1407" s="329"/>
      <c r="N1407" s="329"/>
      <c r="O1407" s="329">
        <v>0</v>
      </c>
      <c r="P1407" s="329">
        <v>0</v>
      </c>
      <c r="Q1407" s="329">
        <v>0</v>
      </c>
      <c r="R1407" s="329">
        <v>0</v>
      </c>
      <c r="S1407" s="329">
        <v>0</v>
      </c>
    </row>
    <row r="1408" spans="5:19" x14ac:dyDescent="0.25">
      <c r="F1408" s="196" t="s">
        <v>941</v>
      </c>
      <c r="G1408" s="196" t="s">
        <v>74</v>
      </c>
      <c r="H1408" s="196" t="s">
        <v>481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25">
      <c r="F1409" s="196" t="s">
        <v>942</v>
      </c>
      <c r="G1409" s="196" t="s">
        <v>74</v>
      </c>
      <c r="H1409" s="196" t="s">
        <v>481</v>
      </c>
      <c r="I1409" s="66"/>
      <c r="J1409" s="233">
        <f t="shared" ref="J1409" si="140">CHOOSE(year_selection, L1409,M1409,N1409,O1409,P1409,Q1409,R1409,S1409)</f>
        <v>0</v>
      </c>
      <c r="K1409" s="234"/>
      <c r="L1409" s="329"/>
      <c r="M1409" s="329"/>
      <c r="N1409" s="329"/>
      <c r="O1409" s="329">
        <v>0</v>
      </c>
      <c r="P1409" s="329">
        <v>0</v>
      </c>
      <c r="Q1409" s="329">
        <v>0</v>
      </c>
      <c r="R1409" s="329">
        <v>0</v>
      </c>
      <c r="S1409" s="329">
        <v>0</v>
      </c>
    </row>
    <row r="1410" spans="5:19" x14ac:dyDescent="0.25">
      <c r="F1410" s="93" t="s">
        <v>943</v>
      </c>
      <c r="G1410" s="93" t="s">
        <v>74</v>
      </c>
      <c r="H1410" s="93" t="s">
        <v>481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2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2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25">
      <c r="F1413" s="91" t="s">
        <v>928</v>
      </c>
      <c r="G1413" s="91" t="s">
        <v>169</v>
      </c>
      <c r="H1413" s="91" t="s">
        <v>481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25">
      <c r="F1414" s="196" t="s">
        <v>929</v>
      </c>
      <c r="G1414" s="196" t="s">
        <v>169</v>
      </c>
      <c r="H1414" s="196" t="s">
        <v>481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25">
      <c r="F1415" s="196" t="s">
        <v>930</v>
      </c>
      <c r="G1415" s="196" t="s">
        <v>169</v>
      </c>
      <c r="H1415" s="196" t="s">
        <v>481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25">
      <c r="F1416" s="196" t="s">
        <v>931</v>
      </c>
      <c r="G1416" s="196" t="s">
        <v>169</v>
      </c>
      <c r="H1416" s="196" t="s">
        <v>481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25">
      <c r="F1417" s="196" t="s">
        <v>932</v>
      </c>
      <c r="G1417" s="196" t="s">
        <v>169</v>
      </c>
      <c r="H1417" s="196" t="s">
        <v>481</v>
      </c>
      <c r="I1417" s="66"/>
      <c r="J1417" s="233">
        <f t="shared" ref="J1417:J1419" si="141">CHOOSE(year_selection, L1417,M1417,N1417,O1417,P1417,Q1417,R1417,S1417)</f>
        <v>0</v>
      </c>
      <c r="K1417" s="234"/>
      <c r="L1417" s="329"/>
      <c r="M1417" s="329"/>
      <c r="N1417" s="329"/>
      <c r="O1417" s="329">
        <v>0</v>
      </c>
      <c r="P1417" s="329">
        <v>0</v>
      </c>
      <c r="Q1417" s="329">
        <v>0</v>
      </c>
      <c r="R1417" s="329">
        <v>0</v>
      </c>
      <c r="S1417" s="329">
        <v>0</v>
      </c>
    </row>
    <row r="1418" spans="5:19" x14ac:dyDescent="0.25">
      <c r="F1418" s="196" t="s">
        <v>933</v>
      </c>
      <c r="G1418" s="196" t="s">
        <v>169</v>
      </c>
      <c r="H1418" s="196" t="s">
        <v>481</v>
      </c>
      <c r="I1418" s="66"/>
      <c r="J1418" s="233">
        <f t="shared" si="141"/>
        <v>0</v>
      </c>
      <c r="K1418" s="234"/>
      <c r="L1418" s="329"/>
      <c r="M1418" s="329"/>
      <c r="N1418" s="329"/>
      <c r="O1418" s="329">
        <v>0</v>
      </c>
      <c r="P1418" s="329">
        <v>0</v>
      </c>
      <c r="Q1418" s="329">
        <v>0</v>
      </c>
      <c r="R1418" s="329">
        <v>0</v>
      </c>
      <c r="S1418" s="329">
        <v>0</v>
      </c>
    </row>
    <row r="1419" spans="5:19" x14ac:dyDescent="0.25">
      <c r="F1419" s="196" t="s">
        <v>934</v>
      </c>
      <c r="G1419" s="196" t="s">
        <v>169</v>
      </c>
      <c r="H1419" s="196" t="s">
        <v>481</v>
      </c>
      <c r="I1419" s="66"/>
      <c r="J1419" s="233">
        <f t="shared" si="141"/>
        <v>0</v>
      </c>
      <c r="K1419" s="234"/>
      <c r="L1419" s="329"/>
      <c r="M1419" s="329"/>
      <c r="N1419" s="329"/>
      <c r="O1419" s="329">
        <v>0</v>
      </c>
      <c r="P1419" s="329">
        <v>0</v>
      </c>
      <c r="Q1419" s="329">
        <v>0</v>
      </c>
      <c r="R1419" s="329">
        <v>0</v>
      </c>
      <c r="S1419" s="329">
        <v>0</v>
      </c>
    </row>
    <row r="1420" spans="5:19" x14ac:dyDescent="0.25">
      <c r="F1420" s="196" t="s">
        <v>935</v>
      </c>
      <c r="G1420" s="196" t="s">
        <v>169</v>
      </c>
      <c r="H1420" s="196" t="s">
        <v>481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25">
      <c r="F1421" s="196" t="s">
        <v>936</v>
      </c>
      <c r="G1421" s="196" t="s">
        <v>169</v>
      </c>
      <c r="H1421" s="196" t="s">
        <v>481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25">
      <c r="F1422" s="196" t="s">
        <v>937</v>
      </c>
      <c r="G1422" s="196" t="s">
        <v>169</v>
      </c>
      <c r="H1422" s="196" t="s">
        <v>481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25">
      <c r="F1423" s="196" t="s">
        <v>938</v>
      </c>
      <c r="G1423" s="196" t="s">
        <v>169</v>
      </c>
      <c r="H1423" s="196" t="s">
        <v>481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25">
      <c r="F1424" s="196" t="s">
        <v>939</v>
      </c>
      <c r="G1424" s="196" t="s">
        <v>169</v>
      </c>
      <c r="H1424" s="196" t="s">
        <v>481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25">
      <c r="F1425" s="196" t="s">
        <v>940</v>
      </c>
      <c r="G1425" s="196" t="s">
        <v>169</v>
      </c>
      <c r="H1425" s="196" t="s">
        <v>481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25">
      <c r="F1426" s="196" t="s">
        <v>941</v>
      </c>
      <c r="G1426" s="196" t="s">
        <v>169</v>
      </c>
      <c r="H1426" s="196" t="s">
        <v>481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25">
      <c r="F1427" s="196" t="s">
        <v>942</v>
      </c>
      <c r="G1427" s="196" t="s">
        <v>169</v>
      </c>
      <c r="H1427" s="196" t="s">
        <v>481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25">
      <c r="F1428" s="93" t="s">
        <v>943</v>
      </c>
      <c r="G1428" s="93" t="s">
        <v>169</v>
      </c>
      <c r="H1428" s="93" t="s">
        <v>481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2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2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25">
      <c r="F1431" s="91" t="s">
        <v>928</v>
      </c>
      <c r="G1431" s="91" t="s">
        <v>169</v>
      </c>
      <c r="H1431" s="91" t="s">
        <v>481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25">
      <c r="F1432" s="196" t="s">
        <v>929</v>
      </c>
      <c r="G1432" s="196" t="s">
        <v>169</v>
      </c>
      <c r="H1432" s="196" t="s">
        <v>481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25">
      <c r="F1433" s="196" t="s">
        <v>930</v>
      </c>
      <c r="G1433" s="196" t="s">
        <v>169</v>
      </c>
      <c r="H1433" s="196" t="s">
        <v>481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25">
      <c r="F1434" s="196" t="s">
        <v>931</v>
      </c>
      <c r="G1434" s="196" t="s">
        <v>169</v>
      </c>
      <c r="H1434" s="196" t="s">
        <v>481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25">
      <c r="F1435" s="196" t="s">
        <v>932</v>
      </c>
      <c r="G1435" s="196" t="s">
        <v>169</v>
      </c>
      <c r="H1435" s="196" t="s">
        <v>481</v>
      </c>
      <c r="I1435" s="66"/>
      <c r="J1435" s="233">
        <f t="shared" ref="J1435:J1437" si="142">CHOOSE(year_selection, L1435,M1435,N1435,O1435,P1435,Q1435,R1435,S1435)</f>
        <v>0</v>
      </c>
      <c r="K1435" s="234"/>
      <c r="L1435" s="329"/>
      <c r="M1435" s="329"/>
      <c r="N1435" s="329"/>
      <c r="O1435" s="329">
        <v>0</v>
      </c>
      <c r="P1435" s="329">
        <v>0</v>
      </c>
      <c r="Q1435" s="329">
        <v>0</v>
      </c>
      <c r="R1435" s="329">
        <v>0</v>
      </c>
      <c r="S1435" s="329">
        <v>0</v>
      </c>
    </row>
    <row r="1436" spans="5:19" x14ac:dyDescent="0.25">
      <c r="F1436" s="196" t="s">
        <v>933</v>
      </c>
      <c r="G1436" s="196" t="s">
        <v>169</v>
      </c>
      <c r="H1436" s="196" t="s">
        <v>481</v>
      </c>
      <c r="I1436" s="66"/>
      <c r="J1436" s="233">
        <f t="shared" si="142"/>
        <v>0</v>
      </c>
      <c r="K1436" s="234"/>
      <c r="L1436" s="329"/>
      <c r="M1436" s="329"/>
      <c r="N1436" s="329"/>
      <c r="O1436" s="329">
        <v>0</v>
      </c>
      <c r="P1436" s="329">
        <v>0</v>
      </c>
      <c r="Q1436" s="329">
        <v>0</v>
      </c>
      <c r="R1436" s="329">
        <v>0</v>
      </c>
      <c r="S1436" s="329">
        <v>0</v>
      </c>
    </row>
    <row r="1437" spans="5:19" x14ac:dyDescent="0.25">
      <c r="F1437" s="196" t="s">
        <v>934</v>
      </c>
      <c r="G1437" s="196" t="s">
        <v>169</v>
      </c>
      <c r="H1437" s="196" t="s">
        <v>481</v>
      </c>
      <c r="I1437" s="66"/>
      <c r="J1437" s="233">
        <f t="shared" si="142"/>
        <v>0</v>
      </c>
      <c r="K1437" s="234"/>
      <c r="L1437" s="329"/>
      <c r="M1437" s="329"/>
      <c r="N1437" s="329"/>
      <c r="O1437" s="329">
        <v>0</v>
      </c>
      <c r="P1437" s="329">
        <v>0</v>
      </c>
      <c r="Q1437" s="329">
        <v>0</v>
      </c>
      <c r="R1437" s="329">
        <v>0</v>
      </c>
      <c r="S1437" s="329">
        <v>0</v>
      </c>
    </row>
    <row r="1438" spans="5:19" x14ac:dyDescent="0.25">
      <c r="F1438" s="196" t="s">
        <v>935</v>
      </c>
      <c r="G1438" s="196" t="s">
        <v>169</v>
      </c>
      <c r="H1438" s="196" t="s">
        <v>481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25">
      <c r="F1439" s="196" t="s">
        <v>936</v>
      </c>
      <c r="G1439" s="196" t="s">
        <v>169</v>
      </c>
      <c r="H1439" s="196" t="s">
        <v>481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25">
      <c r="F1440" s="196" t="s">
        <v>937</v>
      </c>
      <c r="G1440" s="196" t="s">
        <v>169</v>
      </c>
      <c r="H1440" s="196" t="s">
        <v>481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25">
      <c r="F1441" s="196" t="s">
        <v>938</v>
      </c>
      <c r="G1441" s="196" t="s">
        <v>169</v>
      </c>
      <c r="H1441" s="196" t="s">
        <v>481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25">
      <c r="F1442" s="196" t="s">
        <v>939</v>
      </c>
      <c r="G1442" s="196" t="s">
        <v>169</v>
      </c>
      <c r="H1442" s="196" t="s">
        <v>481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25">
      <c r="F1443" s="196" t="s">
        <v>940</v>
      </c>
      <c r="G1443" s="196" t="s">
        <v>169</v>
      </c>
      <c r="H1443" s="196" t="s">
        <v>481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25">
      <c r="F1444" s="196" t="s">
        <v>941</v>
      </c>
      <c r="G1444" s="196" t="s">
        <v>169</v>
      </c>
      <c r="H1444" s="196" t="s">
        <v>481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25">
      <c r="F1445" s="196" t="s">
        <v>942</v>
      </c>
      <c r="G1445" s="196" t="s">
        <v>169</v>
      </c>
      <c r="H1445" s="196" t="s">
        <v>481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25">
      <c r="F1446" s="93" t="s">
        <v>943</v>
      </c>
      <c r="G1446" s="93" t="s">
        <v>169</v>
      </c>
      <c r="H1446" s="93" t="s">
        <v>481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2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2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25">
      <c r="F1449" s="91" t="s">
        <v>928</v>
      </c>
      <c r="G1449" s="91" t="s">
        <v>170</v>
      </c>
      <c r="H1449" s="91" t="s">
        <v>481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25">
      <c r="F1450" s="196" t="s">
        <v>929</v>
      </c>
      <c r="G1450" s="196" t="s">
        <v>170</v>
      </c>
      <c r="H1450" s="196" t="s">
        <v>481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25">
      <c r="F1451" s="196" t="s">
        <v>930</v>
      </c>
      <c r="G1451" s="196" t="s">
        <v>170</v>
      </c>
      <c r="H1451" s="196" t="s">
        <v>481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25">
      <c r="F1452" s="196" t="s">
        <v>931</v>
      </c>
      <c r="G1452" s="196" t="s">
        <v>170</v>
      </c>
      <c r="H1452" s="196" t="s">
        <v>481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25">
      <c r="F1453" s="196" t="s">
        <v>932</v>
      </c>
      <c r="G1453" s="196" t="s">
        <v>170</v>
      </c>
      <c r="H1453" s="196" t="s">
        <v>481</v>
      </c>
      <c r="I1453" s="66"/>
      <c r="J1453" s="233">
        <f t="shared" ref="J1453:J1455" si="143">CHOOSE(year_selection, L1453,M1453,N1453,O1453,P1453,Q1453,R1453,S1453)</f>
        <v>0</v>
      </c>
      <c r="K1453" s="234"/>
      <c r="L1453" s="329"/>
      <c r="M1453" s="329"/>
      <c r="N1453" s="329"/>
      <c r="O1453" s="329">
        <v>0</v>
      </c>
      <c r="P1453" s="329">
        <v>0</v>
      </c>
      <c r="Q1453" s="329">
        <v>0</v>
      </c>
      <c r="R1453" s="329">
        <v>0</v>
      </c>
      <c r="S1453" s="329">
        <v>0</v>
      </c>
    </row>
    <row r="1454" spans="5:19" x14ac:dyDescent="0.25">
      <c r="F1454" s="196" t="s">
        <v>933</v>
      </c>
      <c r="G1454" s="196" t="s">
        <v>170</v>
      </c>
      <c r="H1454" s="196" t="s">
        <v>481</v>
      </c>
      <c r="I1454" s="66"/>
      <c r="J1454" s="233">
        <f t="shared" si="143"/>
        <v>0</v>
      </c>
      <c r="K1454" s="234"/>
      <c r="L1454" s="329"/>
      <c r="M1454" s="329"/>
      <c r="N1454" s="329"/>
      <c r="O1454" s="329">
        <v>0</v>
      </c>
      <c r="P1454" s="329">
        <v>0</v>
      </c>
      <c r="Q1454" s="329">
        <v>0</v>
      </c>
      <c r="R1454" s="329">
        <v>0</v>
      </c>
      <c r="S1454" s="329">
        <v>0</v>
      </c>
    </row>
    <row r="1455" spans="5:19" x14ac:dyDescent="0.25">
      <c r="F1455" s="196" t="s">
        <v>934</v>
      </c>
      <c r="G1455" s="196" t="s">
        <v>170</v>
      </c>
      <c r="H1455" s="196" t="s">
        <v>481</v>
      </c>
      <c r="I1455" s="66"/>
      <c r="J1455" s="233">
        <f t="shared" si="143"/>
        <v>0</v>
      </c>
      <c r="K1455" s="234"/>
      <c r="L1455" s="329"/>
      <c r="M1455" s="329"/>
      <c r="N1455" s="329"/>
      <c r="O1455" s="329">
        <v>0</v>
      </c>
      <c r="P1455" s="329">
        <v>0</v>
      </c>
      <c r="Q1455" s="329">
        <v>0</v>
      </c>
      <c r="R1455" s="329">
        <v>0</v>
      </c>
      <c r="S1455" s="329">
        <v>0</v>
      </c>
    </row>
    <row r="1456" spans="5:19" x14ac:dyDescent="0.25">
      <c r="F1456" s="196" t="s">
        <v>935</v>
      </c>
      <c r="G1456" s="196" t="s">
        <v>170</v>
      </c>
      <c r="H1456" s="196" t="s">
        <v>481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25">
      <c r="F1457" s="196" t="s">
        <v>936</v>
      </c>
      <c r="G1457" s="196" t="s">
        <v>170</v>
      </c>
      <c r="H1457" s="196" t="s">
        <v>481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25">
      <c r="F1458" s="196" t="s">
        <v>937</v>
      </c>
      <c r="G1458" s="196" t="s">
        <v>170</v>
      </c>
      <c r="H1458" s="196" t="s">
        <v>481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25">
      <c r="F1459" s="196" t="s">
        <v>938</v>
      </c>
      <c r="G1459" s="196" t="s">
        <v>170</v>
      </c>
      <c r="H1459" s="196" t="s">
        <v>481</v>
      </c>
      <c r="I1459" s="66"/>
      <c r="J1459" s="233">
        <f t="shared" ref="J1459" si="144">CHOOSE(year_selection, L1459,M1459,N1459,O1459,P1459,Q1459,R1459,S1459)</f>
        <v>36.967100000000002</v>
      </c>
      <c r="K1459" s="234"/>
      <c r="L1459" s="329"/>
      <c r="M1459" s="329"/>
      <c r="N1459" s="329"/>
      <c r="O1459" s="329">
        <v>36.967100000000002</v>
      </c>
      <c r="P1459" s="329">
        <v>36.967100000000002</v>
      </c>
      <c r="Q1459" s="329">
        <v>36.967100000000002</v>
      </c>
      <c r="R1459" s="329">
        <v>36.967100000000002</v>
      </c>
      <c r="S1459" s="329">
        <v>36.967100000000002</v>
      </c>
    </row>
    <row r="1460" spans="3:21" x14ac:dyDescent="0.25">
      <c r="F1460" s="196" t="s">
        <v>939</v>
      </c>
      <c r="G1460" s="196" t="s">
        <v>170</v>
      </c>
      <c r="H1460" s="196" t="s">
        <v>481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25">
      <c r="F1461" s="196" t="s">
        <v>940</v>
      </c>
      <c r="G1461" s="196" t="s">
        <v>170</v>
      </c>
      <c r="H1461" s="196" t="s">
        <v>481</v>
      </c>
      <c r="I1461" s="66"/>
      <c r="J1461" s="233">
        <f t="shared" ref="J1461" si="145">CHOOSE(year_selection, L1461,M1461,N1461,O1461,P1461,Q1461,R1461,S1461)</f>
        <v>0</v>
      </c>
      <c r="K1461" s="234"/>
      <c r="L1461" s="329"/>
      <c r="M1461" s="329"/>
      <c r="N1461" s="329"/>
      <c r="O1461" s="329">
        <v>0</v>
      </c>
      <c r="P1461" s="329">
        <v>0</v>
      </c>
      <c r="Q1461" s="329">
        <v>0</v>
      </c>
      <c r="R1461" s="329">
        <v>0</v>
      </c>
      <c r="S1461" s="329">
        <v>0</v>
      </c>
    </row>
    <row r="1462" spans="3:21" x14ac:dyDescent="0.25">
      <c r="F1462" s="196" t="s">
        <v>941</v>
      </c>
      <c r="G1462" s="196" t="s">
        <v>170</v>
      </c>
      <c r="H1462" s="196" t="s">
        <v>481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25">
      <c r="F1463" s="196" t="s">
        <v>942</v>
      </c>
      <c r="G1463" s="196" t="s">
        <v>170</v>
      </c>
      <c r="H1463" s="196" t="s">
        <v>481</v>
      </c>
      <c r="I1463" s="66"/>
      <c r="J1463" s="233">
        <f t="shared" ref="J1463" si="146">CHOOSE(year_selection, L1463,M1463,N1463,O1463,P1463,Q1463,R1463,S1463)</f>
        <v>0</v>
      </c>
      <c r="K1463" s="234"/>
      <c r="L1463" s="329"/>
      <c r="M1463" s="329"/>
      <c r="N1463" s="329"/>
      <c r="O1463" s="329">
        <v>0</v>
      </c>
      <c r="P1463" s="329">
        <v>0</v>
      </c>
      <c r="Q1463" s="329">
        <v>0</v>
      </c>
      <c r="R1463" s="329">
        <v>0</v>
      </c>
      <c r="S1463" s="329">
        <v>0</v>
      </c>
    </row>
    <row r="1464" spans="3:21" x14ac:dyDescent="0.25">
      <c r="F1464" s="93" t="s">
        <v>943</v>
      </c>
      <c r="G1464" s="93" t="s">
        <v>170</v>
      </c>
      <c r="H1464" s="93" t="s">
        <v>481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2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25">
      <c r="C1466" s="7" t="str">
        <f ca="1">INDEX('Version control'!$H$34:$H$60,MATCH($A$1,'Version control'!$F$34:$F$60,0),1)&amp;"-N: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25">
      <c r="D1467" s="96"/>
      <c r="I1467" s="111"/>
    </row>
    <row r="1468" spans="3:21" s="293" customFormat="1" x14ac:dyDescent="0.2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692</v>
      </c>
    </row>
    <row r="1469" spans="3:21" s="293" customFormat="1" x14ac:dyDescent="0.25">
      <c r="F1469" s="91" t="s">
        <v>928</v>
      </c>
      <c r="G1469" s="91" t="s">
        <v>120</v>
      </c>
      <c r="H1469" s="91" t="s">
        <v>481</v>
      </c>
      <c r="I1469" s="112"/>
      <c r="J1469" s="231">
        <f t="shared" ref="J1469:J1476" si="147">CHOOSE(year_selection, L1469,M1469,N1469,O1469,P1469,Q1469,R1469,S1469)</f>
        <v>11575.563194024691</v>
      </c>
      <c r="K1469" s="232"/>
      <c r="L1469" s="328"/>
      <c r="M1469" s="328"/>
      <c r="N1469" s="328"/>
      <c r="O1469" s="328">
        <v>11575.563194024691</v>
      </c>
      <c r="P1469" s="328">
        <v>11575.563194024691</v>
      </c>
      <c r="Q1469" s="328">
        <v>11575.563194024691</v>
      </c>
      <c r="R1469" s="328">
        <v>11575.563194024691</v>
      </c>
      <c r="S1469" s="328">
        <v>11575.563194024691</v>
      </c>
    </row>
    <row r="1470" spans="3:21" s="293" customFormat="1" x14ac:dyDescent="0.25">
      <c r="F1470" s="196" t="s">
        <v>929</v>
      </c>
      <c r="G1470" s="196" t="s">
        <v>120</v>
      </c>
      <c r="H1470" s="196" t="s">
        <v>481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25">
      <c r="F1471" s="196" t="s">
        <v>930</v>
      </c>
      <c r="G1471" s="196" t="s">
        <v>120</v>
      </c>
      <c r="H1471" s="196" t="s">
        <v>481</v>
      </c>
      <c r="I1471" s="66"/>
      <c r="J1471" s="233">
        <f t="shared" si="147"/>
        <v>28.385778382189841</v>
      </c>
      <c r="K1471" s="234"/>
      <c r="L1471" s="329"/>
      <c r="M1471" s="329"/>
      <c r="N1471" s="329"/>
      <c r="O1471" s="329">
        <v>28.385778382189841</v>
      </c>
      <c r="P1471" s="329">
        <v>28.385778382189841</v>
      </c>
      <c r="Q1471" s="329">
        <v>28.385778382189841</v>
      </c>
      <c r="R1471" s="329">
        <v>28.385778382189841</v>
      </c>
      <c r="S1471" s="329">
        <v>28.385778382189841</v>
      </c>
    </row>
    <row r="1472" spans="3:21" s="293" customFormat="1" x14ac:dyDescent="0.25">
      <c r="F1472" s="196" t="s">
        <v>931</v>
      </c>
      <c r="G1472" s="196" t="s">
        <v>120</v>
      </c>
      <c r="H1472" s="196" t="s">
        <v>481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25">
      <c r="F1473" s="196" t="s">
        <v>932</v>
      </c>
      <c r="G1473" s="196" t="s">
        <v>120</v>
      </c>
      <c r="H1473" s="196" t="s">
        <v>481</v>
      </c>
      <c r="I1473" s="66"/>
      <c r="J1473" s="233">
        <f t="shared" si="147"/>
        <v>4024.2458965719497</v>
      </c>
      <c r="K1473" s="234"/>
      <c r="L1473" s="329"/>
      <c r="M1473" s="329"/>
      <c r="N1473" s="329"/>
      <c r="O1473" s="329">
        <v>4024.2458965719497</v>
      </c>
      <c r="P1473" s="329">
        <v>4024.2458965719497</v>
      </c>
      <c r="Q1473" s="329">
        <v>4024.2458965719497</v>
      </c>
      <c r="R1473" s="329">
        <v>4024.2458965719497</v>
      </c>
      <c r="S1473" s="329">
        <v>4024.2458965719497</v>
      </c>
    </row>
    <row r="1474" spans="5:19" s="293" customFormat="1" x14ac:dyDescent="0.25">
      <c r="F1474" s="196" t="s">
        <v>933</v>
      </c>
      <c r="G1474" s="196" t="s">
        <v>120</v>
      </c>
      <c r="H1474" s="196" t="s">
        <v>481</v>
      </c>
      <c r="I1474" s="66"/>
      <c r="J1474" s="233">
        <f t="shared" si="147"/>
        <v>102.09339619095061</v>
      </c>
      <c r="K1474" s="234"/>
      <c r="L1474" s="329"/>
      <c r="M1474" s="329"/>
      <c r="N1474" s="329"/>
      <c r="O1474" s="329">
        <v>102.09339619095061</v>
      </c>
      <c r="P1474" s="329">
        <v>102.09339619095061</v>
      </c>
      <c r="Q1474" s="329">
        <v>102.09339619095061</v>
      </c>
      <c r="R1474" s="329">
        <v>102.09339619095061</v>
      </c>
      <c r="S1474" s="329">
        <v>102.09339619095061</v>
      </c>
    </row>
    <row r="1475" spans="5:19" s="293" customFormat="1" x14ac:dyDescent="0.25">
      <c r="F1475" s="196" t="s">
        <v>934</v>
      </c>
      <c r="G1475" s="196" t="s">
        <v>120</v>
      </c>
      <c r="H1475" s="196" t="s">
        <v>481</v>
      </c>
      <c r="I1475" s="66"/>
      <c r="J1475" s="233">
        <f t="shared" si="147"/>
        <v>160.39226894387983</v>
      </c>
      <c r="K1475" s="234"/>
      <c r="L1475" s="329"/>
      <c r="M1475" s="329"/>
      <c r="N1475" s="329"/>
      <c r="O1475" s="329">
        <v>160.39226894387983</v>
      </c>
      <c r="P1475" s="329">
        <v>160.39226894387983</v>
      </c>
      <c r="Q1475" s="329">
        <v>160.39226894387983</v>
      </c>
      <c r="R1475" s="329">
        <v>160.39226894387983</v>
      </c>
      <c r="S1475" s="329">
        <v>160.39226894387983</v>
      </c>
    </row>
    <row r="1476" spans="5:19" s="293" customFormat="1" x14ac:dyDescent="0.25">
      <c r="F1476" s="196" t="s">
        <v>935</v>
      </c>
      <c r="G1476" s="196" t="s">
        <v>120</v>
      </c>
      <c r="H1476" s="196" t="s">
        <v>481</v>
      </c>
      <c r="I1476" s="66"/>
      <c r="J1476" s="233">
        <f t="shared" si="147"/>
        <v>8.6509294967914947</v>
      </c>
      <c r="K1476" s="234"/>
      <c r="L1476" s="329"/>
      <c r="M1476" s="329"/>
      <c r="N1476" s="329"/>
      <c r="O1476" s="329">
        <v>8.6509294967914947</v>
      </c>
      <c r="P1476" s="329">
        <v>8.6509294967914947</v>
      </c>
      <c r="Q1476" s="329">
        <v>8.6509294967914947</v>
      </c>
      <c r="R1476" s="329">
        <v>8.6509294967914947</v>
      </c>
      <c r="S1476" s="329">
        <v>8.6509294967914947</v>
      </c>
    </row>
    <row r="1477" spans="5:19" s="293" customFormat="1" x14ac:dyDescent="0.25">
      <c r="F1477" s="196" t="s">
        <v>936</v>
      </c>
      <c r="G1477" s="196" t="s">
        <v>120</v>
      </c>
      <c r="H1477" s="196" t="s">
        <v>481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25">
      <c r="F1478" s="196" t="s">
        <v>937</v>
      </c>
      <c r="G1478" s="196" t="s">
        <v>120</v>
      </c>
      <c r="H1478" s="196" t="s">
        <v>481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25">
      <c r="F1479" s="196" t="s">
        <v>938</v>
      </c>
      <c r="G1479" s="196" t="s">
        <v>120</v>
      </c>
      <c r="H1479" s="196" t="s">
        <v>481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25">
      <c r="F1480" s="196" t="s">
        <v>939</v>
      </c>
      <c r="G1480" s="196" t="s">
        <v>120</v>
      </c>
      <c r="H1480" s="196" t="s">
        <v>481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25">
      <c r="F1481" s="196" t="s">
        <v>940</v>
      </c>
      <c r="G1481" s="196" t="s">
        <v>120</v>
      </c>
      <c r="H1481" s="196" t="s">
        <v>481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25">
      <c r="F1482" s="196" t="s">
        <v>941</v>
      </c>
      <c r="G1482" s="196" t="s">
        <v>120</v>
      </c>
      <c r="H1482" s="196" t="s">
        <v>481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25">
      <c r="F1483" s="196" t="s">
        <v>942</v>
      </c>
      <c r="G1483" s="196" t="s">
        <v>120</v>
      </c>
      <c r="H1483" s="196" t="s">
        <v>481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25">
      <c r="F1484" s="93" t="s">
        <v>943</v>
      </c>
      <c r="G1484" s="93" t="s">
        <v>120</v>
      </c>
      <c r="H1484" s="93" t="s">
        <v>481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2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2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25">
      <c r="F1487" s="91" t="s">
        <v>928</v>
      </c>
      <c r="G1487" s="91" t="s">
        <v>120</v>
      </c>
      <c r="H1487" s="91" t="s">
        <v>481</v>
      </c>
      <c r="I1487" s="112"/>
      <c r="J1487" s="231">
        <f t="shared" ref="J1487" si="148">CHOOSE(year_selection, L1487,M1487,N1487,O1487,P1487,Q1487,R1487,S1487)</f>
        <v>41142.372442524007</v>
      </c>
      <c r="K1487" s="232"/>
      <c r="L1487" s="328"/>
      <c r="M1487" s="328"/>
      <c r="N1487" s="328"/>
      <c r="O1487" s="328">
        <v>41142.372442524007</v>
      </c>
      <c r="P1487" s="328">
        <v>41142.372442524007</v>
      </c>
      <c r="Q1487" s="328">
        <v>41142.372442524007</v>
      </c>
      <c r="R1487" s="328">
        <v>41142.372442524007</v>
      </c>
      <c r="S1487" s="328">
        <v>41142.372442524007</v>
      </c>
    </row>
    <row r="1488" spans="5:19" s="293" customFormat="1" x14ac:dyDescent="0.25">
      <c r="F1488" s="196" t="s">
        <v>929</v>
      </c>
      <c r="G1488" s="196" t="s">
        <v>120</v>
      </c>
      <c r="H1488" s="196" t="s">
        <v>481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25">
      <c r="F1489" s="196" t="s">
        <v>930</v>
      </c>
      <c r="G1489" s="196" t="s">
        <v>120</v>
      </c>
      <c r="H1489" s="196" t="s">
        <v>481</v>
      </c>
      <c r="I1489" s="66"/>
      <c r="J1489" s="233">
        <f t="shared" ref="J1489" si="149">CHOOSE(year_selection, L1489,M1489,N1489,O1489,P1489,Q1489,R1489,S1489)</f>
        <v>149.09742335497364</v>
      </c>
      <c r="K1489" s="234"/>
      <c r="L1489" s="329"/>
      <c r="M1489" s="329"/>
      <c r="N1489" s="329"/>
      <c r="O1489" s="329">
        <v>149.09742335497364</v>
      </c>
      <c r="P1489" s="329">
        <v>149.09742335497364</v>
      </c>
      <c r="Q1489" s="329">
        <v>149.09742335497364</v>
      </c>
      <c r="R1489" s="329">
        <v>149.09742335497364</v>
      </c>
      <c r="S1489" s="329">
        <v>149.09742335497364</v>
      </c>
    </row>
    <row r="1490" spans="5:19" s="293" customFormat="1" x14ac:dyDescent="0.25">
      <c r="F1490" s="196" t="s">
        <v>931</v>
      </c>
      <c r="G1490" s="196" t="s">
        <v>120</v>
      </c>
      <c r="H1490" s="196" t="s">
        <v>481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25">
      <c r="F1491" s="196" t="s">
        <v>932</v>
      </c>
      <c r="G1491" s="196" t="s">
        <v>120</v>
      </c>
      <c r="H1491" s="196" t="s">
        <v>481</v>
      </c>
      <c r="I1491" s="66"/>
      <c r="J1491" s="233">
        <f t="shared" ref="J1491:J1494" si="150">CHOOSE(year_selection, L1491,M1491,N1491,O1491,P1491,Q1491,R1491,S1491)</f>
        <v>17388.083455144802</v>
      </c>
      <c r="K1491" s="234"/>
      <c r="L1491" s="329"/>
      <c r="M1491" s="329"/>
      <c r="N1491" s="329"/>
      <c r="O1491" s="329">
        <v>17388.083455144802</v>
      </c>
      <c r="P1491" s="329">
        <v>17388.083455144802</v>
      </c>
      <c r="Q1491" s="329">
        <v>17388.083455144802</v>
      </c>
      <c r="R1491" s="329">
        <v>17388.083455144802</v>
      </c>
      <c r="S1491" s="329">
        <v>17388.083455144802</v>
      </c>
    </row>
    <row r="1492" spans="5:19" s="293" customFormat="1" x14ac:dyDescent="0.25">
      <c r="F1492" s="196" t="s">
        <v>933</v>
      </c>
      <c r="G1492" s="196" t="s">
        <v>120</v>
      </c>
      <c r="H1492" s="196" t="s">
        <v>481</v>
      </c>
      <c r="I1492" s="66"/>
      <c r="J1492" s="233">
        <f t="shared" si="150"/>
        <v>477.06649957759964</v>
      </c>
      <c r="K1492" s="234"/>
      <c r="L1492" s="329"/>
      <c r="M1492" s="329"/>
      <c r="N1492" s="329"/>
      <c r="O1492" s="329">
        <v>477.06649957759964</v>
      </c>
      <c r="P1492" s="329">
        <v>477.06649957759964</v>
      </c>
      <c r="Q1492" s="329">
        <v>477.06649957759964</v>
      </c>
      <c r="R1492" s="329">
        <v>477.06649957759964</v>
      </c>
      <c r="S1492" s="329">
        <v>477.06649957759964</v>
      </c>
    </row>
    <row r="1493" spans="5:19" s="293" customFormat="1" x14ac:dyDescent="0.25">
      <c r="F1493" s="196" t="s">
        <v>934</v>
      </c>
      <c r="G1493" s="196" t="s">
        <v>120</v>
      </c>
      <c r="H1493" s="196" t="s">
        <v>481</v>
      </c>
      <c r="I1493" s="66"/>
      <c r="J1493" s="233">
        <f t="shared" si="150"/>
        <v>730.94570099748273</v>
      </c>
      <c r="K1493" s="234"/>
      <c r="L1493" s="329"/>
      <c r="M1493" s="329"/>
      <c r="N1493" s="329"/>
      <c r="O1493" s="329">
        <v>730.94570099748273</v>
      </c>
      <c r="P1493" s="329">
        <v>730.94570099748273</v>
      </c>
      <c r="Q1493" s="329">
        <v>730.94570099748273</v>
      </c>
      <c r="R1493" s="329">
        <v>730.94570099748273</v>
      </c>
      <c r="S1493" s="329">
        <v>730.94570099748273</v>
      </c>
    </row>
    <row r="1494" spans="5:19" s="293" customFormat="1" x14ac:dyDescent="0.25">
      <c r="F1494" s="196" t="s">
        <v>935</v>
      </c>
      <c r="G1494" s="196" t="s">
        <v>120</v>
      </c>
      <c r="H1494" s="196" t="s">
        <v>481</v>
      </c>
      <c r="I1494" s="66"/>
      <c r="J1494" s="233">
        <f t="shared" si="150"/>
        <v>108.36283197839724</v>
      </c>
      <c r="K1494" s="234"/>
      <c r="L1494" s="329"/>
      <c r="M1494" s="329"/>
      <c r="N1494" s="329"/>
      <c r="O1494" s="329">
        <v>108.36283197839724</v>
      </c>
      <c r="P1494" s="329">
        <v>108.36283197839724</v>
      </c>
      <c r="Q1494" s="329">
        <v>108.36283197839724</v>
      </c>
      <c r="R1494" s="329">
        <v>108.36283197839724</v>
      </c>
      <c r="S1494" s="329">
        <v>108.36283197839724</v>
      </c>
    </row>
    <row r="1495" spans="5:19" s="293" customFormat="1" x14ac:dyDescent="0.25">
      <c r="F1495" s="196" t="s">
        <v>936</v>
      </c>
      <c r="G1495" s="196" t="s">
        <v>120</v>
      </c>
      <c r="H1495" s="196" t="s">
        <v>481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25">
      <c r="F1496" s="196" t="s">
        <v>937</v>
      </c>
      <c r="G1496" s="196" t="s">
        <v>120</v>
      </c>
      <c r="H1496" s="196" t="s">
        <v>481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25">
      <c r="F1497" s="196" t="s">
        <v>938</v>
      </c>
      <c r="G1497" s="196" t="s">
        <v>120</v>
      </c>
      <c r="H1497" s="196" t="s">
        <v>481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25">
      <c r="F1498" s="196" t="s">
        <v>939</v>
      </c>
      <c r="G1498" s="196" t="s">
        <v>120</v>
      </c>
      <c r="H1498" s="196" t="s">
        <v>481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25">
      <c r="F1499" s="196" t="s">
        <v>940</v>
      </c>
      <c r="G1499" s="196" t="s">
        <v>120</v>
      </c>
      <c r="H1499" s="196" t="s">
        <v>481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25">
      <c r="F1500" s="196" t="s">
        <v>941</v>
      </c>
      <c r="G1500" s="196" t="s">
        <v>120</v>
      </c>
      <c r="H1500" s="196" t="s">
        <v>481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25">
      <c r="F1501" s="196" t="s">
        <v>942</v>
      </c>
      <c r="G1501" s="196" t="s">
        <v>120</v>
      </c>
      <c r="H1501" s="196" t="s">
        <v>481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25">
      <c r="F1502" s="93" t="s">
        <v>943</v>
      </c>
      <c r="G1502" s="93" t="s">
        <v>120</v>
      </c>
      <c r="H1502" s="93" t="s">
        <v>481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2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2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25">
      <c r="F1505" s="91" t="s">
        <v>928</v>
      </c>
      <c r="G1505" s="91" t="s">
        <v>120</v>
      </c>
      <c r="H1505" s="91" t="s">
        <v>481</v>
      </c>
      <c r="I1505" s="112"/>
      <c r="J1505" s="231">
        <f t="shared" ref="J1505" si="151">CHOOSE(year_selection, L1505,M1505,N1505,O1505,P1505,Q1505,R1505,S1505)</f>
        <v>38695.794593341067</v>
      </c>
      <c r="K1505" s="232"/>
      <c r="L1505" s="328"/>
      <c r="M1505" s="328"/>
      <c r="N1505" s="328"/>
      <c r="O1505" s="328">
        <v>38695.794593341067</v>
      </c>
      <c r="P1505" s="328">
        <v>38695.794593341067</v>
      </c>
      <c r="Q1505" s="328">
        <v>38695.794593341067</v>
      </c>
      <c r="R1505" s="328">
        <v>38695.794593341067</v>
      </c>
      <c r="S1505" s="328">
        <v>38695.794593341067</v>
      </c>
    </row>
    <row r="1506" spans="6:19" s="293" customFormat="1" x14ac:dyDescent="0.25">
      <c r="F1506" s="196" t="s">
        <v>929</v>
      </c>
      <c r="G1506" s="196" t="s">
        <v>120</v>
      </c>
      <c r="H1506" s="196" t="s">
        <v>481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25">
      <c r="F1507" s="196" t="s">
        <v>930</v>
      </c>
      <c r="G1507" s="196" t="s">
        <v>120</v>
      </c>
      <c r="H1507" s="196" t="s">
        <v>481</v>
      </c>
      <c r="I1507" s="66"/>
      <c r="J1507" s="233">
        <f t="shared" ref="J1507" si="152">CHOOSE(year_selection, L1507,M1507,N1507,O1507,P1507,Q1507,R1507,S1507)</f>
        <v>144.76753584314579</v>
      </c>
      <c r="K1507" s="234"/>
      <c r="L1507" s="329"/>
      <c r="M1507" s="329"/>
      <c r="N1507" s="329"/>
      <c r="O1507" s="329">
        <v>144.76753584314579</v>
      </c>
      <c r="P1507" s="329">
        <v>144.76753584314579</v>
      </c>
      <c r="Q1507" s="329">
        <v>144.76753584314579</v>
      </c>
      <c r="R1507" s="329">
        <v>144.76753584314579</v>
      </c>
      <c r="S1507" s="329">
        <v>144.76753584314579</v>
      </c>
    </row>
    <row r="1508" spans="6:19" s="293" customFormat="1" x14ac:dyDescent="0.25">
      <c r="F1508" s="196" t="s">
        <v>931</v>
      </c>
      <c r="G1508" s="196" t="s">
        <v>120</v>
      </c>
      <c r="H1508" s="196" t="s">
        <v>481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25">
      <c r="F1509" s="196" t="s">
        <v>932</v>
      </c>
      <c r="G1509" s="196" t="s">
        <v>120</v>
      </c>
      <c r="H1509" s="196" t="s">
        <v>481</v>
      </c>
      <c r="I1509" s="66"/>
      <c r="J1509" s="233">
        <f t="shared" ref="J1509:J1512" si="153">CHOOSE(year_selection, L1509,M1509,N1509,O1509,P1509,Q1509,R1509,S1509)</f>
        <v>16116.968384823227</v>
      </c>
      <c r="K1509" s="234"/>
      <c r="L1509" s="329"/>
      <c r="M1509" s="329"/>
      <c r="N1509" s="329"/>
      <c r="O1509" s="329">
        <v>16116.968384823227</v>
      </c>
      <c r="P1509" s="329">
        <v>16116.968384823227</v>
      </c>
      <c r="Q1509" s="329">
        <v>16116.968384823227</v>
      </c>
      <c r="R1509" s="329">
        <v>16116.968384823227</v>
      </c>
      <c r="S1509" s="329">
        <v>16116.968384823227</v>
      </c>
    </row>
    <row r="1510" spans="6:19" s="293" customFormat="1" x14ac:dyDescent="0.25">
      <c r="F1510" s="196" t="s">
        <v>933</v>
      </c>
      <c r="G1510" s="196" t="s">
        <v>120</v>
      </c>
      <c r="H1510" s="196" t="s">
        <v>481</v>
      </c>
      <c r="I1510" s="66"/>
      <c r="J1510" s="233">
        <f t="shared" si="153"/>
        <v>460.45030881905086</v>
      </c>
      <c r="K1510" s="234"/>
      <c r="L1510" s="329"/>
      <c r="M1510" s="329"/>
      <c r="N1510" s="329"/>
      <c r="O1510" s="329">
        <v>460.45030881905086</v>
      </c>
      <c r="P1510" s="329">
        <v>460.45030881905086</v>
      </c>
      <c r="Q1510" s="329">
        <v>460.45030881905086</v>
      </c>
      <c r="R1510" s="329">
        <v>460.45030881905086</v>
      </c>
      <c r="S1510" s="329">
        <v>460.45030881905086</v>
      </c>
    </row>
    <row r="1511" spans="6:19" s="293" customFormat="1" x14ac:dyDescent="0.25">
      <c r="F1511" s="196" t="s">
        <v>934</v>
      </c>
      <c r="G1511" s="196" t="s">
        <v>120</v>
      </c>
      <c r="H1511" s="196" t="s">
        <v>481</v>
      </c>
      <c r="I1511" s="66"/>
      <c r="J1511" s="233">
        <f t="shared" si="153"/>
        <v>755.43069781871247</v>
      </c>
      <c r="K1511" s="234"/>
      <c r="L1511" s="329"/>
      <c r="M1511" s="329"/>
      <c r="N1511" s="329"/>
      <c r="O1511" s="329">
        <v>755.43069781871247</v>
      </c>
      <c r="P1511" s="329">
        <v>755.43069781871247</v>
      </c>
      <c r="Q1511" s="329">
        <v>755.43069781871247</v>
      </c>
      <c r="R1511" s="329">
        <v>755.43069781871247</v>
      </c>
      <c r="S1511" s="329">
        <v>755.43069781871247</v>
      </c>
    </row>
    <row r="1512" spans="6:19" s="293" customFormat="1" x14ac:dyDescent="0.25">
      <c r="F1512" s="196" t="s">
        <v>935</v>
      </c>
      <c r="G1512" s="196" t="s">
        <v>120</v>
      </c>
      <c r="H1512" s="196" t="s">
        <v>481</v>
      </c>
      <c r="I1512" s="66"/>
      <c r="J1512" s="233">
        <f t="shared" si="153"/>
        <v>123.18908683710534</v>
      </c>
      <c r="K1512" s="234"/>
      <c r="L1512" s="329"/>
      <c r="M1512" s="329"/>
      <c r="N1512" s="329"/>
      <c r="O1512" s="329">
        <v>123.18908683710534</v>
      </c>
      <c r="P1512" s="329">
        <v>123.18908683710534</v>
      </c>
      <c r="Q1512" s="329">
        <v>123.18908683710534</v>
      </c>
      <c r="R1512" s="329">
        <v>123.18908683710534</v>
      </c>
      <c r="S1512" s="329">
        <v>123.18908683710534</v>
      </c>
    </row>
    <row r="1513" spans="6:19" s="293" customFormat="1" x14ac:dyDescent="0.25">
      <c r="F1513" s="196" t="s">
        <v>936</v>
      </c>
      <c r="G1513" s="196" t="s">
        <v>120</v>
      </c>
      <c r="H1513" s="196" t="s">
        <v>481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25">
      <c r="F1514" s="196" t="s">
        <v>937</v>
      </c>
      <c r="G1514" s="196" t="s">
        <v>120</v>
      </c>
      <c r="H1514" s="196" t="s">
        <v>481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25">
      <c r="F1515" s="196" t="s">
        <v>938</v>
      </c>
      <c r="G1515" s="196" t="s">
        <v>120</v>
      </c>
      <c r="H1515" s="196" t="s">
        <v>481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25">
      <c r="F1516" s="196" t="s">
        <v>939</v>
      </c>
      <c r="G1516" s="196" t="s">
        <v>120</v>
      </c>
      <c r="H1516" s="196" t="s">
        <v>481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25">
      <c r="F1517" s="196" t="s">
        <v>940</v>
      </c>
      <c r="G1517" s="196" t="s">
        <v>120</v>
      </c>
      <c r="H1517" s="196" t="s">
        <v>481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25">
      <c r="F1518" s="196" t="s">
        <v>941</v>
      </c>
      <c r="G1518" s="196" t="s">
        <v>120</v>
      </c>
      <c r="H1518" s="196" t="s">
        <v>481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25">
      <c r="F1519" s="196" t="s">
        <v>942</v>
      </c>
      <c r="G1519" s="196" t="s">
        <v>120</v>
      </c>
      <c r="H1519" s="196" t="s">
        <v>481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25">
      <c r="F1520" s="93" t="s">
        <v>943</v>
      </c>
      <c r="G1520" s="93" t="s">
        <v>120</v>
      </c>
      <c r="H1520" s="93" t="s">
        <v>481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2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2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25">
      <c r="F1523" s="91" t="s">
        <v>928</v>
      </c>
      <c r="G1523" s="91" t="s">
        <v>74</v>
      </c>
      <c r="H1523" s="91" t="s">
        <v>481</v>
      </c>
      <c r="I1523" s="112"/>
      <c r="J1523" s="231">
        <f t="shared" ref="J1523" si="154">CHOOSE(year_selection, L1523,M1523,N1523,O1523,P1523,Q1523,R1523,S1523)</f>
        <v>31794</v>
      </c>
      <c r="K1523" s="232"/>
      <c r="L1523" s="328"/>
      <c r="M1523" s="328"/>
      <c r="N1523" s="328"/>
      <c r="O1523" s="328">
        <v>31794</v>
      </c>
      <c r="P1523" s="328">
        <v>31794</v>
      </c>
      <c r="Q1523" s="328">
        <v>31794</v>
      </c>
      <c r="R1523" s="328">
        <v>31794</v>
      </c>
      <c r="S1523" s="328">
        <v>31794</v>
      </c>
    </row>
    <row r="1524" spans="5:19" s="293" customFormat="1" x14ac:dyDescent="0.25">
      <c r="F1524" s="196" t="s">
        <v>929</v>
      </c>
      <c r="G1524" s="196" t="s">
        <v>74</v>
      </c>
      <c r="H1524" s="196" t="s">
        <v>481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25">
      <c r="F1525" s="196" t="s">
        <v>930</v>
      </c>
      <c r="G1525" s="196" t="s">
        <v>74</v>
      </c>
      <c r="H1525" s="196" t="s">
        <v>481</v>
      </c>
      <c r="I1525" s="66"/>
      <c r="J1525" s="233">
        <f t="shared" ref="J1525" si="155">CHOOSE(year_selection, L1525,M1525,N1525,O1525,P1525,Q1525,R1525,S1525)</f>
        <v>22</v>
      </c>
      <c r="K1525" s="234"/>
      <c r="L1525" s="329"/>
      <c r="M1525" s="329"/>
      <c r="N1525" s="329"/>
      <c r="O1525" s="329">
        <v>22</v>
      </c>
      <c r="P1525" s="329">
        <v>22</v>
      </c>
      <c r="Q1525" s="329">
        <v>22</v>
      </c>
      <c r="R1525" s="329">
        <v>22</v>
      </c>
      <c r="S1525" s="329">
        <v>22</v>
      </c>
    </row>
    <row r="1526" spans="5:19" s="293" customFormat="1" x14ac:dyDescent="0.25">
      <c r="F1526" s="196" t="s">
        <v>931</v>
      </c>
      <c r="G1526" s="196" t="s">
        <v>74</v>
      </c>
      <c r="H1526" s="196" t="s">
        <v>481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25">
      <c r="F1527" s="196" t="s">
        <v>932</v>
      </c>
      <c r="G1527" s="196" t="s">
        <v>74</v>
      </c>
      <c r="H1527" s="196" t="s">
        <v>481</v>
      </c>
      <c r="I1527" s="66"/>
      <c r="J1527" s="233">
        <f t="shared" ref="J1527:J1530" si="156">CHOOSE(year_selection, L1527,M1527,N1527,O1527,P1527,Q1527,R1527,S1527)</f>
        <v>223</v>
      </c>
      <c r="K1527" s="234"/>
      <c r="L1527" s="329"/>
      <c r="M1527" s="329"/>
      <c r="N1527" s="329"/>
      <c r="O1527" s="329">
        <v>223</v>
      </c>
      <c r="P1527" s="329">
        <v>223</v>
      </c>
      <c r="Q1527" s="329">
        <v>223</v>
      </c>
      <c r="R1527" s="329">
        <v>223</v>
      </c>
      <c r="S1527" s="329">
        <v>223</v>
      </c>
    </row>
    <row r="1528" spans="5:19" s="293" customFormat="1" x14ac:dyDescent="0.25">
      <c r="F1528" s="196" t="s">
        <v>933</v>
      </c>
      <c r="G1528" s="196" t="s">
        <v>74</v>
      </c>
      <c r="H1528" s="196" t="s">
        <v>481</v>
      </c>
      <c r="I1528" s="66"/>
      <c r="J1528" s="233">
        <f t="shared" si="156"/>
        <v>4</v>
      </c>
      <c r="K1528" s="234"/>
      <c r="L1528" s="329"/>
      <c r="M1528" s="329"/>
      <c r="N1528" s="329"/>
      <c r="O1528" s="329">
        <v>4</v>
      </c>
      <c r="P1528" s="329">
        <v>4</v>
      </c>
      <c r="Q1528" s="329">
        <v>4</v>
      </c>
      <c r="R1528" s="329">
        <v>4</v>
      </c>
      <c r="S1528" s="329">
        <v>4</v>
      </c>
    </row>
    <row r="1529" spans="5:19" s="293" customFormat="1" x14ac:dyDescent="0.25">
      <c r="F1529" s="196" t="s">
        <v>934</v>
      </c>
      <c r="G1529" s="196" t="s">
        <v>74</v>
      </c>
      <c r="H1529" s="196" t="s">
        <v>481</v>
      </c>
      <c r="I1529" s="66"/>
      <c r="J1529" s="233">
        <f t="shared" si="156"/>
        <v>4</v>
      </c>
      <c r="K1529" s="234"/>
      <c r="L1529" s="329"/>
      <c r="M1529" s="329"/>
      <c r="N1529" s="329"/>
      <c r="O1529" s="329">
        <v>4</v>
      </c>
      <c r="P1529" s="329">
        <v>4</v>
      </c>
      <c r="Q1529" s="329">
        <v>4</v>
      </c>
      <c r="R1529" s="329">
        <v>4</v>
      </c>
      <c r="S1529" s="329">
        <v>4</v>
      </c>
    </row>
    <row r="1530" spans="5:19" s="293" customFormat="1" x14ac:dyDescent="0.25">
      <c r="F1530" s="196" t="s">
        <v>935</v>
      </c>
      <c r="G1530" s="196" t="s">
        <v>74</v>
      </c>
      <c r="H1530" s="196" t="s">
        <v>481</v>
      </c>
      <c r="I1530" s="66"/>
      <c r="J1530" s="233">
        <f t="shared" si="156"/>
        <v>59</v>
      </c>
      <c r="K1530" s="234"/>
      <c r="L1530" s="329"/>
      <c r="M1530" s="329"/>
      <c r="N1530" s="329"/>
      <c r="O1530" s="329">
        <v>59</v>
      </c>
      <c r="P1530" s="329">
        <v>59</v>
      </c>
      <c r="Q1530" s="329">
        <v>59</v>
      </c>
      <c r="R1530" s="329">
        <v>59</v>
      </c>
      <c r="S1530" s="329">
        <v>59</v>
      </c>
    </row>
    <row r="1531" spans="5:19" s="293" customFormat="1" x14ac:dyDescent="0.25">
      <c r="F1531" s="196" t="s">
        <v>936</v>
      </c>
      <c r="G1531" s="196" t="s">
        <v>74</v>
      </c>
      <c r="H1531" s="196" t="s">
        <v>481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25">
      <c r="F1532" s="196" t="s">
        <v>937</v>
      </c>
      <c r="G1532" s="196" t="s">
        <v>74</v>
      </c>
      <c r="H1532" s="196" t="s">
        <v>481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25">
      <c r="F1533" s="196" t="s">
        <v>938</v>
      </c>
      <c r="G1533" s="196" t="s">
        <v>74</v>
      </c>
      <c r="H1533" s="196" t="s">
        <v>481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25">
      <c r="F1534" s="196" t="s">
        <v>939</v>
      </c>
      <c r="G1534" s="196" t="s">
        <v>74</v>
      </c>
      <c r="H1534" s="196" t="s">
        <v>481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25">
      <c r="F1535" s="196" t="s">
        <v>940</v>
      </c>
      <c r="G1535" s="196" t="s">
        <v>74</v>
      </c>
      <c r="H1535" s="196" t="s">
        <v>481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25">
      <c r="F1536" s="196" t="s">
        <v>941</v>
      </c>
      <c r="G1536" s="196" t="s">
        <v>74</v>
      </c>
      <c r="H1536" s="196" t="s">
        <v>481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25">
      <c r="F1537" s="196" t="s">
        <v>942</v>
      </c>
      <c r="G1537" s="196" t="s">
        <v>74</v>
      </c>
      <c r="H1537" s="196" t="s">
        <v>481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25">
      <c r="F1538" s="93" t="s">
        <v>943</v>
      </c>
      <c r="G1538" s="93" t="s">
        <v>74</v>
      </c>
      <c r="H1538" s="93" t="s">
        <v>481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2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2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25">
      <c r="F1541" s="91" t="s">
        <v>928</v>
      </c>
      <c r="G1541" s="91" t="s">
        <v>169</v>
      </c>
      <c r="H1541" s="91" t="s">
        <v>481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25">
      <c r="F1542" s="196" t="s">
        <v>929</v>
      </c>
      <c r="G1542" s="196" t="s">
        <v>169</v>
      </c>
      <c r="H1542" s="196" t="s">
        <v>481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25">
      <c r="F1543" s="196" t="s">
        <v>930</v>
      </c>
      <c r="G1543" s="196" t="s">
        <v>169</v>
      </c>
      <c r="H1543" s="196" t="s">
        <v>481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25">
      <c r="F1544" s="196" t="s">
        <v>931</v>
      </c>
      <c r="G1544" s="196" t="s">
        <v>169</v>
      </c>
      <c r="H1544" s="196" t="s">
        <v>481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25">
      <c r="F1545" s="196" t="s">
        <v>932</v>
      </c>
      <c r="G1545" s="196" t="s">
        <v>169</v>
      </c>
      <c r="H1545" s="196" t="s">
        <v>481</v>
      </c>
      <c r="I1545" s="66"/>
      <c r="J1545" s="233">
        <f t="shared" ref="J1545:J1547" si="157">CHOOSE(year_selection, L1545,M1545,N1545,O1545,P1545,Q1545,R1545,S1545)</f>
        <v>37677</v>
      </c>
      <c r="K1545" s="234"/>
      <c r="L1545" s="329"/>
      <c r="M1545" s="329"/>
      <c r="N1545" s="329"/>
      <c r="O1545" s="329">
        <v>37677</v>
      </c>
      <c r="P1545" s="329">
        <v>37677</v>
      </c>
      <c r="Q1545" s="329">
        <v>37677</v>
      </c>
      <c r="R1545" s="329">
        <v>37677</v>
      </c>
      <c r="S1545" s="329">
        <v>37677</v>
      </c>
    </row>
    <row r="1546" spans="5:19" s="293" customFormat="1" x14ac:dyDescent="0.25">
      <c r="F1546" s="196" t="s">
        <v>933</v>
      </c>
      <c r="G1546" s="196" t="s">
        <v>169</v>
      </c>
      <c r="H1546" s="196" t="s">
        <v>481</v>
      </c>
      <c r="I1546" s="66"/>
      <c r="J1546" s="233">
        <f t="shared" si="157"/>
        <v>972</v>
      </c>
      <c r="K1546" s="234"/>
      <c r="L1546" s="329"/>
      <c r="M1546" s="329"/>
      <c r="N1546" s="329"/>
      <c r="O1546" s="329">
        <v>972</v>
      </c>
      <c r="P1546" s="329">
        <v>972</v>
      </c>
      <c r="Q1546" s="329">
        <v>972</v>
      </c>
      <c r="R1546" s="329">
        <v>972</v>
      </c>
      <c r="S1546" s="329">
        <v>972</v>
      </c>
    </row>
    <row r="1547" spans="5:19" s="293" customFormat="1" x14ac:dyDescent="0.25">
      <c r="F1547" s="196" t="s">
        <v>934</v>
      </c>
      <c r="G1547" s="196" t="s">
        <v>169</v>
      </c>
      <c r="H1547" s="196" t="s">
        <v>481</v>
      </c>
      <c r="I1547" s="66"/>
      <c r="J1547" s="233">
        <f t="shared" si="157"/>
        <v>1084</v>
      </c>
      <c r="K1547" s="234"/>
      <c r="L1547" s="329"/>
      <c r="M1547" s="329"/>
      <c r="N1547" s="329"/>
      <c r="O1547" s="329">
        <v>1084</v>
      </c>
      <c r="P1547" s="329">
        <v>1084</v>
      </c>
      <c r="Q1547" s="329">
        <v>1084</v>
      </c>
      <c r="R1547" s="329">
        <v>1084</v>
      </c>
      <c r="S1547" s="329">
        <v>1084</v>
      </c>
    </row>
    <row r="1548" spans="5:19" s="293" customFormat="1" x14ac:dyDescent="0.25">
      <c r="F1548" s="196" t="s">
        <v>935</v>
      </c>
      <c r="G1548" s="196" t="s">
        <v>169</v>
      </c>
      <c r="H1548" s="196" t="s">
        <v>481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25">
      <c r="F1549" s="196" t="s">
        <v>936</v>
      </c>
      <c r="G1549" s="196" t="s">
        <v>169</v>
      </c>
      <c r="H1549" s="196" t="s">
        <v>481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25">
      <c r="F1550" s="196" t="s">
        <v>937</v>
      </c>
      <c r="G1550" s="196" t="s">
        <v>169</v>
      </c>
      <c r="H1550" s="196" t="s">
        <v>481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25">
      <c r="F1551" s="196" t="s">
        <v>938</v>
      </c>
      <c r="G1551" s="196" t="s">
        <v>169</v>
      </c>
      <c r="H1551" s="196" t="s">
        <v>481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25">
      <c r="F1552" s="196" t="s">
        <v>939</v>
      </c>
      <c r="G1552" s="196" t="s">
        <v>169</v>
      </c>
      <c r="H1552" s="196" t="s">
        <v>481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25">
      <c r="F1553" s="196" t="s">
        <v>940</v>
      </c>
      <c r="G1553" s="196" t="s">
        <v>169</v>
      </c>
      <c r="H1553" s="196" t="s">
        <v>481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25">
      <c r="F1554" s="196" t="s">
        <v>941</v>
      </c>
      <c r="G1554" s="196" t="s">
        <v>169</v>
      </c>
      <c r="H1554" s="196" t="s">
        <v>481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25">
      <c r="F1555" s="196" t="s">
        <v>942</v>
      </c>
      <c r="G1555" s="196" t="s">
        <v>169</v>
      </c>
      <c r="H1555" s="196" t="s">
        <v>481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25">
      <c r="F1556" s="93" t="s">
        <v>943</v>
      </c>
      <c r="G1556" s="93" t="s">
        <v>169</v>
      </c>
      <c r="H1556" s="93" t="s">
        <v>481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2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2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25">
      <c r="F1559" s="91" t="s">
        <v>928</v>
      </c>
      <c r="G1559" s="91" t="s">
        <v>169</v>
      </c>
      <c r="H1559" s="91" t="s">
        <v>481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25">
      <c r="F1560" s="196" t="s">
        <v>929</v>
      </c>
      <c r="G1560" s="196" t="s">
        <v>169</v>
      </c>
      <c r="H1560" s="196" t="s">
        <v>481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25">
      <c r="F1561" s="196" t="s">
        <v>930</v>
      </c>
      <c r="G1561" s="196" t="s">
        <v>169</v>
      </c>
      <c r="H1561" s="196" t="s">
        <v>481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25">
      <c r="F1562" s="196" t="s">
        <v>931</v>
      </c>
      <c r="G1562" s="196" t="s">
        <v>169</v>
      </c>
      <c r="H1562" s="196" t="s">
        <v>481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25">
      <c r="F1563" s="196" t="s">
        <v>932</v>
      </c>
      <c r="G1563" s="196" t="s">
        <v>169</v>
      </c>
      <c r="H1563" s="196" t="s">
        <v>481</v>
      </c>
      <c r="I1563" s="66"/>
      <c r="J1563" s="233">
        <f t="shared" ref="J1563:J1565" si="158">CHOOSE(year_selection, L1563,M1563,N1563,O1563,P1563,Q1563,R1563,S1563)</f>
        <v>31.817881709863652</v>
      </c>
      <c r="K1563" s="234"/>
      <c r="L1563" s="329"/>
      <c r="M1563" s="329"/>
      <c r="N1563" s="329"/>
      <c r="O1563" s="329">
        <v>31.817881709863652</v>
      </c>
      <c r="P1563" s="329">
        <v>31.817881709863652</v>
      </c>
      <c r="Q1563" s="329">
        <v>31.817881709863652</v>
      </c>
      <c r="R1563" s="329">
        <v>31.817881709863652</v>
      </c>
      <c r="S1563" s="329">
        <v>31.817881709863652</v>
      </c>
    </row>
    <row r="1564" spans="5:19" s="293" customFormat="1" x14ac:dyDescent="0.25">
      <c r="F1564" s="196" t="s">
        <v>933</v>
      </c>
      <c r="G1564" s="196" t="s">
        <v>169</v>
      </c>
      <c r="H1564" s="196" t="s">
        <v>481</v>
      </c>
      <c r="I1564" s="66"/>
      <c r="J1564" s="233">
        <f t="shared" si="158"/>
        <v>0</v>
      </c>
      <c r="K1564" s="234"/>
      <c r="L1564" s="329"/>
      <c r="M1564" s="329"/>
      <c r="N1564" s="329"/>
      <c r="O1564" s="329">
        <v>0</v>
      </c>
      <c r="P1564" s="329">
        <v>0</v>
      </c>
      <c r="Q1564" s="329">
        <v>0</v>
      </c>
      <c r="R1564" s="329">
        <v>0</v>
      </c>
      <c r="S1564" s="329">
        <v>0</v>
      </c>
    </row>
    <row r="1565" spans="5:19" s="293" customFormat="1" x14ac:dyDescent="0.25">
      <c r="F1565" s="196" t="s">
        <v>934</v>
      </c>
      <c r="G1565" s="196" t="s">
        <v>169</v>
      </c>
      <c r="H1565" s="196" t="s">
        <v>481</v>
      </c>
      <c r="I1565" s="66"/>
      <c r="J1565" s="233">
        <f t="shared" si="158"/>
        <v>0.61091356991796231</v>
      </c>
      <c r="K1565" s="234"/>
      <c r="L1565" s="329"/>
      <c r="M1565" s="329"/>
      <c r="N1565" s="329"/>
      <c r="O1565" s="329">
        <v>0.61091356991796231</v>
      </c>
      <c r="P1565" s="329">
        <v>0.61091356991796231</v>
      </c>
      <c r="Q1565" s="329">
        <v>0.61091356991796231</v>
      </c>
      <c r="R1565" s="329">
        <v>0.61091356991796231</v>
      </c>
      <c r="S1565" s="329">
        <v>0.61091356991796231</v>
      </c>
    </row>
    <row r="1566" spans="5:19" s="293" customFormat="1" x14ac:dyDescent="0.25">
      <c r="F1566" s="196" t="s">
        <v>935</v>
      </c>
      <c r="G1566" s="196" t="s">
        <v>169</v>
      </c>
      <c r="H1566" s="196" t="s">
        <v>481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25">
      <c r="F1567" s="196" t="s">
        <v>936</v>
      </c>
      <c r="G1567" s="196" t="s">
        <v>169</v>
      </c>
      <c r="H1567" s="196" t="s">
        <v>481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25">
      <c r="F1568" s="196" t="s">
        <v>937</v>
      </c>
      <c r="G1568" s="196" t="s">
        <v>169</v>
      </c>
      <c r="H1568" s="196" t="s">
        <v>481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25">
      <c r="F1569" s="196" t="s">
        <v>938</v>
      </c>
      <c r="G1569" s="196" t="s">
        <v>169</v>
      </c>
      <c r="H1569" s="196" t="s">
        <v>481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25">
      <c r="F1570" s="196" t="s">
        <v>939</v>
      </c>
      <c r="G1570" s="196" t="s">
        <v>169</v>
      </c>
      <c r="H1570" s="196" t="s">
        <v>481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25">
      <c r="F1571" s="196" t="s">
        <v>940</v>
      </c>
      <c r="G1571" s="196" t="s">
        <v>169</v>
      </c>
      <c r="H1571" s="196" t="s">
        <v>481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25">
      <c r="F1572" s="196" t="s">
        <v>941</v>
      </c>
      <c r="G1572" s="196" t="s">
        <v>169</v>
      </c>
      <c r="H1572" s="196" t="s">
        <v>481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25">
      <c r="F1573" s="196" t="s">
        <v>942</v>
      </c>
      <c r="G1573" s="196" t="s">
        <v>169</v>
      </c>
      <c r="H1573" s="196" t="s">
        <v>481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25">
      <c r="F1574" s="93" t="s">
        <v>943</v>
      </c>
      <c r="G1574" s="93" t="s">
        <v>169</v>
      </c>
      <c r="H1574" s="93" t="s">
        <v>481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2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2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25">
      <c r="F1577" s="91" t="s">
        <v>928</v>
      </c>
      <c r="G1577" s="91" t="s">
        <v>170</v>
      </c>
      <c r="H1577" s="91" t="s">
        <v>481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25">
      <c r="F1578" s="196" t="s">
        <v>929</v>
      </c>
      <c r="G1578" s="196" t="s">
        <v>170</v>
      </c>
      <c r="H1578" s="196" t="s">
        <v>481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25">
      <c r="F1579" s="196" t="s">
        <v>930</v>
      </c>
      <c r="G1579" s="196" t="s">
        <v>170</v>
      </c>
      <c r="H1579" s="196" t="s">
        <v>481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25">
      <c r="F1580" s="196" t="s">
        <v>931</v>
      </c>
      <c r="G1580" s="196" t="s">
        <v>170</v>
      </c>
      <c r="H1580" s="196" t="s">
        <v>481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25">
      <c r="F1581" s="196" t="s">
        <v>932</v>
      </c>
      <c r="G1581" s="196" t="s">
        <v>170</v>
      </c>
      <c r="H1581" s="196" t="s">
        <v>481</v>
      </c>
      <c r="I1581" s="66"/>
      <c r="J1581" s="233">
        <f t="shared" ref="J1581:J1583" si="159">CHOOSE(year_selection, L1581,M1581,N1581,O1581,P1581,Q1581,R1581,S1581)</f>
        <v>2579.3713654173321</v>
      </c>
      <c r="K1581" s="234"/>
      <c r="L1581" s="329"/>
      <c r="M1581" s="329"/>
      <c r="N1581" s="329"/>
      <c r="O1581" s="329">
        <v>2579.3713654173321</v>
      </c>
      <c r="P1581" s="329">
        <v>2579.3713654173321</v>
      </c>
      <c r="Q1581" s="329">
        <v>2579.3713654173321</v>
      </c>
      <c r="R1581" s="329">
        <v>2579.3713654173321</v>
      </c>
      <c r="S1581" s="329">
        <v>2579.3713654173321</v>
      </c>
    </row>
    <row r="1582" spans="5:19" s="293" customFormat="1" x14ac:dyDescent="0.25">
      <c r="F1582" s="196" t="s">
        <v>933</v>
      </c>
      <c r="G1582" s="196" t="s">
        <v>170</v>
      </c>
      <c r="H1582" s="196" t="s">
        <v>481</v>
      </c>
      <c r="I1582" s="66"/>
      <c r="J1582" s="233">
        <f t="shared" si="159"/>
        <v>257.47357870280734</v>
      </c>
      <c r="K1582" s="234"/>
      <c r="L1582" s="329"/>
      <c r="M1582" s="329"/>
      <c r="N1582" s="329"/>
      <c r="O1582" s="329">
        <v>257.47357870280734</v>
      </c>
      <c r="P1582" s="329">
        <v>257.47357870280734</v>
      </c>
      <c r="Q1582" s="329">
        <v>257.47357870280734</v>
      </c>
      <c r="R1582" s="329">
        <v>257.47357870280734</v>
      </c>
      <c r="S1582" s="329">
        <v>257.47357870280734</v>
      </c>
    </row>
    <row r="1583" spans="5:19" s="293" customFormat="1" x14ac:dyDescent="0.25">
      <c r="F1583" s="196" t="s">
        <v>934</v>
      </c>
      <c r="G1583" s="196" t="s">
        <v>170</v>
      </c>
      <c r="H1583" s="196" t="s">
        <v>481</v>
      </c>
      <c r="I1583" s="66"/>
      <c r="J1583" s="233">
        <f t="shared" si="159"/>
        <v>25.730190699295822</v>
      </c>
      <c r="K1583" s="234"/>
      <c r="L1583" s="329"/>
      <c r="M1583" s="329"/>
      <c r="N1583" s="329"/>
      <c r="O1583" s="329">
        <v>25.730190699295822</v>
      </c>
      <c r="P1583" s="329">
        <v>25.730190699295822</v>
      </c>
      <c r="Q1583" s="329">
        <v>25.730190699295822</v>
      </c>
      <c r="R1583" s="329">
        <v>25.730190699295822</v>
      </c>
      <c r="S1583" s="329">
        <v>25.730190699295822</v>
      </c>
    </row>
    <row r="1584" spans="5:19" s="293" customFormat="1" x14ac:dyDescent="0.25">
      <c r="F1584" s="196" t="s">
        <v>935</v>
      </c>
      <c r="G1584" s="196" t="s">
        <v>170</v>
      </c>
      <c r="H1584" s="196" t="s">
        <v>481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25">
      <c r="F1585" s="196" t="s">
        <v>936</v>
      </c>
      <c r="G1585" s="196" t="s">
        <v>170</v>
      </c>
      <c r="H1585" s="196" t="s">
        <v>481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25">
      <c r="F1586" s="196" t="s">
        <v>937</v>
      </c>
      <c r="G1586" s="196" t="s">
        <v>170</v>
      </c>
      <c r="H1586" s="196" t="s">
        <v>481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25">
      <c r="F1587" s="196" t="s">
        <v>938</v>
      </c>
      <c r="G1587" s="196" t="s">
        <v>170</v>
      </c>
      <c r="H1587" s="196" t="s">
        <v>481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25">
      <c r="F1588" s="196" t="s">
        <v>939</v>
      </c>
      <c r="G1588" s="196" t="s">
        <v>170</v>
      </c>
      <c r="H1588" s="196" t="s">
        <v>481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25">
      <c r="F1589" s="196" t="s">
        <v>940</v>
      </c>
      <c r="G1589" s="196" t="s">
        <v>170</v>
      </c>
      <c r="H1589" s="196" t="s">
        <v>481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25">
      <c r="F1590" s="196" t="s">
        <v>941</v>
      </c>
      <c r="G1590" s="196" t="s">
        <v>170</v>
      </c>
      <c r="H1590" s="196" t="s">
        <v>481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25">
      <c r="F1591" s="196" t="s">
        <v>942</v>
      </c>
      <c r="G1591" s="196" t="s">
        <v>170</v>
      </c>
      <c r="H1591" s="196" t="s">
        <v>481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25">
      <c r="F1592" s="93" t="s">
        <v>943</v>
      </c>
      <c r="G1592" s="93" t="s">
        <v>170</v>
      </c>
      <c r="H1592" s="93" t="s">
        <v>481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2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25">
      <c r="C1594" s="7" t="str">
        <f ca="1">INDEX('Version control'!$H$34:$H$60,MATCH($A$1,'Version control'!$F$34:$F$60,0),1)&amp;"-O: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25">
      <c r="D1595" s="96"/>
      <c r="I1595" s="111"/>
    </row>
    <row r="1596" spans="3:21" s="293" customFormat="1" x14ac:dyDescent="0.2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692</v>
      </c>
    </row>
    <row r="1597" spans="3:21" s="293" customFormat="1" x14ac:dyDescent="0.25">
      <c r="F1597" s="91" t="s">
        <v>928</v>
      </c>
      <c r="G1597" s="91" t="s">
        <v>120</v>
      </c>
      <c r="H1597" s="91" t="s">
        <v>481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25">
      <c r="F1598" s="196" t="s">
        <v>929</v>
      </c>
      <c r="G1598" s="196" t="s">
        <v>120</v>
      </c>
      <c r="H1598" s="196" t="s">
        <v>481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25">
      <c r="F1599" s="196" t="s">
        <v>930</v>
      </c>
      <c r="G1599" s="196" t="s">
        <v>120</v>
      </c>
      <c r="H1599" s="196" t="s">
        <v>481</v>
      </c>
      <c r="I1599" s="66"/>
      <c r="J1599" s="233">
        <f t="shared" ref="J1599" si="160">CHOOSE(year_selection, L1599,M1599,N1599,O1599,P1599,Q1599,R1599,S1599)</f>
        <v>125.13441568888412</v>
      </c>
      <c r="K1599" s="234"/>
      <c r="L1599" s="329"/>
      <c r="M1599" s="329"/>
      <c r="N1599" s="329"/>
      <c r="O1599" s="329">
        <v>125.13441568888412</v>
      </c>
      <c r="P1599" s="329">
        <v>125.13441568888412</v>
      </c>
      <c r="Q1599" s="329">
        <v>125.13441568888412</v>
      </c>
      <c r="R1599" s="329">
        <v>125.13441568888412</v>
      </c>
      <c r="S1599" s="329">
        <v>125.13441568888412</v>
      </c>
    </row>
    <row r="1600" spans="3:21" s="293" customFormat="1" x14ac:dyDescent="0.25">
      <c r="F1600" s="196" t="s">
        <v>931</v>
      </c>
      <c r="G1600" s="196" t="s">
        <v>120</v>
      </c>
      <c r="H1600" s="196" t="s">
        <v>481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25">
      <c r="F1601" s="196" t="s">
        <v>932</v>
      </c>
      <c r="G1601" s="196" t="s">
        <v>120</v>
      </c>
      <c r="H1601" s="196" t="s">
        <v>481</v>
      </c>
      <c r="I1601" s="66"/>
      <c r="J1601" s="233">
        <f t="shared" ref="J1601:J1603" si="161">CHOOSE(year_selection, L1601,M1601,N1601,O1601,P1601,Q1601,R1601,S1601)</f>
        <v>2430.0134934551165</v>
      </c>
      <c r="K1601" s="234"/>
      <c r="L1601" s="329"/>
      <c r="M1601" s="329"/>
      <c r="N1601" s="329"/>
      <c r="O1601" s="329">
        <v>2430.0134934551165</v>
      </c>
      <c r="P1601" s="329">
        <v>2430.0134934551165</v>
      </c>
      <c r="Q1601" s="329">
        <v>2430.0134934551165</v>
      </c>
      <c r="R1601" s="329">
        <v>2430.0134934551165</v>
      </c>
      <c r="S1601" s="329">
        <v>2430.0134934551165</v>
      </c>
    </row>
    <row r="1602" spans="5:19" s="293" customFormat="1" x14ac:dyDescent="0.25">
      <c r="F1602" s="196" t="s">
        <v>933</v>
      </c>
      <c r="G1602" s="196" t="s">
        <v>120</v>
      </c>
      <c r="H1602" s="196" t="s">
        <v>481</v>
      </c>
      <c r="I1602" s="66"/>
      <c r="J1602" s="233">
        <f t="shared" si="161"/>
        <v>1150.8614630290597</v>
      </c>
      <c r="K1602" s="234"/>
      <c r="L1602" s="329"/>
      <c r="M1602" s="329"/>
      <c r="N1602" s="329"/>
      <c r="O1602" s="329">
        <v>1150.8614630290597</v>
      </c>
      <c r="P1602" s="329">
        <v>1150.8614630290597</v>
      </c>
      <c r="Q1602" s="329">
        <v>1150.8614630290597</v>
      </c>
      <c r="R1602" s="329">
        <v>1150.8614630290597</v>
      </c>
      <c r="S1602" s="329">
        <v>1150.8614630290597</v>
      </c>
    </row>
    <row r="1603" spans="5:19" s="293" customFormat="1" x14ac:dyDescent="0.25">
      <c r="F1603" s="196" t="s">
        <v>934</v>
      </c>
      <c r="G1603" s="196" t="s">
        <v>120</v>
      </c>
      <c r="H1603" s="196" t="s">
        <v>481</v>
      </c>
      <c r="I1603" s="66"/>
      <c r="J1603" s="233">
        <f t="shared" si="161"/>
        <v>733.7502414139301</v>
      </c>
      <c r="K1603" s="234"/>
      <c r="L1603" s="329"/>
      <c r="M1603" s="329"/>
      <c r="N1603" s="329"/>
      <c r="O1603" s="329">
        <v>733.7502414139301</v>
      </c>
      <c r="P1603" s="329">
        <v>733.7502414139301</v>
      </c>
      <c r="Q1603" s="329">
        <v>733.7502414139301</v>
      </c>
      <c r="R1603" s="329">
        <v>733.7502414139301</v>
      </c>
      <c r="S1603" s="329">
        <v>733.7502414139301</v>
      </c>
    </row>
    <row r="1604" spans="5:19" s="293" customFormat="1" x14ac:dyDescent="0.25">
      <c r="F1604" s="196" t="s">
        <v>935</v>
      </c>
      <c r="G1604" s="196" t="s">
        <v>120</v>
      </c>
      <c r="H1604" s="196" t="s">
        <v>481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25">
      <c r="F1605" s="196" t="s">
        <v>936</v>
      </c>
      <c r="G1605" s="196" t="s">
        <v>120</v>
      </c>
      <c r="H1605" s="196" t="s">
        <v>481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25">
      <c r="F1606" s="196" t="s">
        <v>937</v>
      </c>
      <c r="G1606" s="196" t="s">
        <v>120</v>
      </c>
      <c r="H1606" s="196" t="s">
        <v>481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25">
      <c r="F1607" s="196" t="s">
        <v>938</v>
      </c>
      <c r="G1607" s="196" t="s">
        <v>120</v>
      </c>
      <c r="H1607" s="196" t="s">
        <v>481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25">
      <c r="F1608" s="196" t="s">
        <v>939</v>
      </c>
      <c r="G1608" s="196" t="s">
        <v>120</v>
      </c>
      <c r="H1608" s="196" t="s">
        <v>481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25">
      <c r="F1609" s="196" t="s">
        <v>940</v>
      </c>
      <c r="G1609" s="196" t="s">
        <v>120</v>
      </c>
      <c r="H1609" s="196" t="s">
        <v>481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25">
      <c r="F1610" s="196" t="s">
        <v>941</v>
      </c>
      <c r="G1610" s="196" t="s">
        <v>120</v>
      </c>
      <c r="H1610" s="196" t="s">
        <v>481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25">
      <c r="F1611" s="196" t="s">
        <v>942</v>
      </c>
      <c r="G1611" s="196" t="s">
        <v>120</v>
      </c>
      <c r="H1611" s="196" t="s">
        <v>481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25">
      <c r="F1612" s="93" t="s">
        <v>943</v>
      </c>
      <c r="G1612" s="93" t="s">
        <v>120</v>
      </c>
      <c r="H1612" s="93" t="s">
        <v>481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2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2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25">
      <c r="F1615" s="91" t="s">
        <v>928</v>
      </c>
      <c r="G1615" s="91" t="s">
        <v>120</v>
      </c>
      <c r="H1615" s="91" t="s">
        <v>481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25">
      <c r="F1616" s="196" t="s">
        <v>929</v>
      </c>
      <c r="G1616" s="196" t="s">
        <v>120</v>
      </c>
      <c r="H1616" s="196" t="s">
        <v>481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25">
      <c r="F1617" s="196" t="s">
        <v>930</v>
      </c>
      <c r="G1617" s="196" t="s">
        <v>120</v>
      </c>
      <c r="H1617" s="196" t="s">
        <v>481</v>
      </c>
      <c r="I1617" s="66"/>
      <c r="J1617" s="233">
        <f t="shared" ref="J1617" si="162">CHOOSE(year_selection, L1617,M1617,N1617,O1617,P1617,Q1617,R1617,S1617)</f>
        <v>657.27346634781577</v>
      </c>
      <c r="K1617" s="234"/>
      <c r="L1617" s="329"/>
      <c r="M1617" s="329"/>
      <c r="N1617" s="329"/>
      <c r="O1617" s="329">
        <v>657.27346634781577</v>
      </c>
      <c r="P1617" s="329">
        <v>657.27346634781577</v>
      </c>
      <c r="Q1617" s="329">
        <v>657.27346634781577</v>
      </c>
      <c r="R1617" s="329">
        <v>657.27346634781577</v>
      </c>
      <c r="S1617" s="329">
        <v>657.27346634781577</v>
      </c>
    </row>
    <row r="1618" spans="5:19" s="293" customFormat="1" x14ac:dyDescent="0.25">
      <c r="F1618" s="196" t="s">
        <v>931</v>
      </c>
      <c r="G1618" s="196" t="s">
        <v>120</v>
      </c>
      <c r="H1618" s="196" t="s">
        <v>481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25">
      <c r="F1619" s="196" t="s">
        <v>932</v>
      </c>
      <c r="G1619" s="196" t="s">
        <v>120</v>
      </c>
      <c r="H1619" s="196" t="s">
        <v>481</v>
      </c>
      <c r="I1619" s="66"/>
      <c r="J1619" s="233">
        <f t="shared" ref="J1619:J1621" si="163">CHOOSE(year_selection, L1619,M1619,N1619,O1619,P1619,Q1619,R1619,S1619)</f>
        <v>10499.675841707125</v>
      </c>
      <c r="K1619" s="234"/>
      <c r="L1619" s="329"/>
      <c r="M1619" s="329"/>
      <c r="N1619" s="329"/>
      <c r="O1619" s="329">
        <v>10499.675841707125</v>
      </c>
      <c r="P1619" s="329">
        <v>10499.675841707125</v>
      </c>
      <c r="Q1619" s="329">
        <v>10499.675841707125</v>
      </c>
      <c r="R1619" s="329">
        <v>10499.675841707125</v>
      </c>
      <c r="S1619" s="329">
        <v>10499.675841707125</v>
      </c>
    </row>
    <row r="1620" spans="5:19" s="293" customFormat="1" x14ac:dyDescent="0.25">
      <c r="F1620" s="196" t="s">
        <v>933</v>
      </c>
      <c r="G1620" s="196" t="s">
        <v>120</v>
      </c>
      <c r="H1620" s="196" t="s">
        <v>481</v>
      </c>
      <c r="I1620" s="66"/>
      <c r="J1620" s="233">
        <f t="shared" si="163"/>
        <v>5377.7959216787649</v>
      </c>
      <c r="K1620" s="234"/>
      <c r="L1620" s="329"/>
      <c r="M1620" s="329"/>
      <c r="N1620" s="329"/>
      <c r="O1620" s="329">
        <v>5377.7959216787649</v>
      </c>
      <c r="P1620" s="329">
        <v>5377.7959216787649</v>
      </c>
      <c r="Q1620" s="329">
        <v>5377.7959216787649</v>
      </c>
      <c r="R1620" s="329">
        <v>5377.7959216787649</v>
      </c>
      <c r="S1620" s="329">
        <v>5377.7959216787649</v>
      </c>
    </row>
    <row r="1621" spans="5:19" s="293" customFormat="1" x14ac:dyDescent="0.25">
      <c r="F1621" s="196" t="s">
        <v>934</v>
      </c>
      <c r="G1621" s="196" t="s">
        <v>120</v>
      </c>
      <c r="H1621" s="196" t="s">
        <v>481</v>
      </c>
      <c r="I1621" s="66"/>
      <c r="J1621" s="233">
        <f t="shared" si="163"/>
        <v>3343.8742908178201</v>
      </c>
      <c r="K1621" s="234"/>
      <c r="L1621" s="329"/>
      <c r="M1621" s="329"/>
      <c r="N1621" s="329"/>
      <c r="O1621" s="329">
        <v>3343.8742908178201</v>
      </c>
      <c r="P1621" s="329">
        <v>3343.8742908178201</v>
      </c>
      <c r="Q1621" s="329">
        <v>3343.8742908178201</v>
      </c>
      <c r="R1621" s="329">
        <v>3343.8742908178201</v>
      </c>
      <c r="S1621" s="329">
        <v>3343.8742908178201</v>
      </c>
    </row>
    <row r="1622" spans="5:19" s="293" customFormat="1" x14ac:dyDescent="0.25">
      <c r="F1622" s="196" t="s">
        <v>935</v>
      </c>
      <c r="G1622" s="196" t="s">
        <v>120</v>
      </c>
      <c r="H1622" s="196" t="s">
        <v>481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25">
      <c r="F1623" s="196" t="s">
        <v>936</v>
      </c>
      <c r="G1623" s="196" t="s">
        <v>120</v>
      </c>
      <c r="H1623" s="196" t="s">
        <v>481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25">
      <c r="F1624" s="196" t="s">
        <v>937</v>
      </c>
      <c r="G1624" s="196" t="s">
        <v>120</v>
      </c>
      <c r="H1624" s="196" t="s">
        <v>481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25">
      <c r="F1625" s="196" t="s">
        <v>938</v>
      </c>
      <c r="G1625" s="196" t="s">
        <v>120</v>
      </c>
      <c r="H1625" s="196" t="s">
        <v>481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25">
      <c r="F1626" s="196" t="s">
        <v>939</v>
      </c>
      <c r="G1626" s="196" t="s">
        <v>120</v>
      </c>
      <c r="H1626" s="196" t="s">
        <v>481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25">
      <c r="F1627" s="196" t="s">
        <v>940</v>
      </c>
      <c r="G1627" s="196" t="s">
        <v>120</v>
      </c>
      <c r="H1627" s="196" t="s">
        <v>481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25">
      <c r="F1628" s="196" t="s">
        <v>941</v>
      </c>
      <c r="G1628" s="196" t="s">
        <v>120</v>
      </c>
      <c r="H1628" s="196" t="s">
        <v>481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25">
      <c r="F1629" s="196" t="s">
        <v>942</v>
      </c>
      <c r="G1629" s="196" t="s">
        <v>120</v>
      </c>
      <c r="H1629" s="196" t="s">
        <v>481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25">
      <c r="F1630" s="93" t="s">
        <v>943</v>
      </c>
      <c r="G1630" s="93" t="s">
        <v>120</v>
      </c>
      <c r="H1630" s="93" t="s">
        <v>481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2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2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25">
      <c r="F1633" s="91" t="s">
        <v>928</v>
      </c>
      <c r="G1633" s="91" t="s">
        <v>120</v>
      </c>
      <c r="H1633" s="91" t="s">
        <v>481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25">
      <c r="F1634" s="196" t="s">
        <v>929</v>
      </c>
      <c r="G1634" s="196" t="s">
        <v>120</v>
      </c>
      <c r="H1634" s="196" t="s">
        <v>481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25">
      <c r="F1635" s="196" t="s">
        <v>930</v>
      </c>
      <c r="G1635" s="196" t="s">
        <v>120</v>
      </c>
      <c r="H1635" s="196" t="s">
        <v>481</v>
      </c>
      <c r="I1635" s="66"/>
      <c r="J1635" s="233">
        <f t="shared" ref="J1635" si="164">CHOOSE(year_selection, L1635,M1635,N1635,O1635,P1635,Q1635,R1635,S1635)</f>
        <v>638.18581137862441</v>
      </c>
      <c r="K1635" s="234"/>
      <c r="L1635" s="329"/>
      <c r="M1635" s="329"/>
      <c r="N1635" s="329"/>
      <c r="O1635" s="329">
        <v>638.18581137862441</v>
      </c>
      <c r="P1635" s="329">
        <v>638.18581137862441</v>
      </c>
      <c r="Q1635" s="329">
        <v>638.18581137862441</v>
      </c>
      <c r="R1635" s="329">
        <v>638.18581137862441</v>
      </c>
      <c r="S1635" s="329">
        <v>638.18581137862441</v>
      </c>
    </row>
    <row r="1636" spans="6:19" s="293" customFormat="1" x14ac:dyDescent="0.25">
      <c r="F1636" s="196" t="s">
        <v>931</v>
      </c>
      <c r="G1636" s="196" t="s">
        <v>120</v>
      </c>
      <c r="H1636" s="196" t="s">
        <v>481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25">
      <c r="F1637" s="196" t="s">
        <v>932</v>
      </c>
      <c r="G1637" s="196" t="s">
        <v>120</v>
      </c>
      <c r="H1637" s="196" t="s">
        <v>481</v>
      </c>
      <c r="I1637" s="66"/>
      <c r="J1637" s="233">
        <f t="shared" ref="J1637:J1639" si="165">CHOOSE(year_selection, L1637,M1637,N1637,O1637,P1637,Q1637,R1637,S1637)</f>
        <v>9732.1216583887599</v>
      </c>
      <c r="K1637" s="234"/>
      <c r="L1637" s="329"/>
      <c r="M1637" s="329"/>
      <c r="N1637" s="329"/>
      <c r="O1637" s="329">
        <v>9732.1216583887599</v>
      </c>
      <c r="P1637" s="329">
        <v>9732.1216583887599</v>
      </c>
      <c r="Q1637" s="329">
        <v>9732.1216583887599</v>
      </c>
      <c r="R1637" s="329">
        <v>9732.1216583887599</v>
      </c>
      <c r="S1637" s="329">
        <v>9732.1216583887599</v>
      </c>
    </row>
    <row r="1638" spans="6:19" s="293" customFormat="1" x14ac:dyDescent="0.25">
      <c r="F1638" s="196" t="s">
        <v>933</v>
      </c>
      <c r="G1638" s="196" t="s">
        <v>120</v>
      </c>
      <c r="H1638" s="196" t="s">
        <v>481</v>
      </c>
      <c r="I1638" s="66"/>
      <c r="J1638" s="233">
        <f t="shared" si="165"/>
        <v>5190.4876890229843</v>
      </c>
      <c r="K1638" s="234"/>
      <c r="L1638" s="329"/>
      <c r="M1638" s="329"/>
      <c r="N1638" s="329"/>
      <c r="O1638" s="329">
        <v>5190.4876890229843</v>
      </c>
      <c r="P1638" s="329">
        <v>5190.4876890229843</v>
      </c>
      <c r="Q1638" s="329">
        <v>5190.4876890229843</v>
      </c>
      <c r="R1638" s="329">
        <v>5190.4876890229843</v>
      </c>
      <c r="S1638" s="329">
        <v>5190.4876890229843</v>
      </c>
    </row>
    <row r="1639" spans="6:19" s="293" customFormat="1" x14ac:dyDescent="0.25">
      <c r="F1639" s="196" t="s">
        <v>934</v>
      </c>
      <c r="G1639" s="196" t="s">
        <v>120</v>
      </c>
      <c r="H1639" s="196" t="s">
        <v>481</v>
      </c>
      <c r="I1639" s="66"/>
      <c r="J1639" s="233">
        <f t="shared" si="165"/>
        <v>3455.886374984314</v>
      </c>
      <c r="K1639" s="234"/>
      <c r="L1639" s="329"/>
      <c r="M1639" s="329"/>
      <c r="N1639" s="329"/>
      <c r="O1639" s="329">
        <v>3455.886374984314</v>
      </c>
      <c r="P1639" s="329">
        <v>3455.886374984314</v>
      </c>
      <c r="Q1639" s="329">
        <v>3455.886374984314</v>
      </c>
      <c r="R1639" s="329">
        <v>3455.886374984314</v>
      </c>
      <c r="S1639" s="329">
        <v>3455.886374984314</v>
      </c>
    </row>
    <row r="1640" spans="6:19" s="293" customFormat="1" x14ac:dyDescent="0.25">
      <c r="F1640" s="196" t="s">
        <v>935</v>
      </c>
      <c r="G1640" s="196" t="s">
        <v>120</v>
      </c>
      <c r="H1640" s="196" t="s">
        <v>481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25">
      <c r="F1641" s="196" t="s">
        <v>936</v>
      </c>
      <c r="G1641" s="196" t="s">
        <v>120</v>
      </c>
      <c r="H1641" s="196" t="s">
        <v>481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25">
      <c r="F1642" s="196" t="s">
        <v>937</v>
      </c>
      <c r="G1642" s="196" t="s">
        <v>120</v>
      </c>
      <c r="H1642" s="196" t="s">
        <v>481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25">
      <c r="F1643" s="196" t="s">
        <v>938</v>
      </c>
      <c r="G1643" s="196" t="s">
        <v>120</v>
      </c>
      <c r="H1643" s="196" t="s">
        <v>481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25">
      <c r="F1644" s="196" t="s">
        <v>939</v>
      </c>
      <c r="G1644" s="196" t="s">
        <v>120</v>
      </c>
      <c r="H1644" s="196" t="s">
        <v>481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25">
      <c r="F1645" s="196" t="s">
        <v>940</v>
      </c>
      <c r="G1645" s="196" t="s">
        <v>120</v>
      </c>
      <c r="H1645" s="196" t="s">
        <v>481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25">
      <c r="F1646" s="196" t="s">
        <v>941</v>
      </c>
      <c r="G1646" s="196" t="s">
        <v>120</v>
      </c>
      <c r="H1646" s="196" t="s">
        <v>481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25">
      <c r="F1647" s="196" t="s">
        <v>942</v>
      </c>
      <c r="G1647" s="196" t="s">
        <v>120</v>
      </c>
      <c r="H1647" s="196" t="s">
        <v>481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25">
      <c r="F1648" s="93" t="s">
        <v>943</v>
      </c>
      <c r="G1648" s="93" t="s">
        <v>120</v>
      </c>
      <c r="H1648" s="93" t="s">
        <v>481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2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2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25">
      <c r="F1651" s="91" t="s">
        <v>928</v>
      </c>
      <c r="G1651" s="91" t="s">
        <v>74</v>
      </c>
      <c r="H1651" s="91" t="s">
        <v>481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25">
      <c r="F1652" s="196" t="s">
        <v>929</v>
      </c>
      <c r="G1652" s="196" t="s">
        <v>74</v>
      </c>
      <c r="H1652" s="196" t="s">
        <v>481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25">
      <c r="F1653" s="196" t="s">
        <v>930</v>
      </c>
      <c r="G1653" s="196" t="s">
        <v>74</v>
      </c>
      <c r="H1653" s="196" t="s">
        <v>481</v>
      </c>
      <c r="I1653" s="66"/>
      <c r="J1653" s="233">
        <f t="shared" ref="J1653" si="166">CHOOSE(year_selection, L1653,M1653,N1653,O1653,P1653,Q1653,R1653,S1653)</f>
        <v>97</v>
      </c>
      <c r="K1653" s="234"/>
      <c r="L1653" s="329"/>
      <c r="M1653" s="329"/>
      <c r="N1653" s="329"/>
      <c r="O1653" s="329">
        <v>97</v>
      </c>
      <c r="P1653" s="329">
        <v>97</v>
      </c>
      <c r="Q1653" s="329">
        <v>97</v>
      </c>
      <c r="R1653" s="329">
        <v>97</v>
      </c>
      <c r="S1653" s="329">
        <v>97</v>
      </c>
    </row>
    <row r="1654" spans="5:19" s="293" customFormat="1" x14ac:dyDescent="0.25">
      <c r="F1654" s="196" t="s">
        <v>931</v>
      </c>
      <c r="G1654" s="196" t="s">
        <v>74</v>
      </c>
      <c r="H1654" s="196" t="s">
        <v>481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25">
      <c r="F1655" s="196" t="s">
        <v>932</v>
      </c>
      <c r="G1655" s="196" t="s">
        <v>74</v>
      </c>
      <c r="H1655" s="196" t="s">
        <v>481</v>
      </c>
      <c r="I1655" s="66"/>
      <c r="J1655" s="233">
        <f t="shared" ref="J1655:J1657" si="167">CHOOSE(year_selection, L1655,M1655,N1655,O1655,P1655,Q1655,R1655,S1655)</f>
        <v>36</v>
      </c>
      <c r="K1655" s="234"/>
      <c r="L1655" s="329"/>
      <c r="M1655" s="329"/>
      <c r="N1655" s="329"/>
      <c r="O1655" s="329">
        <v>36</v>
      </c>
      <c r="P1655" s="329">
        <v>36</v>
      </c>
      <c r="Q1655" s="329">
        <v>36</v>
      </c>
      <c r="R1655" s="329">
        <v>36</v>
      </c>
      <c r="S1655" s="329">
        <v>36</v>
      </c>
    </row>
    <row r="1656" spans="5:19" s="293" customFormat="1" x14ac:dyDescent="0.25">
      <c r="F1656" s="196" t="s">
        <v>933</v>
      </c>
      <c r="G1656" s="196" t="s">
        <v>74</v>
      </c>
      <c r="H1656" s="196" t="s">
        <v>481</v>
      </c>
      <c r="I1656" s="66"/>
      <c r="J1656" s="233">
        <f t="shared" si="167"/>
        <v>16</v>
      </c>
      <c r="K1656" s="234"/>
      <c r="L1656" s="329"/>
      <c r="M1656" s="329"/>
      <c r="N1656" s="329"/>
      <c r="O1656" s="329">
        <v>16</v>
      </c>
      <c r="P1656" s="329">
        <v>16</v>
      </c>
      <c r="Q1656" s="329">
        <v>16</v>
      </c>
      <c r="R1656" s="329">
        <v>16</v>
      </c>
      <c r="S1656" s="329">
        <v>16</v>
      </c>
    </row>
    <row r="1657" spans="5:19" s="293" customFormat="1" x14ac:dyDescent="0.25">
      <c r="F1657" s="196" t="s">
        <v>934</v>
      </c>
      <c r="G1657" s="196" t="s">
        <v>74</v>
      </c>
      <c r="H1657" s="196" t="s">
        <v>481</v>
      </c>
      <c r="I1657" s="66"/>
      <c r="J1657" s="233">
        <f t="shared" si="167"/>
        <v>8</v>
      </c>
      <c r="K1657" s="234"/>
      <c r="L1657" s="329"/>
      <c r="M1657" s="329"/>
      <c r="N1657" s="329"/>
      <c r="O1657" s="329">
        <v>8</v>
      </c>
      <c r="P1657" s="329">
        <v>8</v>
      </c>
      <c r="Q1657" s="329">
        <v>8</v>
      </c>
      <c r="R1657" s="329">
        <v>8</v>
      </c>
      <c r="S1657" s="329">
        <v>8</v>
      </c>
    </row>
    <row r="1658" spans="5:19" s="293" customFormat="1" x14ac:dyDescent="0.25">
      <c r="F1658" s="196" t="s">
        <v>935</v>
      </c>
      <c r="G1658" s="196" t="s">
        <v>74</v>
      </c>
      <c r="H1658" s="196" t="s">
        <v>481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25">
      <c r="F1659" s="196" t="s">
        <v>936</v>
      </c>
      <c r="G1659" s="196" t="s">
        <v>74</v>
      </c>
      <c r="H1659" s="196" t="s">
        <v>481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25">
      <c r="F1660" s="196" t="s">
        <v>937</v>
      </c>
      <c r="G1660" s="196" t="s">
        <v>74</v>
      </c>
      <c r="H1660" s="196" t="s">
        <v>481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25">
      <c r="F1661" s="196" t="s">
        <v>938</v>
      </c>
      <c r="G1661" s="196" t="s">
        <v>74</v>
      </c>
      <c r="H1661" s="196" t="s">
        <v>481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25">
      <c r="F1662" s="196" t="s">
        <v>939</v>
      </c>
      <c r="G1662" s="196" t="s">
        <v>74</v>
      </c>
      <c r="H1662" s="196" t="s">
        <v>481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25">
      <c r="F1663" s="196" t="s">
        <v>940</v>
      </c>
      <c r="G1663" s="196" t="s">
        <v>74</v>
      </c>
      <c r="H1663" s="196" t="s">
        <v>481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25">
      <c r="F1664" s="196" t="s">
        <v>941</v>
      </c>
      <c r="G1664" s="196" t="s">
        <v>74</v>
      </c>
      <c r="H1664" s="196" t="s">
        <v>481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25">
      <c r="F1665" s="196" t="s">
        <v>942</v>
      </c>
      <c r="G1665" s="196" t="s">
        <v>74</v>
      </c>
      <c r="H1665" s="196" t="s">
        <v>481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25">
      <c r="F1666" s="93" t="s">
        <v>943</v>
      </c>
      <c r="G1666" s="93" t="s">
        <v>74</v>
      </c>
      <c r="H1666" s="93" t="s">
        <v>481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2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2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25">
      <c r="F1669" s="91" t="s">
        <v>928</v>
      </c>
      <c r="G1669" s="91" t="s">
        <v>169</v>
      </c>
      <c r="H1669" s="91" t="s">
        <v>481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25">
      <c r="F1670" s="196" t="s">
        <v>929</v>
      </c>
      <c r="G1670" s="196" t="s">
        <v>169</v>
      </c>
      <c r="H1670" s="196" t="s">
        <v>481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25">
      <c r="F1671" s="196" t="s">
        <v>930</v>
      </c>
      <c r="G1671" s="196" t="s">
        <v>169</v>
      </c>
      <c r="H1671" s="196" t="s">
        <v>481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25">
      <c r="F1672" s="196" t="s">
        <v>931</v>
      </c>
      <c r="G1672" s="196" t="s">
        <v>169</v>
      </c>
      <c r="H1672" s="196" t="s">
        <v>481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25">
      <c r="F1673" s="196" t="s">
        <v>932</v>
      </c>
      <c r="G1673" s="196" t="s">
        <v>169</v>
      </c>
      <c r="H1673" s="196" t="s">
        <v>481</v>
      </c>
      <c r="I1673" s="66"/>
      <c r="J1673" s="233">
        <f t="shared" ref="J1673:J1675" si="168">CHOOSE(year_selection, L1673,M1673,N1673,O1673,P1673,Q1673,R1673,S1673)</f>
        <v>22751</v>
      </c>
      <c r="K1673" s="234"/>
      <c r="L1673" s="329"/>
      <c r="M1673" s="329"/>
      <c r="N1673" s="329"/>
      <c r="O1673" s="329">
        <v>22751</v>
      </c>
      <c r="P1673" s="329">
        <v>22751</v>
      </c>
      <c r="Q1673" s="329">
        <v>22751</v>
      </c>
      <c r="R1673" s="329">
        <v>22751</v>
      </c>
      <c r="S1673" s="329">
        <v>22751</v>
      </c>
    </row>
    <row r="1674" spans="5:19" s="293" customFormat="1" x14ac:dyDescent="0.25">
      <c r="F1674" s="196" t="s">
        <v>933</v>
      </c>
      <c r="G1674" s="196" t="s">
        <v>169</v>
      </c>
      <c r="H1674" s="196" t="s">
        <v>481</v>
      </c>
      <c r="I1674" s="66"/>
      <c r="J1674" s="233">
        <f t="shared" si="168"/>
        <v>10957</v>
      </c>
      <c r="K1674" s="234"/>
      <c r="L1674" s="329"/>
      <c r="M1674" s="329"/>
      <c r="N1674" s="329"/>
      <c r="O1674" s="329">
        <v>10957</v>
      </c>
      <c r="P1674" s="329">
        <v>10957</v>
      </c>
      <c r="Q1674" s="329">
        <v>10957</v>
      </c>
      <c r="R1674" s="329">
        <v>10957</v>
      </c>
      <c r="S1674" s="329">
        <v>10957</v>
      </c>
    </row>
    <row r="1675" spans="5:19" s="293" customFormat="1" x14ac:dyDescent="0.25">
      <c r="F1675" s="196" t="s">
        <v>934</v>
      </c>
      <c r="G1675" s="196" t="s">
        <v>169</v>
      </c>
      <c r="H1675" s="196" t="s">
        <v>481</v>
      </c>
      <c r="I1675" s="66"/>
      <c r="J1675" s="233">
        <f t="shared" si="168"/>
        <v>4959</v>
      </c>
      <c r="K1675" s="234"/>
      <c r="L1675" s="329"/>
      <c r="M1675" s="329"/>
      <c r="N1675" s="329"/>
      <c r="O1675" s="329">
        <v>4959</v>
      </c>
      <c r="P1675" s="329">
        <v>4959</v>
      </c>
      <c r="Q1675" s="329">
        <v>4959</v>
      </c>
      <c r="R1675" s="329">
        <v>4959</v>
      </c>
      <c r="S1675" s="329">
        <v>4959</v>
      </c>
    </row>
    <row r="1676" spans="5:19" s="293" customFormat="1" x14ac:dyDescent="0.25">
      <c r="F1676" s="196" t="s">
        <v>935</v>
      </c>
      <c r="G1676" s="196" t="s">
        <v>169</v>
      </c>
      <c r="H1676" s="196" t="s">
        <v>481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25">
      <c r="F1677" s="196" t="s">
        <v>936</v>
      </c>
      <c r="G1677" s="196" t="s">
        <v>169</v>
      </c>
      <c r="H1677" s="196" t="s">
        <v>481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25">
      <c r="F1678" s="196" t="s">
        <v>937</v>
      </c>
      <c r="G1678" s="196" t="s">
        <v>169</v>
      </c>
      <c r="H1678" s="196" t="s">
        <v>481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25">
      <c r="F1679" s="196" t="s">
        <v>938</v>
      </c>
      <c r="G1679" s="196" t="s">
        <v>169</v>
      </c>
      <c r="H1679" s="196" t="s">
        <v>481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25">
      <c r="F1680" s="196" t="s">
        <v>939</v>
      </c>
      <c r="G1680" s="196" t="s">
        <v>169</v>
      </c>
      <c r="H1680" s="196" t="s">
        <v>481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25">
      <c r="F1681" s="196" t="s">
        <v>940</v>
      </c>
      <c r="G1681" s="196" t="s">
        <v>169</v>
      </c>
      <c r="H1681" s="196" t="s">
        <v>481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25">
      <c r="F1682" s="196" t="s">
        <v>941</v>
      </c>
      <c r="G1682" s="196" t="s">
        <v>169</v>
      </c>
      <c r="H1682" s="196" t="s">
        <v>481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25">
      <c r="F1683" s="196" t="s">
        <v>942</v>
      </c>
      <c r="G1683" s="196" t="s">
        <v>169</v>
      </c>
      <c r="H1683" s="196" t="s">
        <v>481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25">
      <c r="F1684" s="93" t="s">
        <v>943</v>
      </c>
      <c r="G1684" s="93" t="s">
        <v>169</v>
      </c>
      <c r="H1684" s="93" t="s">
        <v>481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2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2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25">
      <c r="F1687" s="91" t="s">
        <v>928</v>
      </c>
      <c r="G1687" s="91" t="s">
        <v>169</v>
      </c>
      <c r="H1687" s="91" t="s">
        <v>481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25">
      <c r="F1688" s="196" t="s">
        <v>929</v>
      </c>
      <c r="G1688" s="196" t="s">
        <v>169</v>
      </c>
      <c r="H1688" s="196" t="s">
        <v>481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25">
      <c r="F1689" s="196" t="s">
        <v>930</v>
      </c>
      <c r="G1689" s="196" t="s">
        <v>169</v>
      </c>
      <c r="H1689" s="196" t="s">
        <v>481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25">
      <c r="F1690" s="196" t="s">
        <v>931</v>
      </c>
      <c r="G1690" s="196" t="s">
        <v>169</v>
      </c>
      <c r="H1690" s="196" t="s">
        <v>481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25">
      <c r="F1691" s="196" t="s">
        <v>932</v>
      </c>
      <c r="G1691" s="196" t="s">
        <v>169</v>
      </c>
      <c r="H1691" s="196" t="s">
        <v>481</v>
      </c>
      <c r="I1691" s="66"/>
      <c r="J1691" s="233">
        <f t="shared" ref="J1691:J1693" si="169">CHOOSE(year_selection, L1691,M1691,N1691,O1691,P1691,Q1691,R1691,S1691)</f>
        <v>19.213011300822995</v>
      </c>
      <c r="K1691" s="234"/>
      <c r="L1691" s="329"/>
      <c r="M1691" s="329"/>
      <c r="N1691" s="329"/>
      <c r="O1691" s="329">
        <v>19.213011300822995</v>
      </c>
      <c r="P1691" s="329">
        <v>19.213011300822995</v>
      </c>
      <c r="Q1691" s="329">
        <v>19.213011300822995</v>
      </c>
      <c r="R1691" s="329">
        <v>19.213011300822995</v>
      </c>
      <c r="S1691" s="329">
        <v>19.213011300822995</v>
      </c>
    </row>
    <row r="1692" spans="5:19" s="293" customFormat="1" x14ac:dyDescent="0.25">
      <c r="F1692" s="196" t="s">
        <v>933</v>
      </c>
      <c r="G1692" s="196" t="s">
        <v>169</v>
      </c>
      <c r="H1692" s="196" t="s">
        <v>481</v>
      </c>
      <c r="I1692" s="66"/>
      <c r="J1692" s="233">
        <f t="shared" si="169"/>
        <v>0</v>
      </c>
      <c r="K1692" s="234"/>
      <c r="L1692" s="329"/>
      <c r="M1692" s="329"/>
      <c r="N1692" s="329"/>
      <c r="O1692" s="329">
        <v>0</v>
      </c>
      <c r="P1692" s="329">
        <v>0</v>
      </c>
      <c r="Q1692" s="329">
        <v>0</v>
      </c>
      <c r="R1692" s="329">
        <v>0</v>
      </c>
      <c r="S1692" s="329">
        <v>0</v>
      </c>
    </row>
    <row r="1693" spans="5:19" s="293" customFormat="1" x14ac:dyDescent="0.25">
      <c r="F1693" s="196" t="s">
        <v>934</v>
      </c>
      <c r="G1693" s="196" t="s">
        <v>169</v>
      </c>
      <c r="H1693" s="196" t="s">
        <v>481</v>
      </c>
      <c r="I1693" s="66"/>
      <c r="J1693" s="233">
        <f t="shared" si="169"/>
        <v>2.7947605103534827</v>
      </c>
      <c r="K1693" s="234"/>
      <c r="L1693" s="329"/>
      <c r="M1693" s="329"/>
      <c r="N1693" s="329"/>
      <c r="O1693" s="329">
        <v>2.7947605103534827</v>
      </c>
      <c r="P1693" s="329">
        <v>2.7947605103534827</v>
      </c>
      <c r="Q1693" s="329">
        <v>2.7947605103534827</v>
      </c>
      <c r="R1693" s="329">
        <v>2.7947605103534827</v>
      </c>
      <c r="S1693" s="329">
        <v>2.7947605103534827</v>
      </c>
    </row>
    <row r="1694" spans="5:19" s="293" customFormat="1" x14ac:dyDescent="0.25">
      <c r="F1694" s="196" t="s">
        <v>935</v>
      </c>
      <c r="G1694" s="196" t="s">
        <v>169</v>
      </c>
      <c r="H1694" s="196" t="s">
        <v>481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25">
      <c r="F1695" s="196" t="s">
        <v>936</v>
      </c>
      <c r="G1695" s="196" t="s">
        <v>169</v>
      </c>
      <c r="H1695" s="196" t="s">
        <v>481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25">
      <c r="F1696" s="196" t="s">
        <v>937</v>
      </c>
      <c r="G1696" s="196" t="s">
        <v>169</v>
      </c>
      <c r="H1696" s="196" t="s">
        <v>481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25">
      <c r="F1697" s="196" t="s">
        <v>938</v>
      </c>
      <c r="G1697" s="196" t="s">
        <v>169</v>
      </c>
      <c r="H1697" s="196" t="s">
        <v>481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25">
      <c r="F1698" s="196" t="s">
        <v>939</v>
      </c>
      <c r="G1698" s="196" t="s">
        <v>169</v>
      </c>
      <c r="H1698" s="196" t="s">
        <v>481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25">
      <c r="F1699" s="196" t="s">
        <v>940</v>
      </c>
      <c r="G1699" s="196" t="s">
        <v>169</v>
      </c>
      <c r="H1699" s="196" t="s">
        <v>481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25">
      <c r="F1700" s="196" t="s">
        <v>941</v>
      </c>
      <c r="G1700" s="196" t="s">
        <v>169</v>
      </c>
      <c r="H1700" s="196" t="s">
        <v>481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25">
      <c r="F1701" s="196" t="s">
        <v>942</v>
      </c>
      <c r="G1701" s="196" t="s">
        <v>169</v>
      </c>
      <c r="H1701" s="196" t="s">
        <v>481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25">
      <c r="F1702" s="93" t="s">
        <v>943</v>
      </c>
      <c r="G1702" s="93" t="s">
        <v>169</v>
      </c>
      <c r="H1702" s="93" t="s">
        <v>481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2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2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25">
      <c r="F1705" s="91" t="s">
        <v>928</v>
      </c>
      <c r="G1705" s="91" t="s">
        <v>170</v>
      </c>
      <c r="H1705" s="91" t="s">
        <v>481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25">
      <c r="F1706" s="196" t="s">
        <v>929</v>
      </c>
      <c r="G1706" s="196" t="s">
        <v>170</v>
      </c>
      <c r="H1706" s="196" t="s">
        <v>481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25">
      <c r="F1707" s="196" t="s">
        <v>930</v>
      </c>
      <c r="G1707" s="196" t="s">
        <v>170</v>
      </c>
      <c r="H1707" s="196" t="s">
        <v>481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25">
      <c r="F1708" s="196" t="s">
        <v>931</v>
      </c>
      <c r="G1708" s="196" t="s">
        <v>170</v>
      </c>
      <c r="H1708" s="196" t="s">
        <v>481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25">
      <c r="F1709" s="196" t="s">
        <v>932</v>
      </c>
      <c r="G1709" s="196" t="s">
        <v>170</v>
      </c>
      <c r="H1709" s="196" t="s">
        <v>481</v>
      </c>
      <c r="I1709" s="66"/>
      <c r="J1709" s="233">
        <f t="shared" ref="J1709:J1711" si="170">CHOOSE(year_selection, L1709,M1709,N1709,O1709,P1709,Q1709,R1709,S1709)</f>
        <v>1557.5358424134015</v>
      </c>
      <c r="K1709" s="234"/>
      <c r="L1709" s="329"/>
      <c r="M1709" s="329"/>
      <c r="N1709" s="329"/>
      <c r="O1709" s="329">
        <v>1557.5358424134015</v>
      </c>
      <c r="P1709" s="329">
        <v>1557.5358424134015</v>
      </c>
      <c r="Q1709" s="329">
        <v>1557.5358424134015</v>
      </c>
      <c r="R1709" s="329">
        <v>1557.5358424134015</v>
      </c>
      <c r="S1709" s="329">
        <v>1557.5358424134015</v>
      </c>
    </row>
    <row r="1710" spans="5:19" s="293" customFormat="1" x14ac:dyDescent="0.25">
      <c r="F1710" s="196" t="s">
        <v>933</v>
      </c>
      <c r="G1710" s="196" t="s">
        <v>170</v>
      </c>
      <c r="H1710" s="196" t="s">
        <v>481</v>
      </c>
      <c r="I1710" s="66"/>
      <c r="J1710" s="233">
        <f t="shared" si="170"/>
        <v>2902.4053516940949</v>
      </c>
      <c r="K1710" s="234"/>
      <c r="L1710" s="329"/>
      <c r="M1710" s="329"/>
      <c r="N1710" s="329"/>
      <c r="O1710" s="329">
        <v>2902.4053516940949</v>
      </c>
      <c r="P1710" s="329">
        <v>2902.4053516940949</v>
      </c>
      <c r="Q1710" s="329">
        <v>2902.4053516940949</v>
      </c>
      <c r="R1710" s="329">
        <v>2902.4053516940949</v>
      </c>
      <c r="S1710" s="329">
        <v>2902.4053516940949</v>
      </c>
    </row>
    <row r="1711" spans="5:19" s="293" customFormat="1" x14ac:dyDescent="0.25">
      <c r="F1711" s="196" t="s">
        <v>934</v>
      </c>
      <c r="G1711" s="196" t="s">
        <v>170</v>
      </c>
      <c r="H1711" s="196" t="s">
        <v>481</v>
      </c>
      <c r="I1711" s="66"/>
      <c r="J1711" s="233">
        <f t="shared" si="170"/>
        <v>117.70850154779335</v>
      </c>
      <c r="K1711" s="234"/>
      <c r="L1711" s="329"/>
      <c r="M1711" s="329"/>
      <c r="N1711" s="329"/>
      <c r="O1711" s="329">
        <v>117.70850154779335</v>
      </c>
      <c r="P1711" s="329">
        <v>117.70850154779335</v>
      </c>
      <c r="Q1711" s="329">
        <v>117.70850154779335</v>
      </c>
      <c r="R1711" s="329">
        <v>117.70850154779335</v>
      </c>
      <c r="S1711" s="329">
        <v>117.70850154779335</v>
      </c>
    </row>
    <row r="1712" spans="5:19" s="293" customFormat="1" x14ac:dyDescent="0.25">
      <c r="F1712" s="196" t="s">
        <v>935</v>
      </c>
      <c r="G1712" s="196" t="s">
        <v>170</v>
      </c>
      <c r="H1712" s="196" t="s">
        <v>481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25">
      <c r="F1713" s="196" t="s">
        <v>936</v>
      </c>
      <c r="G1713" s="196" t="s">
        <v>170</v>
      </c>
      <c r="H1713" s="196" t="s">
        <v>481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25">
      <c r="F1714" s="196" t="s">
        <v>937</v>
      </c>
      <c r="G1714" s="196" t="s">
        <v>170</v>
      </c>
      <c r="H1714" s="196" t="s">
        <v>481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25">
      <c r="F1715" s="196" t="s">
        <v>938</v>
      </c>
      <c r="G1715" s="196" t="s">
        <v>170</v>
      </c>
      <c r="H1715" s="196" t="s">
        <v>481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25">
      <c r="F1716" s="196" t="s">
        <v>939</v>
      </c>
      <c r="G1716" s="196" t="s">
        <v>170</v>
      </c>
      <c r="H1716" s="196" t="s">
        <v>481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25">
      <c r="F1717" s="196" t="s">
        <v>940</v>
      </c>
      <c r="G1717" s="196" t="s">
        <v>170</v>
      </c>
      <c r="H1717" s="196" t="s">
        <v>481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25">
      <c r="F1718" s="196" t="s">
        <v>941</v>
      </c>
      <c r="G1718" s="196" t="s">
        <v>170</v>
      </c>
      <c r="H1718" s="196" t="s">
        <v>481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25">
      <c r="F1719" s="196" t="s">
        <v>942</v>
      </c>
      <c r="G1719" s="196" t="s">
        <v>170</v>
      </c>
      <c r="H1719" s="196" t="s">
        <v>481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25">
      <c r="F1720" s="93" t="s">
        <v>943</v>
      </c>
      <c r="G1720" s="93" t="s">
        <v>170</v>
      </c>
      <c r="H1720" s="93" t="s">
        <v>481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2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25">
      <c r="C1722" s="7" t="str">
        <f ca="1">INDEX('Version control'!$H$34:$H$60,MATCH($A$1,'Version control'!$F$34:$F$60,0),1)&amp;"-P: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25">
      <c r="D1723" s="96"/>
      <c r="I1723" s="111"/>
    </row>
    <row r="1724" spans="3:21" s="293" customFormat="1" x14ac:dyDescent="0.2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692</v>
      </c>
    </row>
    <row r="1725" spans="3:21" s="293" customFormat="1" x14ac:dyDescent="0.25">
      <c r="F1725" s="91" t="s">
        <v>928</v>
      </c>
      <c r="G1725" s="91" t="s">
        <v>120</v>
      </c>
      <c r="H1725" s="91" t="s">
        <v>481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25">
      <c r="F1726" s="196" t="s">
        <v>929</v>
      </c>
      <c r="G1726" s="196" t="s">
        <v>120</v>
      </c>
      <c r="H1726" s="196" t="s">
        <v>481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25">
      <c r="F1727" s="196" t="s">
        <v>930</v>
      </c>
      <c r="G1727" s="196" t="s">
        <v>120</v>
      </c>
      <c r="H1727" s="196" t="s">
        <v>481</v>
      </c>
      <c r="I1727" s="66"/>
      <c r="J1727" s="233">
        <f t="shared" ref="J1727" si="171">CHOOSE(year_selection, L1727,M1727,N1727,O1727,P1727,Q1727,R1727,S1727)</f>
        <v>158.52011102732766</v>
      </c>
      <c r="K1727" s="234"/>
      <c r="L1727" s="329"/>
      <c r="M1727" s="329"/>
      <c r="N1727" s="329"/>
      <c r="O1727" s="329">
        <v>158.52011102732766</v>
      </c>
      <c r="P1727" s="329">
        <v>158.52011102732766</v>
      </c>
      <c r="Q1727" s="329">
        <v>158.52011102732766</v>
      </c>
      <c r="R1727" s="329">
        <v>158.52011102732766</v>
      </c>
      <c r="S1727" s="329">
        <v>158.52011102732766</v>
      </c>
    </row>
    <row r="1728" spans="3:21" s="293" customFormat="1" x14ac:dyDescent="0.25">
      <c r="F1728" s="196" t="s">
        <v>931</v>
      </c>
      <c r="G1728" s="196" t="s">
        <v>120</v>
      </c>
      <c r="H1728" s="196" t="s">
        <v>481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25">
      <c r="F1729" s="196" t="s">
        <v>932</v>
      </c>
      <c r="G1729" s="196" t="s">
        <v>120</v>
      </c>
      <c r="H1729" s="196" t="s">
        <v>481</v>
      </c>
      <c r="I1729" s="66"/>
      <c r="J1729" s="233">
        <f t="shared" ref="J1729:J1731" si="172">CHOOSE(year_selection, L1729,M1729,N1729,O1729,P1729,Q1729,R1729,S1729)</f>
        <v>288.384529573593</v>
      </c>
      <c r="K1729" s="234"/>
      <c r="L1729" s="329"/>
      <c r="M1729" s="329"/>
      <c r="N1729" s="329"/>
      <c r="O1729" s="329">
        <v>288.384529573593</v>
      </c>
      <c r="P1729" s="329">
        <v>288.384529573593</v>
      </c>
      <c r="Q1729" s="329">
        <v>288.384529573593</v>
      </c>
      <c r="R1729" s="329">
        <v>288.384529573593</v>
      </c>
      <c r="S1729" s="329">
        <v>288.384529573593</v>
      </c>
    </row>
    <row r="1730" spans="5:19" s="293" customFormat="1" x14ac:dyDescent="0.25">
      <c r="F1730" s="196" t="s">
        <v>933</v>
      </c>
      <c r="G1730" s="196" t="s">
        <v>120</v>
      </c>
      <c r="H1730" s="196" t="s">
        <v>481</v>
      </c>
      <c r="I1730" s="66"/>
      <c r="J1730" s="233">
        <f t="shared" si="172"/>
        <v>157.55153733171392</v>
      </c>
      <c r="K1730" s="234"/>
      <c r="L1730" s="329"/>
      <c r="M1730" s="329"/>
      <c r="N1730" s="329"/>
      <c r="O1730" s="329">
        <v>157.55153733171392</v>
      </c>
      <c r="P1730" s="329">
        <v>157.55153733171392</v>
      </c>
      <c r="Q1730" s="329">
        <v>157.55153733171392</v>
      </c>
      <c r="R1730" s="329">
        <v>157.55153733171392</v>
      </c>
      <c r="S1730" s="329">
        <v>157.55153733171392</v>
      </c>
    </row>
    <row r="1731" spans="5:19" s="293" customFormat="1" x14ac:dyDescent="0.25">
      <c r="F1731" s="196" t="s">
        <v>934</v>
      </c>
      <c r="G1731" s="196" t="s">
        <v>120</v>
      </c>
      <c r="H1731" s="196" t="s">
        <v>481</v>
      </c>
      <c r="I1731" s="66"/>
      <c r="J1731" s="233">
        <f t="shared" si="172"/>
        <v>547.46438661656407</v>
      </c>
      <c r="K1731" s="234"/>
      <c r="L1731" s="329"/>
      <c r="M1731" s="329"/>
      <c r="N1731" s="329"/>
      <c r="O1731" s="329">
        <v>547.46438661656407</v>
      </c>
      <c r="P1731" s="329">
        <v>547.46438661656407</v>
      </c>
      <c r="Q1731" s="329">
        <v>547.46438661656407</v>
      </c>
      <c r="R1731" s="329">
        <v>547.46438661656407</v>
      </c>
      <c r="S1731" s="329">
        <v>547.46438661656407</v>
      </c>
    </row>
    <row r="1732" spans="5:19" s="293" customFormat="1" x14ac:dyDescent="0.25">
      <c r="F1732" s="196" t="s">
        <v>935</v>
      </c>
      <c r="G1732" s="196" t="s">
        <v>120</v>
      </c>
      <c r="H1732" s="196" t="s">
        <v>481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25">
      <c r="F1733" s="196" t="s">
        <v>936</v>
      </c>
      <c r="G1733" s="196" t="s">
        <v>120</v>
      </c>
      <c r="H1733" s="196" t="s">
        <v>481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25">
      <c r="F1734" s="196" t="s">
        <v>937</v>
      </c>
      <c r="G1734" s="196" t="s">
        <v>120</v>
      </c>
      <c r="H1734" s="196" t="s">
        <v>481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25">
      <c r="F1735" s="196" t="s">
        <v>938</v>
      </c>
      <c r="G1735" s="196" t="s">
        <v>120</v>
      </c>
      <c r="H1735" s="196" t="s">
        <v>481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25">
      <c r="F1736" s="196" t="s">
        <v>939</v>
      </c>
      <c r="G1736" s="196" t="s">
        <v>120</v>
      </c>
      <c r="H1736" s="196" t="s">
        <v>481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25">
      <c r="F1737" s="196" t="s">
        <v>940</v>
      </c>
      <c r="G1737" s="196" t="s">
        <v>120</v>
      </c>
      <c r="H1737" s="196" t="s">
        <v>481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25">
      <c r="F1738" s="196" t="s">
        <v>941</v>
      </c>
      <c r="G1738" s="196" t="s">
        <v>120</v>
      </c>
      <c r="H1738" s="196" t="s">
        <v>481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25">
      <c r="F1739" s="196" t="s">
        <v>942</v>
      </c>
      <c r="G1739" s="196" t="s">
        <v>120</v>
      </c>
      <c r="H1739" s="196" t="s">
        <v>481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25">
      <c r="F1740" s="93" t="s">
        <v>943</v>
      </c>
      <c r="G1740" s="93" t="s">
        <v>120</v>
      </c>
      <c r="H1740" s="93" t="s">
        <v>481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2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2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25">
      <c r="F1743" s="91" t="s">
        <v>928</v>
      </c>
      <c r="G1743" s="91" t="s">
        <v>120</v>
      </c>
      <c r="H1743" s="91" t="s">
        <v>481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25">
      <c r="F1744" s="196" t="s">
        <v>929</v>
      </c>
      <c r="G1744" s="196" t="s">
        <v>120</v>
      </c>
      <c r="H1744" s="196" t="s">
        <v>481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25">
      <c r="F1745" s="196" t="s">
        <v>930</v>
      </c>
      <c r="G1745" s="196" t="s">
        <v>120</v>
      </c>
      <c r="H1745" s="196" t="s">
        <v>481</v>
      </c>
      <c r="I1745" s="66"/>
      <c r="J1745" s="233">
        <f t="shared" ref="J1745" si="173">CHOOSE(year_selection, L1745,M1745,N1745,O1745,P1745,Q1745,R1745,S1745)</f>
        <v>832.63315121730921</v>
      </c>
      <c r="K1745" s="234"/>
      <c r="L1745" s="329"/>
      <c r="M1745" s="329"/>
      <c r="N1745" s="329"/>
      <c r="O1745" s="329">
        <v>832.63315121730921</v>
      </c>
      <c r="P1745" s="329">
        <v>832.63315121730921</v>
      </c>
      <c r="Q1745" s="329">
        <v>832.63315121730921</v>
      </c>
      <c r="R1745" s="329">
        <v>832.63315121730921</v>
      </c>
      <c r="S1745" s="329">
        <v>832.63315121730921</v>
      </c>
    </row>
    <row r="1746" spans="5:19" s="293" customFormat="1" x14ac:dyDescent="0.25">
      <c r="F1746" s="196" t="s">
        <v>931</v>
      </c>
      <c r="G1746" s="196" t="s">
        <v>120</v>
      </c>
      <c r="H1746" s="196" t="s">
        <v>481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25">
      <c r="F1747" s="196" t="s">
        <v>932</v>
      </c>
      <c r="G1747" s="196" t="s">
        <v>120</v>
      </c>
      <c r="H1747" s="196" t="s">
        <v>481</v>
      </c>
      <c r="I1747" s="66"/>
      <c r="J1747" s="233">
        <f t="shared" ref="J1747:J1749" si="174">CHOOSE(year_selection, L1747,M1747,N1747,O1747,P1747,Q1747,R1747,S1747)</f>
        <v>1246.0606027255612</v>
      </c>
      <c r="K1747" s="234"/>
      <c r="L1747" s="329"/>
      <c r="M1747" s="329"/>
      <c r="N1747" s="329"/>
      <c r="O1747" s="329">
        <v>1246.0606027255612</v>
      </c>
      <c r="P1747" s="329">
        <v>1246.0606027255612</v>
      </c>
      <c r="Q1747" s="329">
        <v>1246.0606027255612</v>
      </c>
      <c r="R1747" s="329">
        <v>1246.0606027255612</v>
      </c>
      <c r="S1747" s="329">
        <v>1246.0606027255612</v>
      </c>
    </row>
    <row r="1748" spans="5:19" s="293" customFormat="1" x14ac:dyDescent="0.25">
      <c r="F1748" s="196" t="s">
        <v>933</v>
      </c>
      <c r="G1748" s="196" t="s">
        <v>120</v>
      </c>
      <c r="H1748" s="196" t="s">
        <v>481</v>
      </c>
      <c r="I1748" s="66"/>
      <c r="J1748" s="233">
        <f t="shared" si="174"/>
        <v>736.2137339160488</v>
      </c>
      <c r="K1748" s="234"/>
      <c r="L1748" s="329"/>
      <c r="M1748" s="329"/>
      <c r="N1748" s="329"/>
      <c r="O1748" s="329">
        <v>736.2137339160488</v>
      </c>
      <c r="P1748" s="329">
        <v>736.2137339160488</v>
      </c>
      <c r="Q1748" s="329">
        <v>736.2137339160488</v>
      </c>
      <c r="R1748" s="329">
        <v>736.2137339160488</v>
      </c>
      <c r="S1748" s="329">
        <v>736.2137339160488</v>
      </c>
    </row>
    <row r="1749" spans="5:19" s="293" customFormat="1" x14ac:dyDescent="0.25">
      <c r="F1749" s="196" t="s">
        <v>934</v>
      </c>
      <c r="G1749" s="196" t="s">
        <v>120</v>
      </c>
      <c r="H1749" s="196" t="s">
        <v>481</v>
      </c>
      <c r="I1749" s="66"/>
      <c r="J1749" s="233">
        <f t="shared" si="174"/>
        <v>2494.9253631832894</v>
      </c>
      <c r="K1749" s="234"/>
      <c r="L1749" s="329"/>
      <c r="M1749" s="329"/>
      <c r="N1749" s="329"/>
      <c r="O1749" s="329">
        <v>2494.9253631832894</v>
      </c>
      <c r="P1749" s="329">
        <v>2494.9253631832894</v>
      </c>
      <c r="Q1749" s="329">
        <v>2494.9253631832894</v>
      </c>
      <c r="R1749" s="329">
        <v>2494.9253631832894</v>
      </c>
      <c r="S1749" s="329">
        <v>2494.9253631832894</v>
      </c>
    </row>
    <row r="1750" spans="5:19" s="293" customFormat="1" x14ac:dyDescent="0.25">
      <c r="F1750" s="196" t="s">
        <v>935</v>
      </c>
      <c r="G1750" s="196" t="s">
        <v>120</v>
      </c>
      <c r="H1750" s="196" t="s">
        <v>481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25">
      <c r="F1751" s="196" t="s">
        <v>936</v>
      </c>
      <c r="G1751" s="196" t="s">
        <v>120</v>
      </c>
      <c r="H1751" s="196" t="s">
        <v>481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25">
      <c r="F1752" s="196" t="s">
        <v>937</v>
      </c>
      <c r="G1752" s="196" t="s">
        <v>120</v>
      </c>
      <c r="H1752" s="196" t="s">
        <v>481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25">
      <c r="F1753" s="196" t="s">
        <v>938</v>
      </c>
      <c r="G1753" s="196" t="s">
        <v>120</v>
      </c>
      <c r="H1753" s="196" t="s">
        <v>481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25">
      <c r="F1754" s="196" t="s">
        <v>939</v>
      </c>
      <c r="G1754" s="196" t="s">
        <v>120</v>
      </c>
      <c r="H1754" s="196" t="s">
        <v>481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25">
      <c r="F1755" s="196" t="s">
        <v>940</v>
      </c>
      <c r="G1755" s="196" t="s">
        <v>120</v>
      </c>
      <c r="H1755" s="196" t="s">
        <v>481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25">
      <c r="F1756" s="196" t="s">
        <v>941</v>
      </c>
      <c r="G1756" s="196" t="s">
        <v>120</v>
      </c>
      <c r="H1756" s="196" t="s">
        <v>481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25">
      <c r="F1757" s="196" t="s">
        <v>942</v>
      </c>
      <c r="G1757" s="196" t="s">
        <v>120</v>
      </c>
      <c r="H1757" s="196" t="s">
        <v>481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25">
      <c r="F1758" s="93" t="s">
        <v>943</v>
      </c>
      <c r="G1758" s="93" t="s">
        <v>120</v>
      </c>
      <c r="H1758" s="93" t="s">
        <v>481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2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2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25">
      <c r="F1761" s="91" t="s">
        <v>928</v>
      </c>
      <c r="G1761" s="91" t="s">
        <v>120</v>
      </c>
      <c r="H1761" s="91" t="s">
        <v>481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25">
      <c r="F1762" s="196" t="s">
        <v>929</v>
      </c>
      <c r="G1762" s="196" t="s">
        <v>120</v>
      </c>
      <c r="H1762" s="196" t="s">
        <v>481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25">
      <c r="F1763" s="196" t="s">
        <v>930</v>
      </c>
      <c r="G1763" s="196" t="s">
        <v>120</v>
      </c>
      <c r="H1763" s="196" t="s">
        <v>481</v>
      </c>
      <c r="I1763" s="66"/>
      <c r="J1763" s="233">
        <f t="shared" ref="J1763" si="175">CHOOSE(year_selection, L1763,M1763,N1763,O1763,P1763,Q1763,R1763,S1763)</f>
        <v>808.4529353405643</v>
      </c>
      <c r="K1763" s="234"/>
      <c r="L1763" s="329"/>
      <c r="M1763" s="329"/>
      <c r="N1763" s="329"/>
      <c r="O1763" s="329">
        <v>808.4529353405643</v>
      </c>
      <c r="P1763" s="329">
        <v>808.4529353405643</v>
      </c>
      <c r="Q1763" s="329">
        <v>808.4529353405643</v>
      </c>
      <c r="R1763" s="329">
        <v>808.4529353405643</v>
      </c>
      <c r="S1763" s="329">
        <v>808.4529353405643</v>
      </c>
    </row>
    <row r="1764" spans="6:19" s="293" customFormat="1" x14ac:dyDescent="0.25">
      <c r="F1764" s="196" t="s">
        <v>931</v>
      </c>
      <c r="G1764" s="196" t="s">
        <v>120</v>
      </c>
      <c r="H1764" s="196" t="s">
        <v>481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25">
      <c r="F1765" s="196" t="s">
        <v>932</v>
      </c>
      <c r="G1765" s="196" t="s">
        <v>120</v>
      </c>
      <c r="H1765" s="196" t="s">
        <v>481</v>
      </c>
      <c r="I1765" s="66"/>
      <c r="J1765" s="233">
        <f t="shared" ref="J1765:J1767" si="176">CHOOSE(year_selection, L1765,M1765,N1765,O1765,P1765,Q1765,R1765,S1765)</f>
        <v>1154.9702640609053</v>
      </c>
      <c r="K1765" s="234"/>
      <c r="L1765" s="329"/>
      <c r="M1765" s="329"/>
      <c r="N1765" s="329"/>
      <c r="O1765" s="329">
        <v>1154.9702640609053</v>
      </c>
      <c r="P1765" s="329">
        <v>1154.9702640609053</v>
      </c>
      <c r="Q1765" s="329">
        <v>1154.9702640609053</v>
      </c>
      <c r="R1765" s="329">
        <v>1154.9702640609053</v>
      </c>
      <c r="S1765" s="329">
        <v>1154.9702640609053</v>
      </c>
    </row>
    <row r="1766" spans="6:19" s="293" customFormat="1" x14ac:dyDescent="0.25">
      <c r="F1766" s="196" t="s">
        <v>933</v>
      </c>
      <c r="G1766" s="196" t="s">
        <v>120</v>
      </c>
      <c r="H1766" s="196" t="s">
        <v>481</v>
      </c>
      <c r="I1766" s="66"/>
      <c r="J1766" s="233">
        <f t="shared" si="176"/>
        <v>710.57146422693029</v>
      </c>
      <c r="K1766" s="234"/>
      <c r="L1766" s="329"/>
      <c r="M1766" s="329"/>
      <c r="N1766" s="329"/>
      <c r="O1766" s="329">
        <v>710.57146422693029</v>
      </c>
      <c r="P1766" s="329">
        <v>710.57146422693029</v>
      </c>
      <c r="Q1766" s="329">
        <v>710.57146422693029</v>
      </c>
      <c r="R1766" s="329">
        <v>710.57146422693029</v>
      </c>
      <c r="S1766" s="329">
        <v>710.57146422693029</v>
      </c>
    </row>
    <row r="1767" spans="6:19" s="293" customFormat="1" x14ac:dyDescent="0.25">
      <c r="F1767" s="196" t="s">
        <v>934</v>
      </c>
      <c r="G1767" s="196" t="s">
        <v>120</v>
      </c>
      <c r="H1767" s="196" t="s">
        <v>481</v>
      </c>
      <c r="I1767" s="66"/>
      <c r="J1767" s="233">
        <f t="shared" si="176"/>
        <v>2578.4996143258641</v>
      </c>
      <c r="K1767" s="234"/>
      <c r="L1767" s="329"/>
      <c r="M1767" s="329"/>
      <c r="N1767" s="329"/>
      <c r="O1767" s="329">
        <v>2578.4996143258641</v>
      </c>
      <c r="P1767" s="329">
        <v>2578.4996143258641</v>
      </c>
      <c r="Q1767" s="329">
        <v>2578.4996143258641</v>
      </c>
      <c r="R1767" s="329">
        <v>2578.4996143258641</v>
      </c>
      <c r="S1767" s="329">
        <v>2578.4996143258641</v>
      </c>
    </row>
    <row r="1768" spans="6:19" s="293" customFormat="1" x14ac:dyDescent="0.25">
      <c r="F1768" s="196" t="s">
        <v>935</v>
      </c>
      <c r="G1768" s="196" t="s">
        <v>120</v>
      </c>
      <c r="H1768" s="196" t="s">
        <v>481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25">
      <c r="F1769" s="196" t="s">
        <v>936</v>
      </c>
      <c r="G1769" s="196" t="s">
        <v>120</v>
      </c>
      <c r="H1769" s="196" t="s">
        <v>481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25">
      <c r="F1770" s="196" t="s">
        <v>937</v>
      </c>
      <c r="G1770" s="196" t="s">
        <v>120</v>
      </c>
      <c r="H1770" s="196" t="s">
        <v>481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25">
      <c r="F1771" s="196" t="s">
        <v>938</v>
      </c>
      <c r="G1771" s="196" t="s">
        <v>120</v>
      </c>
      <c r="H1771" s="196" t="s">
        <v>481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25">
      <c r="F1772" s="196" t="s">
        <v>939</v>
      </c>
      <c r="G1772" s="196" t="s">
        <v>120</v>
      </c>
      <c r="H1772" s="196" t="s">
        <v>481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25">
      <c r="F1773" s="196" t="s">
        <v>940</v>
      </c>
      <c r="G1773" s="196" t="s">
        <v>120</v>
      </c>
      <c r="H1773" s="196" t="s">
        <v>481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25">
      <c r="F1774" s="196" t="s">
        <v>941</v>
      </c>
      <c r="G1774" s="196" t="s">
        <v>120</v>
      </c>
      <c r="H1774" s="196" t="s">
        <v>481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25">
      <c r="F1775" s="196" t="s">
        <v>942</v>
      </c>
      <c r="G1775" s="196" t="s">
        <v>120</v>
      </c>
      <c r="H1775" s="196" t="s">
        <v>481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25">
      <c r="F1776" s="93" t="s">
        <v>943</v>
      </c>
      <c r="G1776" s="93" t="s">
        <v>120</v>
      </c>
      <c r="H1776" s="93" t="s">
        <v>481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2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2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25">
      <c r="F1779" s="91" t="s">
        <v>928</v>
      </c>
      <c r="G1779" s="91" t="s">
        <v>74</v>
      </c>
      <c r="H1779" s="91" t="s">
        <v>481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25">
      <c r="F1780" s="196" t="s">
        <v>929</v>
      </c>
      <c r="G1780" s="196" t="s">
        <v>74</v>
      </c>
      <c r="H1780" s="196" t="s">
        <v>481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25">
      <c r="F1781" s="196" t="s">
        <v>930</v>
      </c>
      <c r="G1781" s="196" t="s">
        <v>74</v>
      </c>
      <c r="H1781" s="196" t="s">
        <v>481</v>
      </c>
      <c r="I1781" s="66"/>
      <c r="J1781" s="233">
        <f t="shared" ref="J1781" si="177">CHOOSE(year_selection, L1781,M1781,N1781,O1781,P1781,Q1781,R1781,S1781)</f>
        <v>123</v>
      </c>
      <c r="K1781" s="234"/>
      <c r="L1781" s="329"/>
      <c r="M1781" s="329"/>
      <c r="N1781" s="329"/>
      <c r="O1781" s="329">
        <v>123</v>
      </c>
      <c r="P1781" s="329">
        <v>123</v>
      </c>
      <c r="Q1781" s="329">
        <v>123</v>
      </c>
      <c r="R1781" s="329">
        <v>123</v>
      </c>
      <c r="S1781" s="329">
        <v>123</v>
      </c>
    </row>
    <row r="1782" spans="5:19" s="293" customFormat="1" x14ac:dyDescent="0.25">
      <c r="F1782" s="196" t="s">
        <v>931</v>
      </c>
      <c r="G1782" s="196" t="s">
        <v>74</v>
      </c>
      <c r="H1782" s="196" t="s">
        <v>481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25">
      <c r="F1783" s="196" t="s">
        <v>932</v>
      </c>
      <c r="G1783" s="196" t="s">
        <v>74</v>
      </c>
      <c r="H1783" s="196" t="s">
        <v>481</v>
      </c>
      <c r="I1783" s="66"/>
      <c r="J1783" s="233">
        <f t="shared" ref="J1783:J1785" si="178">CHOOSE(year_selection, L1783,M1783,N1783,O1783,P1783,Q1783,R1783,S1783)</f>
        <v>2</v>
      </c>
      <c r="K1783" s="234"/>
      <c r="L1783" s="329"/>
      <c r="M1783" s="329"/>
      <c r="N1783" s="329"/>
      <c r="O1783" s="329">
        <v>2</v>
      </c>
      <c r="P1783" s="329">
        <v>2</v>
      </c>
      <c r="Q1783" s="329">
        <v>2</v>
      </c>
      <c r="R1783" s="329">
        <v>2</v>
      </c>
      <c r="S1783" s="329">
        <v>2</v>
      </c>
    </row>
    <row r="1784" spans="5:19" s="293" customFormat="1" x14ac:dyDescent="0.25">
      <c r="F1784" s="196" t="s">
        <v>933</v>
      </c>
      <c r="G1784" s="196" t="s">
        <v>74</v>
      </c>
      <c r="H1784" s="196" t="s">
        <v>481</v>
      </c>
      <c r="I1784" s="66"/>
      <c r="J1784" s="233">
        <f t="shared" si="178"/>
        <v>1</v>
      </c>
      <c r="K1784" s="234"/>
      <c r="L1784" s="329"/>
      <c r="M1784" s="329"/>
      <c r="N1784" s="329"/>
      <c r="O1784" s="329">
        <v>1</v>
      </c>
      <c r="P1784" s="329">
        <v>1</v>
      </c>
      <c r="Q1784" s="329">
        <v>1</v>
      </c>
      <c r="R1784" s="329">
        <v>1</v>
      </c>
      <c r="S1784" s="329">
        <v>1</v>
      </c>
    </row>
    <row r="1785" spans="5:19" s="293" customFormat="1" x14ac:dyDescent="0.25">
      <c r="F1785" s="196" t="s">
        <v>934</v>
      </c>
      <c r="G1785" s="196" t="s">
        <v>74</v>
      </c>
      <c r="H1785" s="196" t="s">
        <v>481</v>
      </c>
      <c r="I1785" s="66"/>
      <c r="J1785" s="233">
        <f t="shared" si="178"/>
        <v>3</v>
      </c>
      <c r="K1785" s="234"/>
      <c r="L1785" s="329"/>
      <c r="M1785" s="329"/>
      <c r="N1785" s="329"/>
      <c r="O1785" s="329">
        <v>3</v>
      </c>
      <c r="P1785" s="329">
        <v>3</v>
      </c>
      <c r="Q1785" s="329">
        <v>3</v>
      </c>
      <c r="R1785" s="329">
        <v>3</v>
      </c>
      <c r="S1785" s="329">
        <v>3</v>
      </c>
    </row>
    <row r="1786" spans="5:19" s="293" customFormat="1" x14ac:dyDescent="0.25">
      <c r="F1786" s="196" t="s">
        <v>935</v>
      </c>
      <c r="G1786" s="196" t="s">
        <v>74</v>
      </c>
      <c r="H1786" s="196" t="s">
        <v>481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25">
      <c r="F1787" s="196" t="s">
        <v>936</v>
      </c>
      <c r="G1787" s="196" t="s">
        <v>74</v>
      </c>
      <c r="H1787" s="196" t="s">
        <v>481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25">
      <c r="F1788" s="196" t="s">
        <v>937</v>
      </c>
      <c r="G1788" s="196" t="s">
        <v>74</v>
      </c>
      <c r="H1788" s="196" t="s">
        <v>481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25">
      <c r="F1789" s="196" t="s">
        <v>938</v>
      </c>
      <c r="G1789" s="196" t="s">
        <v>74</v>
      </c>
      <c r="H1789" s="196" t="s">
        <v>481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25">
      <c r="F1790" s="196" t="s">
        <v>939</v>
      </c>
      <c r="G1790" s="196" t="s">
        <v>74</v>
      </c>
      <c r="H1790" s="196" t="s">
        <v>481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25">
      <c r="F1791" s="196" t="s">
        <v>940</v>
      </c>
      <c r="G1791" s="196" t="s">
        <v>74</v>
      </c>
      <c r="H1791" s="196" t="s">
        <v>481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25">
      <c r="F1792" s="196" t="s">
        <v>941</v>
      </c>
      <c r="G1792" s="196" t="s">
        <v>74</v>
      </c>
      <c r="H1792" s="196" t="s">
        <v>481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25">
      <c r="F1793" s="196" t="s">
        <v>942</v>
      </c>
      <c r="G1793" s="196" t="s">
        <v>74</v>
      </c>
      <c r="H1793" s="196" t="s">
        <v>481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25">
      <c r="F1794" s="93" t="s">
        <v>943</v>
      </c>
      <c r="G1794" s="93" t="s">
        <v>74</v>
      </c>
      <c r="H1794" s="93" t="s">
        <v>481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2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2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25">
      <c r="F1797" s="91" t="s">
        <v>928</v>
      </c>
      <c r="G1797" s="91" t="s">
        <v>169</v>
      </c>
      <c r="H1797" s="91" t="s">
        <v>481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25">
      <c r="F1798" s="196" t="s">
        <v>929</v>
      </c>
      <c r="G1798" s="196" t="s">
        <v>169</v>
      </c>
      <c r="H1798" s="196" t="s">
        <v>481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25">
      <c r="F1799" s="196" t="s">
        <v>930</v>
      </c>
      <c r="G1799" s="196" t="s">
        <v>169</v>
      </c>
      <c r="H1799" s="196" t="s">
        <v>481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25">
      <c r="F1800" s="196" t="s">
        <v>931</v>
      </c>
      <c r="G1800" s="196" t="s">
        <v>169</v>
      </c>
      <c r="H1800" s="196" t="s">
        <v>481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25">
      <c r="F1801" s="196" t="s">
        <v>932</v>
      </c>
      <c r="G1801" s="196" t="s">
        <v>169</v>
      </c>
      <c r="H1801" s="196" t="s">
        <v>481</v>
      </c>
      <c r="I1801" s="66"/>
      <c r="J1801" s="233">
        <f t="shared" ref="J1801:J1803" si="179">CHOOSE(year_selection, L1801,M1801,N1801,O1801,P1801,Q1801,R1801,S1801)</f>
        <v>2700</v>
      </c>
      <c r="K1801" s="234"/>
      <c r="L1801" s="329"/>
      <c r="M1801" s="329"/>
      <c r="N1801" s="329"/>
      <c r="O1801" s="329">
        <v>2700</v>
      </c>
      <c r="P1801" s="329">
        <v>2700</v>
      </c>
      <c r="Q1801" s="329">
        <v>2700</v>
      </c>
      <c r="R1801" s="329">
        <v>2700</v>
      </c>
      <c r="S1801" s="329">
        <v>2700</v>
      </c>
    </row>
    <row r="1802" spans="5:19" s="293" customFormat="1" x14ac:dyDescent="0.25">
      <c r="F1802" s="196" t="s">
        <v>933</v>
      </c>
      <c r="G1802" s="196" t="s">
        <v>169</v>
      </c>
      <c r="H1802" s="196" t="s">
        <v>481</v>
      </c>
      <c r="I1802" s="66"/>
      <c r="J1802" s="233">
        <f t="shared" si="179"/>
        <v>1500</v>
      </c>
      <c r="K1802" s="234"/>
      <c r="L1802" s="329"/>
      <c r="M1802" s="329"/>
      <c r="N1802" s="329"/>
      <c r="O1802" s="329">
        <v>1500</v>
      </c>
      <c r="P1802" s="329">
        <v>1500</v>
      </c>
      <c r="Q1802" s="329">
        <v>1500</v>
      </c>
      <c r="R1802" s="329">
        <v>1500</v>
      </c>
      <c r="S1802" s="329">
        <v>1500</v>
      </c>
    </row>
    <row r="1803" spans="5:19" s="293" customFormat="1" x14ac:dyDescent="0.25">
      <c r="F1803" s="196" t="s">
        <v>934</v>
      </c>
      <c r="G1803" s="196" t="s">
        <v>169</v>
      </c>
      <c r="H1803" s="196" t="s">
        <v>481</v>
      </c>
      <c r="I1803" s="66"/>
      <c r="J1803" s="233">
        <f t="shared" si="179"/>
        <v>3700</v>
      </c>
      <c r="K1803" s="234"/>
      <c r="L1803" s="329"/>
      <c r="M1803" s="329"/>
      <c r="N1803" s="329"/>
      <c r="O1803" s="329">
        <v>3700</v>
      </c>
      <c r="P1803" s="329">
        <v>3700</v>
      </c>
      <c r="Q1803" s="329">
        <v>3700</v>
      </c>
      <c r="R1803" s="329">
        <v>3700</v>
      </c>
      <c r="S1803" s="329">
        <v>3700</v>
      </c>
    </row>
    <row r="1804" spans="5:19" s="293" customFormat="1" x14ac:dyDescent="0.25">
      <c r="F1804" s="196" t="s">
        <v>935</v>
      </c>
      <c r="G1804" s="196" t="s">
        <v>169</v>
      </c>
      <c r="H1804" s="196" t="s">
        <v>481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25">
      <c r="F1805" s="196" t="s">
        <v>936</v>
      </c>
      <c r="G1805" s="196" t="s">
        <v>169</v>
      </c>
      <c r="H1805" s="196" t="s">
        <v>481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25">
      <c r="F1806" s="196" t="s">
        <v>937</v>
      </c>
      <c r="G1806" s="196" t="s">
        <v>169</v>
      </c>
      <c r="H1806" s="196" t="s">
        <v>481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25">
      <c r="F1807" s="196" t="s">
        <v>938</v>
      </c>
      <c r="G1807" s="196" t="s">
        <v>169</v>
      </c>
      <c r="H1807" s="196" t="s">
        <v>481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25">
      <c r="F1808" s="196" t="s">
        <v>939</v>
      </c>
      <c r="G1808" s="196" t="s">
        <v>169</v>
      </c>
      <c r="H1808" s="196" t="s">
        <v>481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25">
      <c r="F1809" s="196" t="s">
        <v>940</v>
      </c>
      <c r="G1809" s="196" t="s">
        <v>169</v>
      </c>
      <c r="H1809" s="196" t="s">
        <v>481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25">
      <c r="F1810" s="196" t="s">
        <v>941</v>
      </c>
      <c r="G1810" s="196" t="s">
        <v>169</v>
      </c>
      <c r="H1810" s="196" t="s">
        <v>481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25">
      <c r="F1811" s="196" t="s">
        <v>942</v>
      </c>
      <c r="G1811" s="196" t="s">
        <v>169</v>
      </c>
      <c r="H1811" s="196" t="s">
        <v>481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25">
      <c r="F1812" s="93" t="s">
        <v>943</v>
      </c>
      <c r="G1812" s="93" t="s">
        <v>169</v>
      </c>
      <c r="H1812" s="93" t="s">
        <v>481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2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2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25">
      <c r="F1815" s="91" t="s">
        <v>928</v>
      </c>
      <c r="G1815" s="91" t="s">
        <v>169</v>
      </c>
      <c r="H1815" s="91" t="s">
        <v>481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25">
      <c r="F1816" s="196" t="s">
        <v>929</v>
      </c>
      <c r="G1816" s="196" t="s">
        <v>169</v>
      </c>
      <c r="H1816" s="196" t="s">
        <v>481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25">
      <c r="F1817" s="196" t="s">
        <v>930</v>
      </c>
      <c r="G1817" s="196" t="s">
        <v>169</v>
      </c>
      <c r="H1817" s="196" t="s">
        <v>481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25">
      <c r="F1818" s="196" t="s">
        <v>931</v>
      </c>
      <c r="G1818" s="196" t="s">
        <v>169</v>
      </c>
      <c r="H1818" s="196" t="s">
        <v>481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25">
      <c r="F1819" s="196" t="s">
        <v>932</v>
      </c>
      <c r="G1819" s="196" t="s">
        <v>169</v>
      </c>
      <c r="H1819" s="196" t="s">
        <v>481</v>
      </c>
      <c r="I1819" s="66"/>
      <c r="J1819" s="233">
        <f t="shared" ref="J1819:J1821" si="180">CHOOSE(year_selection, L1819,M1819,N1819,O1819,P1819,Q1819,R1819,S1819)</f>
        <v>2.2801252917332024</v>
      </c>
      <c r="K1819" s="234"/>
      <c r="L1819" s="329"/>
      <c r="M1819" s="329"/>
      <c r="N1819" s="329"/>
      <c r="O1819" s="329">
        <v>2.2801252917332024</v>
      </c>
      <c r="P1819" s="329">
        <v>2.2801252917332024</v>
      </c>
      <c r="Q1819" s="329">
        <v>2.2801252917332024</v>
      </c>
      <c r="R1819" s="329">
        <v>2.2801252917332024</v>
      </c>
      <c r="S1819" s="329">
        <v>2.2801252917332024</v>
      </c>
    </row>
    <row r="1820" spans="5:19" s="293" customFormat="1" x14ac:dyDescent="0.25">
      <c r="F1820" s="196" t="s">
        <v>933</v>
      </c>
      <c r="G1820" s="196" t="s">
        <v>169</v>
      </c>
      <c r="H1820" s="196" t="s">
        <v>481</v>
      </c>
      <c r="I1820" s="66"/>
      <c r="J1820" s="233">
        <f t="shared" si="180"/>
        <v>0</v>
      </c>
      <c r="K1820" s="234"/>
      <c r="L1820" s="329"/>
      <c r="M1820" s="329"/>
      <c r="N1820" s="329"/>
      <c r="O1820" s="329">
        <v>0</v>
      </c>
      <c r="P1820" s="329">
        <v>0</v>
      </c>
      <c r="Q1820" s="329">
        <v>0</v>
      </c>
      <c r="R1820" s="329">
        <v>0</v>
      </c>
      <c r="S1820" s="329">
        <v>0</v>
      </c>
    </row>
    <row r="1821" spans="5:19" s="293" customFormat="1" x14ac:dyDescent="0.25">
      <c r="F1821" s="196" t="s">
        <v>934</v>
      </c>
      <c r="G1821" s="196" t="s">
        <v>169</v>
      </c>
      <c r="H1821" s="196" t="s">
        <v>481</v>
      </c>
      <c r="I1821" s="66"/>
      <c r="J1821" s="233">
        <f t="shared" si="180"/>
        <v>2.085221594738432</v>
      </c>
      <c r="K1821" s="234"/>
      <c r="L1821" s="329"/>
      <c r="M1821" s="329"/>
      <c r="N1821" s="329"/>
      <c r="O1821" s="329">
        <v>2.085221594738432</v>
      </c>
      <c r="P1821" s="329">
        <v>2.085221594738432</v>
      </c>
      <c r="Q1821" s="329">
        <v>2.085221594738432</v>
      </c>
      <c r="R1821" s="329">
        <v>2.085221594738432</v>
      </c>
      <c r="S1821" s="329">
        <v>2.085221594738432</v>
      </c>
    </row>
    <row r="1822" spans="5:19" s="293" customFormat="1" x14ac:dyDescent="0.25">
      <c r="F1822" s="196" t="s">
        <v>935</v>
      </c>
      <c r="G1822" s="196" t="s">
        <v>169</v>
      </c>
      <c r="H1822" s="196" t="s">
        <v>481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25">
      <c r="F1823" s="196" t="s">
        <v>936</v>
      </c>
      <c r="G1823" s="196" t="s">
        <v>169</v>
      </c>
      <c r="H1823" s="196" t="s">
        <v>481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25">
      <c r="F1824" s="196" t="s">
        <v>937</v>
      </c>
      <c r="G1824" s="196" t="s">
        <v>169</v>
      </c>
      <c r="H1824" s="196" t="s">
        <v>481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25">
      <c r="F1825" s="196" t="s">
        <v>938</v>
      </c>
      <c r="G1825" s="196" t="s">
        <v>169</v>
      </c>
      <c r="H1825" s="196" t="s">
        <v>481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25">
      <c r="F1826" s="196" t="s">
        <v>939</v>
      </c>
      <c r="G1826" s="196" t="s">
        <v>169</v>
      </c>
      <c r="H1826" s="196" t="s">
        <v>481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25">
      <c r="F1827" s="196" t="s">
        <v>940</v>
      </c>
      <c r="G1827" s="196" t="s">
        <v>169</v>
      </c>
      <c r="H1827" s="196" t="s">
        <v>481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25">
      <c r="F1828" s="196" t="s">
        <v>941</v>
      </c>
      <c r="G1828" s="196" t="s">
        <v>169</v>
      </c>
      <c r="H1828" s="196" t="s">
        <v>481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25">
      <c r="F1829" s="196" t="s">
        <v>942</v>
      </c>
      <c r="G1829" s="196" t="s">
        <v>169</v>
      </c>
      <c r="H1829" s="196" t="s">
        <v>481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25">
      <c r="F1830" s="93" t="s">
        <v>943</v>
      </c>
      <c r="G1830" s="93" t="s">
        <v>169</v>
      </c>
      <c r="H1830" s="93" t="s">
        <v>481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2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2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25">
      <c r="F1833" s="91" t="s">
        <v>928</v>
      </c>
      <c r="G1833" s="91" t="s">
        <v>170</v>
      </c>
      <c r="H1833" s="91" t="s">
        <v>481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25">
      <c r="F1834" s="196" t="s">
        <v>929</v>
      </c>
      <c r="G1834" s="196" t="s">
        <v>170</v>
      </c>
      <c r="H1834" s="196" t="s">
        <v>481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25">
      <c r="F1835" s="196" t="s">
        <v>930</v>
      </c>
      <c r="G1835" s="196" t="s">
        <v>170</v>
      </c>
      <c r="H1835" s="196" t="s">
        <v>481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25">
      <c r="F1836" s="196" t="s">
        <v>931</v>
      </c>
      <c r="G1836" s="196" t="s">
        <v>170</v>
      </c>
      <c r="H1836" s="196" t="s">
        <v>481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25">
      <c r="F1837" s="196" t="s">
        <v>932</v>
      </c>
      <c r="G1837" s="196" t="s">
        <v>170</v>
      </c>
      <c r="H1837" s="196" t="s">
        <v>481</v>
      </c>
      <c r="I1837" s="66"/>
      <c r="J1837" s="233">
        <f t="shared" ref="J1837:J1839" si="181">CHOOSE(year_selection, L1837,M1837,N1837,O1837,P1837,Q1837,R1837,S1837)</f>
        <v>184.8422827355362</v>
      </c>
      <c r="K1837" s="234"/>
      <c r="L1837" s="329"/>
      <c r="M1837" s="329"/>
      <c r="N1837" s="329"/>
      <c r="O1837" s="329">
        <v>184.8422827355362</v>
      </c>
      <c r="P1837" s="329">
        <v>184.8422827355362</v>
      </c>
      <c r="Q1837" s="329">
        <v>184.8422827355362</v>
      </c>
      <c r="R1837" s="329">
        <v>184.8422827355362</v>
      </c>
      <c r="S1837" s="329">
        <v>184.8422827355362</v>
      </c>
    </row>
    <row r="1838" spans="5:19" s="293" customFormat="1" x14ac:dyDescent="0.25">
      <c r="F1838" s="196" t="s">
        <v>933</v>
      </c>
      <c r="G1838" s="196" t="s">
        <v>170</v>
      </c>
      <c r="H1838" s="196" t="s">
        <v>481</v>
      </c>
      <c r="I1838" s="66"/>
      <c r="J1838" s="233">
        <f t="shared" si="181"/>
        <v>397.33576960309773</v>
      </c>
      <c r="K1838" s="234"/>
      <c r="L1838" s="329"/>
      <c r="M1838" s="329"/>
      <c r="N1838" s="329"/>
      <c r="O1838" s="329">
        <v>397.33576960309773</v>
      </c>
      <c r="P1838" s="329">
        <v>397.33576960309773</v>
      </c>
      <c r="Q1838" s="329">
        <v>397.33576960309773</v>
      </c>
      <c r="R1838" s="329">
        <v>397.33576960309773</v>
      </c>
      <c r="S1838" s="329">
        <v>397.33576960309773</v>
      </c>
    </row>
    <row r="1839" spans="5:19" s="293" customFormat="1" x14ac:dyDescent="0.25">
      <c r="F1839" s="196" t="s">
        <v>934</v>
      </c>
      <c r="G1839" s="196" t="s">
        <v>170</v>
      </c>
      <c r="H1839" s="196" t="s">
        <v>481</v>
      </c>
      <c r="I1839" s="66"/>
      <c r="J1839" s="233">
        <f t="shared" si="181"/>
        <v>87.824451648887944</v>
      </c>
      <c r="K1839" s="234"/>
      <c r="L1839" s="329"/>
      <c r="M1839" s="329"/>
      <c r="N1839" s="329"/>
      <c r="O1839" s="329">
        <v>87.824451648887944</v>
      </c>
      <c r="P1839" s="329">
        <v>87.824451648887944</v>
      </c>
      <c r="Q1839" s="329">
        <v>87.824451648887944</v>
      </c>
      <c r="R1839" s="329">
        <v>87.824451648887944</v>
      </c>
      <c r="S1839" s="329">
        <v>87.824451648887944</v>
      </c>
    </row>
    <row r="1840" spans="5:19" s="293" customFormat="1" x14ac:dyDescent="0.25">
      <c r="F1840" s="196" t="s">
        <v>935</v>
      </c>
      <c r="G1840" s="196" t="s">
        <v>170</v>
      </c>
      <c r="H1840" s="196" t="s">
        <v>481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25">
      <c r="F1841" s="196" t="s">
        <v>936</v>
      </c>
      <c r="G1841" s="196" t="s">
        <v>170</v>
      </c>
      <c r="H1841" s="196" t="s">
        <v>481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25">
      <c r="F1842" s="196" t="s">
        <v>937</v>
      </c>
      <c r="G1842" s="196" t="s">
        <v>170</v>
      </c>
      <c r="H1842" s="196" t="s">
        <v>481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25">
      <c r="F1843" s="196" t="s">
        <v>938</v>
      </c>
      <c r="G1843" s="196" t="s">
        <v>170</v>
      </c>
      <c r="H1843" s="196" t="s">
        <v>481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25">
      <c r="F1844" s="196" t="s">
        <v>939</v>
      </c>
      <c r="G1844" s="196" t="s">
        <v>170</v>
      </c>
      <c r="H1844" s="196" t="s">
        <v>481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25">
      <c r="F1845" s="196" t="s">
        <v>940</v>
      </c>
      <c r="G1845" s="196" t="s">
        <v>170</v>
      </c>
      <c r="H1845" s="196" t="s">
        <v>481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25">
      <c r="F1846" s="196" t="s">
        <v>941</v>
      </c>
      <c r="G1846" s="196" t="s">
        <v>170</v>
      </c>
      <c r="H1846" s="196" t="s">
        <v>481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25">
      <c r="F1847" s="196" t="s">
        <v>942</v>
      </c>
      <c r="G1847" s="196" t="s">
        <v>170</v>
      </c>
      <c r="H1847" s="196" t="s">
        <v>481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25">
      <c r="F1848" s="93" t="s">
        <v>943</v>
      </c>
      <c r="G1848" s="93" t="s">
        <v>170</v>
      </c>
      <c r="H1848" s="93" t="s">
        <v>481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2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25">
      <c r="C1850" s="7" t="str">
        <f ca="1">INDEX('Version control'!$H$34:$H$60,MATCH($A$1,'Version control'!$F$34:$F$60,0),1)&amp;"-Q: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25">
      <c r="D1851" s="96"/>
      <c r="I1851" s="111"/>
    </row>
    <row r="1852" spans="3:21" s="293" customFormat="1" x14ac:dyDescent="0.2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692</v>
      </c>
    </row>
    <row r="1853" spans="3:21" s="293" customFormat="1" x14ac:dyDescent="0.25">
      <c r="F1853" s="91" t="s">
        <v>928</v>
      </c>
      <c r="G1853" s="91" t="s">
        <v>120</v>
      </c>
      <c r="H1853" s="91" t="s">
        <v>481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25">
      <c r="F1854" s="196" t="s">
        <v>929</v>
      </c>
      <c r="G1854" s="196" t="s">
        <v>120</v>
      </c>
      <c r="H1854" s="196" t="s">
        <v>481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25">
      <c r="F1855" s="196" t="s">
        <v>930</v>
      </c>
      <c r="G1855" s="196" t="s">
        <v>120</v>
      </c>
      <c r="H1855" s="196" t="s">
        <v>481</v>
      </c>
      <c r="I1855" s="66"/>
      <c r="J1855" s="233">
        <f t="shared" ref="J1855" si="182">CHOOSE(year_selection, L1855,M1855,N1855,O1855,P1855,Q1855,R1855,S1855)</f>
        <v>541.5278919746188</v>
      </c>
      <c r="K1855" s="234"/>
      <c r="L1855" s="329"/>
      <c r="M1855" s="329"/>
      <c r="N1855" s="329"/>
      <c r="O1855" s="329">
        <v>541.5278919746188</v>
      </c>
      <c r="P1855" s="329">
        <v>541.5278919746188</v>
      </c>
      <c r="Q1855" s="329">
        <v>541.5278919746188</v>
      </c>
      <c r="R1855" s="329">
        <v>541.5278919746188</v>
      </c>
      <c r="S1855" s="329">
        <v>541.5278919746188</v>
      </c>
    </row>
    <row r="1856" spans="3:21" s="293" customFormat="1" x14ac:dyDescent="0.25">
      <c r="F1856" s="196" t="s">
        <v>931</v>
      </c>
      <c r="G1856" s="196" t="s">
        <v>120</v>
      </c>
      <c r="H1856" s="196" t="s">
        <v>481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25">
      <c r="F1857" s="196" t="s">
        <v>932</v>
      </c>
      <c r="G1857" s="196" t="s">
        <v>120</v>
      </c>
      <c r="H1857" s="196" t="s">
        <v>481</v>
      </c>
      <c r="I1857" s="66"/>
      <c r="J1857" s="233">
        <f t="shared" ref="J1857:J1859" si="183">CHOOSE(year_selection, L1857,M1857,N1857,O1857,P1857,Q1857,R1857,S1857)</f>
        <v>213.61817005451337</v>
      </c>
      <c r="K1857" s="234"/>
      <c r="L1857" s="329"/>
      <c r="M1857" s="329"/>
      <c r="N1857" s="329"/>
      <c r="O1857" s="329">
        <v>213.61817005451337</v>
      </c>
      <c r="P1857" s="329">
        <v>213.61817005451337</v>
      </c>
      <c r="Q1857" s="329">
        <v>213.61817005451337</v>
      </c>
      <c r="R1857" s="329">
        <v>213.61817005451337</v>
      </c>
      <c r="S1857" s="329">
        <v>213.61817005451337</v>
      </c>
    </row>
    <row r="1858" spans="5:19" s="293" customFormat="1" x14ac:dyDescent="0.25">
      <c r="F1858" s="196" t="s">
        <v>933</v>
      </c>
      <c r="G1858" s="196" t="s">
        <v>120</v>
      </c>
      <c r="H1858" s="196" t="s">
        <v>481</v>
      </c>
      <c r="I1858" s="66"/>
      <c r="J1858" s="233">
        <f t="shared" si="183"/>
        <v>0</v>
      </c>
      <c r="K1858" s="234"/>
      <c r="L1858" s="329"/>
      <c r="M1858" s="329"/>
      <c r="N1858" s="329"/>
      <c r="O1858" s="329">
        <v>0</v>
      </c>
      <c r="P1858" s="329">
        <v>0</v>
      </c>
      <c r="Q1858" s="329">
        <v>0</v>
      </c>
      <c r="R1858" s="329">
        <v>0</v>
      </c>
      <c r="S1858" s="329">
        <v>0</v>
      </c>
    </row>
    <row r="1859" spans="5:19" s="293" customFormat="1" x14ac:dyDescent="0.25">
      <c r="F1859" s="196" t="s">
        <v>934</v>
      </c>
      <c r="G1859" s="196" t="s">
        <v>120</v>
      </c>
      <c r="H1859" s="196" t="s">
        <v>481</v>
      </c>
      <c r="I1859" s="66"/>
      <c r="J1859" s="233">
        <f t="shared" si="183"/>
        <v>680.63139957734995</v>
      </c>
      <c r="K1859" s="234"/>
      <c r="L1859" s="329"/>
      <c r="M1859" s="329"/>
      <c r="N1859" s="329"/>
      <c r="O1859" s="329">
        <v>680.63139957734995</v>
      </c>
      <c r="P1859" s="329">
        <v>680.63139957734995</v>
      </c>
      <c r="Q1859" s="329">
        <v>680.63139957734995</v>
      </c>
      <c r="R1859" s="329">
        <v>680.63139957734995</v>
      </c>
      <c r="S1859" s="329">
        <v>680.63139957734995</v>
      </c>
    </row>
    <row r="1860" spans="5:19" s="293" customFormat="1" x14ac:dyDescent="0.25">
      <c r="F1860" s="196" t="s">
        <v>935</v>
      </c>
      <c r="G1860" s="196" t="s">
        <v>120</v>
      </c>
      <c r="H1860" s="196" t="s">
        <v>481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25">
      <c r="F1861" s="196" t="s">
        <v>936</v>
      </c>
      <c r="G1861" s="196" t="s">
        <v>120</v>
      </c>
      <c r="H1861" s="196" t="s">
        <v>481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25">
      <c r="F1862" s="196" t="s">
        <v>937</v>
      </c>
      <c r="G1862" s="196" t="s">
        <v>120</v>
      </c>
      <c r="H1862" s="196" t="s">
        <v>481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25">
      <c r="F1863" s="196" t="s">
        <v>938</v>
      </c>
      <c r="G1863" s="196" t="s">
        <v>120</v>
      </c>
      <c r="H1863" s="196" t="s">
        <v>481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25">
      <c r="F1864" s="196" t="s">
        <v>939</v>
      </c>
      <c r="G1864" s="196" t="s">
        <v>120</v>
      </c>
      <c r="H1864" s="196" t="s">
        <v>481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25">
      <c r="F1865" s="196" t="s">
        <v>940</v>
      </c>
      <c r="G1865" s="196" t="s">
        <v>120</v>
      </c>
      <c r="H1865" s="196" t="s">
        <v>481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25">
      <c r="F1866" s="196" t="s">
        <v>941</v>
      </c>
      <c r="G1866" s="196" t="s">
        <v>120</v>
      </c>
      <c r="H1866" s="196" t="s">
        <v>481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25">
      <c r="F1867" s="196" t="s">
        <v>942</v>
      </c>
      <c r="G1867" s="196" t="s">
        <v>120</v>
      </c>
      <c r="H1867" s="196" t="s">
        <v>481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25">
      <c r="F1868" s="93" t="s">
        <v>943</v>
      </c>
      <c r="G1868" s="93" t="s">
        <v>120</v>
      </c>
      <c r="H1868" s="93" t="s">
        <v>481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2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2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25">
      <c r="F1871" s="91" t="s">
        <v>928</v>
      </c>
      <c r="G1871" s="91" t="s">
        <v>120</v>
      </c>
      <c r="H1871" s="91" t="s">
        <v>481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25">
      <c r="F1872" s="196" t="s">
        <v>929</v>
      </c>
      <c r="G1872" s="196" t="s">
        <v>120</v>
      </c>
      <c r="H1872" s="196" t="s">
        <v>481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25">
      <c r="F1873" s="196" t="s">
        <v>930</v>
      </c>
      <c r="G1873" s="196" t="s">
        <v>120</v>
      </c>
      <c r="H1873" s="196" t="s">
        <v>481</v>
      </c>
      <c r="I1873" s="66"/>
      <c r="J1873" s="233">
        <f t="shared" ref="J1873" si="184">CHOOSE(year_selection, L1873,M1873,N1873,O1873,P1873,Q1873,R1873,S1873)</f>
        <v>2844.3966651598089</v>
      </c>
      <c r="K1873" s="234"/>
      <c r="L1873" s="329"/>
      <c r="M1873" s="329"/>
      <c r="N1873" s="329"/>
      <c r="O1873" s="329">
        <v>2844.3966651598089</v>
      </c>
      <c r="P1873" s="329">
        <v>2844.3966651598089</v>
      </c>
      <c r="Q1873" s="329">
        <v>2844.3966651598089</v>
      </c>
      <c r="R1873" s="329">
        <v>2844.3966651598089</v>
      </c>
      <c r="S1873" s="329">
        <v>2844.3966651598089</v>
      </c>
    </row>
    <row r="1874" spans="5:19" s="293" customFormat="1" x14ac:dyDescent="0.25">
      <c r="F1874" s="196" t="s">
        <v>931</v>
      </c>
      <c r="G1874" s="196" t="s">
        <v>120</v>
      </c>
      <c r="H1874" s="196" t="s">
        <v>481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25">
      <c r="F1875" s="196" t="s">
        <v>932</v>
      </c>
      <c r="G1875" s="196" t="s">
        <v>120</v>
      </c>
      <c r="H1875" s="196" t="s">
        <v>481</v>
      </c>
      <c r="I1875" s="66"/>
      <c r="J1875" s="233">
        <f t="shared" ref="J1875:J1877" si="185">CHOOSE(year_selection, L1875,M1875,N1875,O1875,P1875,Q1875,R1875,S1875)</f>
        <v>923.00785387078599</v>
      </c>
      <c r="K1875" s="234"/>
      <c r="L1875" s="329"/>
      <c r="M1875" s="329"/>
      <c r="N1875" s="329"/>
      <c r="O1875" s="329">
        <v>923.00785387078599</v>
      </c>
      <c r="P1875" s="329">
        <v>923.00785387078599</v>
      </c>
      <c r="Q1875" s="329">
        <v>923.00785387078599</v>
      </c>
      <c r="R1875" s="329">
        <v>923.00785387078599</v>
      </c>
      <c r="S1875" s="329">
        <v>923.00785387078599</v>
      </c>
    </row>
    <row r="1876" spans="5:19" s="293" customFormat="1" x14ac:dyDescent="0.25">
      <c r="F1876" s="196" t="s">
        <v>933</v>
      </c>
      <c r="G1876" s="196" t="s">
        <v>120</v>
      </c>
      <c r="H1876" s="196" t="s">
        <v>481</v>
      </c>
      <c r="I1876" s="66"/>
      <c r="J1876" s="233">
        <f t="shared" si="185"/>
        <v>0</v>
      </c>
      <c r="K1876" s="234"/>
      <c r="L1876" s="329"/>
      <c r="M1876" s="329"/>
      <c r="N1876" s="329"/>
      <c r="O1876" s="329">
        <v>0</v>
      </c>
      <c r="P1876" s="329">
        <v>0</v>
      </c>
      <c r="Q1876" s="329">
        <v>0</v>
      </c>
      <c r="R1876" s="329">
        <v>0</v>
      </c>
      <c r="S1876" s="329">
        <v>0</v>
      </c>
    </row>
    <row r="1877" spans="5:19" s="293" customFormat="1" x14ac:dyDescent="0.25">
      <c r="F1877" s="196" t="s">
        <v>934</v>
      </c>
      <c r="G1877" s="196" t="s">
        <v>120</v>
      </c>
      <c r="H1877" s="196" t="s">
        <v>481</v>
      </c>
      <c r="I1877" s="66"/>
      <c r="J1877" s="233">
        <f t="shared" si="185"/>
        <v>3101.7991001738196</v>
      </c>
      <c r="K1877" s="234"/>
      <c r="L1877" s="329"/>
      <c r="M1877" s="329"/>
      <c r="N1877" s="329"/>
      <c r="O1877" s="329">
        <v>3101.7991001738196</v>
      </c>
      <c r="P1877" s="329">
        <v>3101.7991001738196</v>
      </c>
      <c r="Q1877" s="329">
        <v>3101.7991001738196</v>
      </c>
      <c r="R1877" s="329">
        <v>3101.7991001738196</v>
      </c>
      <c r="S1877" s="329">
        <v>3101.7991001738196</v>
      </c>
    </row>
    <row r="1878" spans="5:19" s="293" customFormat="1" x14ac:dyDescent="0.25">
      <c r="F1878" s="196" t="s">
        <v>935</v>
      </c>
      <c r="G1878" s="196" t="s">
        <v>120</v>
      </c>
      <c r="H1878" s="196" t="s">
        <v>481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25">
      <c r="F1879" s="196" t="s">
        <v>936</v>
      </c>
      <c r="G1879" s="196" t="s">
        <v>120</v>
      </c>
      <c r="H1879" s="196" t="s">
        <v>481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25">
      <c r="F1880" s="196" t="s">
        <v>937</v>
      </c>
      <c r="G1880" s="196" t="s">
        <v>120</v>
      </c>
      <c r="H1880" s="196" t="s">
        <v>481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25">
      <c r="F1881" s="196" t="s">
        <v>938</v>
      </c>
      <c r="G1881" s="196" t="s">
        <v>120</v>
      </c>
      <c r="H1881" s="196" t="s">
        <v>481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25">
      <c r="F1882" s="196" t="s">
        <v>939</v>
      </c>
      <c r="G1882" s="196" t="s">
        <v>120</v>
      </c>
      <c r="H1882" s="196" t="s">
        <v>481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25">
      <c r="F1883" s="196" t="s">
        <v>940</v>
      </c>
      <c r="G1883" s="196" t="s">
        <v>120</v>
      </c>
      <c r="H1883" s="196" t="s">
        <v>481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25">
      <c r="F1884" s="196" t="s">
        <v>941</v>
      </c>
      <c r="G1884" s="196" t="s">
        <v>120</v>
      </c>
      <c r="H1884" s="196" t="s">
        <v>481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25">
      <c r="F1885" s="196" t="s">
        <v>942</v>
      </c>
      <c r="G1885" s="196" t="s">
        <v>120</v>
      </c>
      <c r="H1885" s="196" t="s">
        <v>481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25">
      <c r="F1886" s="93" t="s">
        <v>943</v>
      </c>
      <c r="G1886" s="93" t="s">
        <v>120</v>
      </c>
      <c r="H1886" s="93" t="s">
        <v>481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2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2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25">
      <c r="F1889" s="91" t="s">
        <v>928</v>
      </c>
      <c r="G1889" s="91" t="s">
        <v>120</v>
      </c>
      <c r="H1889" s="91" t="s">
        <v>481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25">
      <c r="F1890" s="196" t="s">
        <v>929</v>
      </c>
      <c r="G1890" s="196" t="s">
        <v>120</v>
      </c>
      <c r="H1890" s="196" t="s">
        <v>481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25">
      <c r="F1891" s="196" t="s">
        <v>930</v>
      </c>
      <c r="G1891" s="196" t="s">
        <v>120</v>
      </c>
      <c r="H1891" s="196" t="s">
        <v>481</v>
      </c>
      <c r="I1891" s="66"/>
      <c r="J1891" s="233">
        <f t="shared" ref="J1891" si="186">CHOOSE(year_selection, L1891,M1891,N1891,O1891,P1891,Q1891,R1891,S1891)</f>
        <v>2761.793509974234</v>
      </c>
      <c r="K1891" s="234"/>
      <c r="L1891" s="329"/>
      <c r="M1891" s="329"/>
      <c r="N1891" s="329"/>
      <c r="O1891" s="329">
        <v>2761.793509974234</v>
      </c>
      <c r="P1891" s="329">
        <v>2761.793509974234</v>
      </c>
      <c r="Q1891" s="329">
        <v>2761.793509974234</v>
      </c>
      <c r="R1891" s="329">
        <v>2761.793509974234</v>
      </c>
      <c r="S1891" s="329">
        <v>2761.793509974234</v>
      </c>
    </row>
    <row r="1892" spans="6:19" s="293" customFormat="1" x14ac:dyDescent="0.25">
      <c r="F1892" s="196" t="s">
        <v>931</v>
      </c>
      <c r="G1892" s="196" t="s">
        <v>120</v>
      </c>
      <c r="H1892" s="196" t="s">
        <v>481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25">
      <c r="F1893" s="196" t="s">
        <v>932</v>
      </c>
      <c r="G1893" s="196" t="s">
        <v>120</v>
      </c>
      <c r="H1893" s="196" t="s">
        <v>481</v>
      </c>
      <c r="I1893" s="66"/>
      <c r="J1893" s="233">
        <f t="shared" ref="J1893:J1895" si="187">CHOOSE(year_selection, L1893,M1893,N1893,O1893,P1893,Q1893,R1893,S1893)</f>
        <v>855.5335289340037</v>
      </c>
      <c r="K1893" s="234"/>
      <c r="L1893" s="329"/>
      <c r="M1893" s="329"/>
      <c r="N1893" s="329"/>
      <c r="O1893" s="329">
        <v>855.5335289340037</v>
      </c>
      <c r="P1893" s="329">
        <v>855.5335289340037</v>
      </c>
      <c r="Q1893" s="329">
        <v>855.5335289340037</v>
      </c>
      <c r="R1893" s="329">
        <v>855.5335289340037</v>
      </c>
      <c r="S1893" s="329">
        <v>855.5335289340037</v>
      </c>
    </row>
    <row r="1894" spans="6:19" s="293" customFormat="1" x14ac:dyDescent="0.25">
      <c r="F1894" s="196" t="s">
        <v>933</v>
      </c>
      <c r="G1894" s="196" t="s">
        <v>120</v>
      </c>
      <c r="H1894" s="196" t="s">
        <v>481</v>
      </c>
      <c r="I1894" s="66"/>
      <c r="J1894" s="233">
        <f t="shared" si="187"/>
        <v>0</v>
      </c>
      <c r="K1894" s="234"/>
      <c r="L1894" s="329"/>
      <c r="M1894" s="329"/>
      <c r="N1894" s="329"/>
      <c r="O1894" s="329">
        <v>0</v>
      </c>
      <c r="P1894" s="329">
        <v>0</v>
      </c>
      <c r="Q1894" s="329">
        <v>0</v>
      </c>
      <c r="R1894" s="329">
        <v>0</v>
      </c>
      <c r="S1894" s="329">
        <v>0</v>
      </c>
    </row>
    <row r="1895" spans="6:19" s="293" customFormat="1" x14ac:dyDescent="0.25">
      <c r="F1895" s="196" t="s">
        <v>934</v>
      </c>
      <c r="G1895" s="196" t="s">
        <v>120</v>
      </c>
      <c r="H1895" s="196" t="s">
        <v>481</v>
      </c>
      <c r="I1895" s="66"/>
      <c r="J1895" s="233">
        <f t="shared" si="187"/>
        <v>3205.7022232159393</v>
      </c>
      <c r="K1895" s="234"/>
      <c r="L1895" s="329"/>
      <c r="M1895" s="329"/>
      <c r="N1895" s="329"/>
      <c r="O1895" s="329">
        <v>3205.7022232159393</v>
      </c>
      <c r="P1895" s="329">
        <v>3205.7022232159393</v>
      </c>
      <c r="Q1895" s="329">
        <v>3205.7022232159393</v>
      </c>
      <c r="R1895" s="329">
        <v>3205.7022232159393</v>
      </c>
      <c r="S1895" s="329">
        <v>3205.7022232159393</v>
      </c>
    </row>
    <row r="1896" spans="6:19" s="293" customFormat="1" x14ac:dyDescent="0.25">
      <c r="F1896" s="196" t="s">
        <v>935</v>
      </c>
      <c r="G1896" s="196" t="s">
        <v>120</v>
      </c>
      <c r="H1896" s="196" t="s">
        <v>481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25">
      <c r="F1897" s="196" t="s">
        <v>936</v>
      </c>
      <c r="G1897" s="196" t="s">
        <v>120</v>
      </c>
      <c r="H1897" s="196" t="s">
        <v>481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25">
      <c r="F1898" s="196" t="s">
        <v>937</v>
      </c>
      <c r="G1898" s="196" t="s">
        <v>120</v>
      </c>
      <c r="H1898" s="196" t="s">
        <v>481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25">
      <c r="F1899" s="196" t="s">
        <v>938</v>
      </c>
      <c r="G1899" s="196" t="s">
        <v>120</v>
      </c>
      <c r="H1899" s="196" t="s">
        <v>481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25">
      <c r="F1900" s="196" t="s">
        <v>939</v>
      </c>
      <c r="G1900" s="196" t="s">
        <v>120</v>
      </c>
      <c r="H1900" s="196" t="s">
        <v>481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25">
      <c r="F1901" s="196" t="s">
        <v>940</v>
      </c>
      <c r="G1901" s="196" t="s">
        <v>120</v>
      </c>
      <c r="H1901" s="196" t="s">
        <v>481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25">
      <c r="F1902" s="196" t="s">
        <v>941</v>
      </c>
      <c r="G1902" s="196" t="s">
        <v>120</v>
      </c>
      <c r="H1902" s="196" t="s">
        <v>481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25">
      <c r="F1903" s="196" t="s">
        <v>942</v>
      </c>
      <c r="G1903" s="196" t="s">
        <v>120</v>
      </c>
      <c r="H1903" s="196" t="s">
        <v>481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25">
      <c r="F1904" s="93" t="s">
        <v>943</v>
      </c>
      <c r="G1904" s="93" t="s">
        <v>120</v>
      </c>
      <c r="H1904" s="93" t="s">
        <v>481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2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2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25">
      <c r="F1907" s="91" t="s">
        <v>928</v>
      </c>
      <c r="G1907" s="91" t="s">
        <v>74</v>
      </c>
      <c r="H1907" s="91" t="s">
        <v>481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25">
      <c r="F1908" s="196" t="s">
        <v>929</v>
      </c>
      <c r="G1908" s="196" t="s">
        <v>74</v>
      </c>
      <c r="H1908" s="196" t="s">
        <v>481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25">
      <c r="F1909" s="196" t="s">
        <v>930</v>
      </c>
      <c r="G1909" s="196" t="s">
        <v>74</v>
      </c>
      <c r="H1909" s="196" t="s">
        <v>481</v>
      </c>
      <c r="I1909" s="66"/>
      <c r="J1909" s="233">
        <f t="shared" ref="J1909" si="188">CHOOSE(year_selection, L1909,M1909,N1909,O1909,P1909,Q1909,R1909,S1909)</f>
        <v>420</v>
      </c>
      <c r="K1909" s="234"/>
      <c r="L1909" s="329"/>
      <c r="M1909" s="329"/>
      <c r="N1909" s="329"/>
      <c r="O1909" s="329">
        <v>420</v>
      </c>
      <c r="P1909" s="329">
        <v>420</v>
      </c>
      <c r="Q1909" s="329">
        <v>420</v>
      </c>
      <c r="R1909" s="329">
        <v>420</v>
      </c>
      <c r="S1909" s="329">
        <v>420</v>
      </c>
    </row>
    <row r="1910" spans="5:19" s="293" customFormat="1" x14ac:dyDescent="0.25">
      <c r="F1910" s="196" t="s">
        <v>931</v>
      </c>
      <c r="G1910" s="196" t="s">
        <v>74</v>
      </c>
      <c r="H1910" s="196" t="s">
        <v>481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25">
      <c r="F1911" s="196" t="s">
        <v>932</v>
      </c>
      <c r="G1911" s="196" t="s">
        <v>74</v>
      </c>
      <c r="H1911" s="196" t="s">
        <v>481</v>
      </c>
      <c r="I1911" s="66"/>
      <c r="J1911" s="233">
        <f t="shared" ref="J1911:J1913" si="189">CHOOSE(year_selection, L1911,M1911,N1911,O1911,P1911,Q1911,R1911,S1911)</f>
        <v>1</v>
      </c>
      <c r="K1911" s="234"/>
      <c r="L1911" s="329"/>
      <c r="M1911" s="329"/>
      <c r="N1911" s="329"/>
      <c r="O1911" s="329">
        <v>1</v>
      </c>
      <c r="P1911" s="329">
        <v>1</v>
      </c>
      <c r="Q1911" s="329">
        <v>1</v>
      </c>
      <c r="R1911" s="329">
        <v>1</v>
      </c>
      <c r="S1911" s="329">
        <v>1</v>
      </c>
    </row>
    <row r="1912" spans="5:19" s="293" customFormat="1" x14ac:dyDescent="0.25">
      <c r="F1912" s="196" t="s">
        <v>933</v>
      </c>
      <c r="G1912" s="196" t="s">
        <v>74</v>
      </c>
      <c r="H1912" s="196" t="s">
        <v>481</v>
      </c>
      <c r="I1912" s="66"/>
      <c r="J1912" s="233">
        <f t="shared" si="189"/>
        <v>0</v>
      </c>
      <c r="K1912" s="234"/>
      <c r="L1912" s="329"/>
      <c r="M1912" s="329"/>
      <c r="N1912" s="329"/>
      <c r="O1912" s="329">
        <v>0</v>
      </c>
      <c r="P1912" s="329">
        <v>0</v>
      </c>
      <c r="Q1912" s="329">
        <v>0</v>
      </c>
      <c r="R1912" s="329">
        <v>0</v>
      </c>
      <c r="S1912" s="329">
        <v>0</v>
      </c>
    </row>
    <row r="1913" spans="5:19" s="293" customFormat="1" x14ac:dyDescent="0.25">
      <c r="F1913" s="196" t="s">
        <v>934</v>
      </c>
      <c r="G1913" s="196" t="s">
        <v>74</v>
      </c>
      <c r="H1913" s="196" t="s">
        <v>481</v>
      </c>
      <c r="I1913" s="66"/>
      <c r="J1913" s="233">
        <f t="shared" si="189"/>
        <v>2</v>
      </c>
      <c r="K1913" s="234"/>
      <c r="L1913" s="329"/>
      <c r="M1913" s="329"/>
      <c r="N1913" s="329"/>
      <c r="O1913" s="329">
        <v>2</v>
      </c>
      <c r="P1913" s="329">
        <v>2</v>
      </c>
      <c r="Q1913" s="329">
        <v>2</v>
      </c>
      <c r="R1913" s="329">
        <v>2</v>
      </c>
      <c r="S1913" s="329">
        <v>2</v>
      </c>
    </row>
    <row r="1914" spans="5:19" s="293" customFormat="1" x14ac:dyDescent="0.25">
      <c r="F1914" s="196" t="s">
        <v>935</v>
      </c>
      <c r="G1914" s="196" t="s">
        <v>74</v>
      </c>
      <c r="H1914" s="196" t="s">
        <v>481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25">
      <c r="F1915" s="196" t="s">
        <v>936</v>
      </c>
      <c r="G1915" s="196" t="s">
        <v>74</v>
      </c>
      <c r="H1915" s="196" t="s">
        <v>481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25">
      <c r="F1916" s="196" t="s">
        <v>937</v>
      </c>
      <c r="G1916" s="196" t="s">
        <v>74</v>
      </c>
      <c r="H1916" s="196" t="s">
        <v>481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25">
      <c r="F1917" s="196" t="s">
        <v>938</v>
      </c>
      <c r="G1917" s="196" t="s">
        <v>74</v>
      </c>
      <c r="H1917" s="196" t="s">
        <v>481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25">
      <c r="F1918" s="196" t="s">
        <v>939</v>
      </c>
      <c r="G1918" s="196" t="s">
        <v>74</v>
      </c>
      <c r="H1918" s="196" t="s">
        <v>481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25">
      <c r="F1919" s="196" t="s">
        <v>940</v>
      </c>
      <c r="G1919" s="196" t="s">
        <v>74</v>
      </c>
      <c r="H1919" s="196" t="s">
        <v>481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25">
      <c r="F1920" s="196" t="s">
        <v>941</v>
      </c>
      <c r="G1920" s="196" t="s">
        <v>74</v>
      </c>
      <c r="H1920" s="196" t="s">
        <v>481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25">
      <c r="F1921" s="196" t="s">
        <v>942</v>
      </c>
      <c r="G1921" s="196" t="s">
        <v>74</v>
      </c>
      <c r="H1921" s="196" t="s">
        <v>481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25">
      <c r="F1922" s="93" t="s">
        <v>943</v>
      </c>
      <c r="G1922" s="93" t="s">
        <v>74</v>
      </c>
      <c r="H1922" s="93" t="s">
        <v>481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2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2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25">
      <c r="F1925" s="91" t="s">
        <v>928</v>
      </c>
      <c r="G1925" s="91" t="s">
        <v>169</v>
      </c>
      <c r="H1925" s="91" t="s">
        <v>481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25">
      <c r="F1926" s="196" t="s">
        <v>929</v>
      </c>
      <c r="G1926" s="196" t="s">
        <v>169</v>
      </c>
      <c r="H1926" s="196" t="s">
        <v>481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25">
      <c r="F1927" s="196" t="s">
        <v>930</v>
      </c>
      <c r="G1927" s="196" t="s">
        <v>169</v>
      </c>
      <c r="H1927" s="196" t="s">
        <v>481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25">
      <c r="F1928" s="196" t="s">
        <v>931</v>
      </c>
      <c r="G1928" s="196" t="s">
        <v>169</v>
      </c>
      <c r="H1928" s="196" t="s">
        <v>481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25">
      <c r="F1929" s="196" t="s">
        <v>932</v>
      </c>
      <c r="G1929" s="196" t="s">
        <v>169</v>
      </c>
      <c r="H1929" s="196" t="s">
        <v>481</v>
      </c>
      <c r="I1929" s="66"/>
      <c r="J1929" s="233">
        <f t="shared" ref="J1929:J1931" si="190">CHOOSE(year_selection, L1929,M1929,N1929,O1929,P1929,Q1929,R1929,S1929)</f>
        <v>2000</v>
      </c>
      <c r="K1929" s="234"/>
      <c r="L1929" s="329"/>
      <c r="M1929" s="329"/>
      <c r="N1929" s="329"/>
      <c r="O1929" s="329">
        <v>2000</v>
      </c>
      <c r="P1929" s="329">
        <v>2000</v>
      </c>
      <c r="Q1929" s="329">
        <v>2000</v>
      </c>
      <c r="R1929" s="329">
        <v>2000</v>
      </c>
      <c r="S1929" s="329">
        <v>2000</v>
      </c>
    </row>
    <row r="1930" spans="5:19" s="293" customFormat="1" x14ac:dyDescent="0.25">
      <c r="F1930" s="196" t="s">
        <v>933</v>
      </c>
      <c r="G1930" s="196" t="s">
        <v>169</v>
      </c>
      <c r="H1930" s="196" t="s">
        <v>481</v>
      </c>
      <c r="I1930" s="66"/>
      <c r="J1930" s="233">
        <f t="shared" si="190"/>
        <v>0</v>
      </c>
      <c r="K1930" s="234"/>
      <c r="L1930" s="329"/>
      <c r="M1930" s="329"/>
      <c r="N1930" s="329"/>
      <c r="O1930" s="329">
        <v>0</v>
      </c>
      <c r="P1930" s="329">
        <v>0</v>
      </c>
      <c r="Q1930" s="329">
        <v>0</v>
      </c>
      <c r="R1930" s="329">
        <v>0</v>
      </c>
      <c r="S1930" s="329">
        <v>0</v>
      </c>
    </row>
    <row r="1931" spans="5:19" s="293" customFormat="1" x14ac:dyDescent="0.25">
      <c r="F1931" s="196" t="s">
        <v>934</v>
      </c>
      <c r="G1931" s="196" t="s">
        <v>169</v>
      </c>
      <c r="H1931" s="196" t="s">
        <v>481</v>
      </c>
      <c r="I1931" s="66"/>
      <c r="J1931" s="233">
        <f t="shared" si="190"/>
        <v>4600</v>
      </c>
      <c r="K1931" s="234"/>
      <c r="L1931" s="329"/>
      <c r="M1931" s="329"/>
      <c r="N1931" s="329"/>
      <c r="O1931" s="329">
        <v>4600</v>
      </c>
      <c r="P1931" s="329">
        <v>4600</v>
      </c>
      <c r="Q1931" s="329">
        <v>4600</v>
      </c>
      <c r="R1931" s="329">
        <v>4600</v>
      </c>
      <c r="S1931" s="329">
        <v>4600</v>
      </c>
    </row>
    <row r="1932" spans="5:19" s="293" customFormat="1" x14ac:dyDescent="0.25">
      <c r="F1932" s="196" t="s">
        <v>935</v>
      </c>
      <c r="G1932" s="196" t="s">
        <v>169</v>
      </c>
      <c r="H1932" s="196" t="s">
        <v>481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25">
      <c r="F1933" s="196" t="s">
        <v>936</v>
      </c>
      <c r="G1933" s="196" t="s">
        <v>169</v>
      </c>
      <c r="H1933" s="196" t="s">
        <v>481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25">
      <c r="F1934" s="196" t="s">
        <v>937</v>
      </c>
      <c r="G1934" s="196" t="s">
        <v>169</v>
      </c>
      <c r="H1934" s="196" t="s">
        <v>481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25">
      <c r="F1935" s="196" t="s">
        <v>938</v>
      </c>
      <c r="G1935" s="196" t="s">
        <v>169</v>
      </c>
      <c r="H1935" s="196" t="s">
        <v>481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25">
      <c r="F1936" s="196" t="s">
        <v>939</v>
      </c>
      <c r="G1936" s="196" t="s">
        <v>169</v>
      </c>
      <c r="H1936" s="196" t="s">
        <v>481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25">
      <c r="F1937" s="196" t="s">
        <v>940</v>
      </c>
      <c r="G1937" s="196" t="s">
        <v>169</v>
      </c>
      <c r="H1937" s="196" t="s">
        <v>481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25">
      <c r="F1938" s="196" t="s">
        <v>941</v>
      </c>
      <c r="G1938" s="196" t="s">
        <v>169</v>
      </c>
      <c r="H1938" s="196" t="s">
        <v>481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25">
      <c r="F1939" s="196" t="s">
        <v>942</v>
      </c>
      <c r="G1939" s="196" t="s">
        <v>169</v>
      </c>
      <c r="H1939" s="196" t="s">
        <v>481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25">
      <c r="F1940" s="93" t="s">
        <v>943</v>
      </c>
      <c r="G1940" s="93" t="s">
        <v>169</v>
      </c>
      <c r="H1940" s="93" t="s">
        <v>481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2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2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25">
      <c r="F1943" s="91" t="s">
        <v>928</v>
      </c>
      <c r="G1943" s="91" t="s">
        <v>169</v>
      </c>
      <c r="H1943" s="91" t="s">
        <v>481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25">
      <c r="F1944" s="196" t="s">
        <v>929</v>
      </c>
      <c r="G1944" s="196" t="s">
        <v>169</v>
      </c>
      <c r="H1944" s="196" t="s">
        <v>481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25">
      <c r="F1945" s="196" t="s">
        <v>930</v>
      </c>
      <c r="G1945" s="196" t="s">
        <v>169</v>
      </c>
      <c r="H1945" s="196" t="s">
        <v>481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25">
      <c r="F1946" s="196" t="s">
        <v>931</v>
      </c>
      <c r="G1946" s="196" t="s">
        <v>169</v>
      </c>
      <c r="H1946" s="196" t="s">
        <v>481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25">
      <c r="F1947" s="196" t="s">
        <v>932</v>
      </c>
      <c r="G1947" s="196" t="s">
        <v>169</v>
      </c>
      <c r="H1947" s="196" t="s">
        <v>481</v>
      </c>
      <c r="I1947" s="66"/>
      <c r="J1947" s="233">
        <f t="shared" ref="J1947:J1949" si="191">CHOOSE(year_selection, L1947,M1947,N1947,O1947,P1947,Q1947,R1947,S1947)</f>
        <v>1.6889816975801499</v>
      </c>
      <c r="K1947" s="234"/>
      <c r="L1947" s="329"/>
      <c r="M1947" s="329"/>
      <c r="N1947" s="329"/>
      <c r="O1947" s="329">
        <v>1.6889816975801499</v>
      </c>
      <c r="P1947" s="329">
        <v>1.6889816975801499</v>
      </c>
      <c r="Q1947" s="329">
        <v>1.6889816975801499</v>
      </c>
      <c r="R1947" s="329">
        <v>1.6889816975801499</v>
      </c>
      <c r="S1947" s="329">
        <v>1.6889816975801499</v>
      </c>
    </row>
    <row r="1948" spans="5:19" s="293" customFormat="1" x14ac:dyDescent="0.25">
      <c r="F1948" s="196" t="s">
        <v>933</v>
      </c>
      <c r="G1948" s="196" t="s">
        <v>169</v>
      </c>
      <c r="H1948" s="196" t="s">
        <v>481</v>
      </c>
      <c r="I1948" s="66"/>
      <c r="J1948" s="233">
        <f t="shared" si="191"/>
        <v>0</v>
      </c>
      <c r="K1948" s="234"/>
      <c r="L1948" s="329"/>
      <c r="M1948" s="329"/>
      <c r="N1948" s="329"/>
      <c r="O1948" s="329">
        <v>0</v>
      </c>
      <c r="P1948" s="329">
        <v>0</v>
      </c>
      <c r="Q1948" s="329">
        <v>0</v>
      </c>
      <c r="R1948" s="329">
        <v>0</v>
      </c>
      <c r="S1948" s="329">
        <v>0</v>
      </c>
    </row>
    <row r="1949" spans="5:19" s="293" customFormat="1" x14ac:dyDescent="0.25">
      <c r="F1949" s="196" t="s">
        <v>934</v>
      </c>
      <c r="G1949" s="196" t="s">
        <v>169</v>
      </c>
      <c r="H1949" s="196" t="s">
        <v>481</v>
      </c>
      <c r="I1949" s="66"/>
      <c r="J1949" s="233">
        <f t="shared" si="191"/>
        <v>2.5924376583234565</v>
      </c>
      <c r="K1949" s="234"/>
      <c r="L1949" s="329"/>
      <c r="M1949" s="329"/>
      <c r="N1949" s="329"/>
      <c r="O1949" s="329">
        <v>2.5924376583234565</v>
      </c>
      <c r="P1949" s="329">
        <v>2.5924376583234565</v>
      </c>
      <c r="Q1949" s="329">
        <v>2.5924376583234565</v>
      </c>
      <c r="R1949" s="329">
        <v>2.5924376583234565</v>
      </c>
      <c r="S1949" s="329">
        <v>2.5924376583234565</v>
      </c>
    </row>
    <row r="1950" spans="5:19" s="293" customFormat="1" x14ac:dyDescent="0.25">
      <c r="F1950" s="196" t="s">
        <v>935</v>
      </c>
      <c r="G1950" s="196" t="s">
        <v>169</v>
      </c>
      <c r="H1950" s="196" t="s">
        <v>481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25">
      <c r="F1951" s="196" t="s">
        <v>936</v>
      </c>
      <c r="G1951" s="196" t="s">
        <v>169</v>
      </c>
      <c r="H1951" s="196" t="s">
        <v>481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25">
      <c r="F1952" s="196" t="s">
        <v>937</v>
      </c>
      <c r="G1952" s="196" t="s">
        <v>169</v>
      </c>
      <c r="H1952" s="196" t="s">
        <v>481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25">
      <c r="F1953" s="196" t="s">
        <v>938</v>
      </c>
      <c r="G1953" s="196" t="s">
        <v>169</v>
      </c>
      <c r="H1953" s="196" t="s">
        <v>481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25">
      <c r="F1954" s="196" t="s">
        <v>939</v>
      </c>
      <c r="G1954" s="196" t="s">
        <v>169</v>
      </c>
      <c r="H1954" s="196" t="s">
        <v>481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25">
      <c r="F1955" s="196" t="s">
        <v>940</v>
      </c>
      <c r="G1955" s="196" t="s">
        <v>169</v>
      </c>
      <c r="H1955" s="196" t="s">
        <v>481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25">
      <c r="F1956" s="196" t="s">
        <v>941</v>
      </c>
      <c r="G1956" s="196" t="s">
        <v>169</v>
      </c>
      <c r="H1956" s="196" t="s">
        <v>481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25">
      <c r="F1957" s="196" t="s">
        <v>942</v>
      </c>
      <c r="G1957" s="196" t="s">
        <v>169</v>
      </c>
      <c r="H1957" s="196" t="s">
        <v>481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25">
      <c r="F1958" s="93" t="s">
        <v>943</v>
      </c>
      <c r="G1958" s="93" t="s">
        <v>169</v>
      </c>
      <c r="H1958" s="93" t="s">
        <v>481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2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2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25">
      <c r="F1961" s="91" t="s">
        <v>928</v>
      </c>
      <c r="G1961" s="91" t="s">
        <v>170</v>
      </c>
      <c r="H1961" s="91" t="s">
        <v>481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25">
      <c r="F1962" s="196" t="s">
        <v>929</v>
      </c>
      <c r="G1962" s="196" t="s">
        <v>170</v>
      </c>
      <c r="H1962" s="196" t="s">
        <v>481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25">
      <c r="F1963" s="196" t="s">
        <v>930</v>
      </c>
      <c r="G1963" s="196" t="s">
        <v>170</v>
      </c>
      <c r="H1963" s="196" t="s">
        <v>481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25">
      <c r="F1964" s="196" t="s">
        <v>931</v>
      </c>
      <c r="G1964" s="196" t="s">
        <v>170</v>
      </c>
      <c r="H1964" s="196" t="s">
        <v>481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25">
      <c r="F1965" s="196" t="s">
        <v>932</v>
      </c>
      <c r="G1965" s="196" t="s">
        <v>170</v>
      </c>
      <c r="H1965" s="196" t="s">
        <v>481</v>
      </c>
      <c r="I1965" s="66"/>
      <c r="J1965" s="233">
        <f t="shared" ref="J1965:J1967" si="192">CHOOSE(year_selection, L1965,M1965,N1965,O1965,P1965,Q1965,R1965,S1965)</f>
        <v>136.92020943373052</v>
      </c>
      <c r="K1965" s="234"/>
      <c r="L1965" s="329"/>
      <c r="M1965" s="329"/>
      <c r="N1965" s="329"/>
      <c r="O1965" s="329">
        <v>136.92020943373052</v>
      </c>
      <c r="P1965" s="329">
        <v>136.92020943373052</v>
      </c>
      <c r="Q1965" s="329">
        <v>136.92020943373052</v>
      </c>
      <c r="R1965" s="329">
        <v>136.92020943373052</v>
      </c>
      <c r="S1965" s="329">
        <v>136.92020943373052</v>
      </c>
    </row>
    <row r="1966" spans="5:19" s="293" customFormat="1" x14ac:dyDescent="0.25">
      <c r="F1966" s="196" t="s">
        <v>933</v>
      </c>
      <c r="G1966" s="196" t="s">
        <v>170</v>
      </c>
      <c r="H1966" s="196" t="s">
        <v>481</v>
      </c>
      <c r="I1966" s="66"/>
      <c r="J1966" s="233">
        <f t="shared" si="192"/>
        <v>0</v>
      </c>
      <c r="K1966" s="234"/>
      <c r="L1966" s="329"/>
      <c r="M1966" s="329"/>
      <c r="N1966" s="329"/>
      <c r="O1966" s="329">
        <v>0</v>
      </c>
      <c r="P1966" s="329">
        <v>0</v>
      </c>
      <c r="Q1966" s="329">
        <v>0</v>
      </c>
      <c r="R1966" s="329">
        <v>0</v>
      </c>
      <c r="S1966" s="329">
        <v>0</v>
      </c>
    </row>
    <row r="1967" spans="5:19" s="293" customFormat="1" x14ac:dyDescent="0.25">
      <c r="F1967" s="196" t="s">
        <v>934</v>
      </c>
      <c r="G1967" s="196" t="s">
        <v>170</v>
      </c>
      <c r="H1967" s="196" t="s">
        <v>481</v>
      </c>
      <c r="I1967" s="66"/>
      <c r="J1967" s="233">
        <f t="shared" si="192"/>
        <v>109.18715610402288</v>
      </c>
      <c r="K1967" s="234"/>
      <c r="L1967" s="329"/>
      <c r="M1967" s="329"/>
      <c r="N1967" s="329"/>
      <c r="O1967" s="329">
        <v>109.18715610402288</v>
      </c>
      <c r="P1967" s="329">
        <v>109.18715610402288</v>
      </c>
      <c r="Q1967" s="329">
        <v>109.18715610402288</v>
      </c>
      <c r="R1967" s="329">
        <v>109.18715610402288</v>
      </c>
      <c r="S1967" s="329">
        <v>109.18715610402288</v>
      </c>
    </row>
    <row r="1968" spans="5:19" s="293" customFormat="1" x14ac:dyDescent="0.25">
      <c r="F1968" s="196" t="s">
        <v>935</v>
      </c>
      <c r="G1968" s="196" t="s">
        <v>170</v>
      </c>
      <c r="H1968" s="196" t="s">
        <v>481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25">
      <c r="F1969" s="196" t="s">
        <v>936</v>
      </c>
      <c r="G1969" s="196" t="s">
        <v>170</v>
      </c>
      <c r="H1969" s="196" t="s">
        <v>481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25">
      <c r="F1970" s="196" t="s">
        <v>937</v>
      </c>
      <c r="G1970" s="196" t="s">
        <v>170</v>
      </c>
      <c r="H1970" s="196" t="s">
        <v>481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25">
      <c r="F1971" s="196" t="s">
        <v>938</v>
      </c>
      <c r="G1971" s="196" t="s">
        <v>170</v>
      </c>
      <c r="H1971" s="196" t="s">
        <v>481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25">
      <c r="F1972" s="196" t="s">
        <v>939</v>
      </c>
      <c r="G1972" s="196" t="s">
        <v>170</v>
      </c>
      <c r="H1972" s="196" t="s">
        <v>481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25">
      <c r="F1973" s="196" t="s">
        <v>940</v>
      </c>
      <c r="G1973" s="196" t="s">
        <v>170</v>
      </c>
      <c r="H1973" s="196" t="s">
        <v>481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25">
      <c r="F1974" s="196" t="s">
        <v>941</v>
      </c>
      <c r="G1974" s="196" t="s">
        <v>170</v>
      </c>
      <c r="H1974" s="196" t="s">
        <v>481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25">
      <c r="F1975" s="196" t="s">
        <v>942</v>
      </c>
      <c r="G1975" s="196" t="s">
        <v>170</v>
      </c>
      <c r="H1975" s="196" t="s">
        <v>481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25">
      <c r="F1976" s="93" t="s">
        <v>943</v>
      </c>
      <c r="G1976" s="93" t="s">
        <v>170</v>
      </c>
      <c r="H1976" s="93" t="s">
        <v>481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2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25">
      <c r="C1978" s="7" t="str">
        <f ca="1">INDEX('Version control'!$H$34:$H$60,MATCH($A$1,'Version control'!$F$34:$F$60,0),1)&amp;"-R: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25">
      <c r="I1979" s="111"/>
      <c r="J1979" s="163"/>
      <c r="K1979" s="163"/>
      <c r="L1979" s="163"/>
      <c r="M1979" s="163"/>
      <c r="N1979" s="163"/>
      <c r="O1979" s="163"/>
      <c r="P1979" s="163"/>
      <c r="Q1979" s="163"/>
      <c r="R1979" s="163"/>
      <c r="S1979" s="163"/>
    </row>
    <row r="1980" spans="3:21" s="293" customFormat="1" x14ac:dyDescent="0.25">
      <c r="E1980" s="445" t="s">
        <v>990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995</v>
      </c>
    </row>
    <row r="1981" spans="3:21" s="293" customFormat="1" x14ac:dyDescent="0.25">
      <c r="F1981" s="91" t="s">
        <v>928</v>
      </c>
      <c r="G1981" s="91" t="s">
        <v>510</v>
      </c>
      <c r="H1981" s="91"/>
      <c r="I1981" s="112"/>
      <c r="J1981" s="231">
        <f t="shared" ref="J1981:J1996" si="193">CHOOSE(year_selection, L1981,M1981,N1981,O1981,P1981,Q1981,R1981,S1981)</f>
        <v>617</v>
      </c>
      <c r="K1981" s="232"/>
      <c r="L1981" s="461"/>
      <c r="M1981" s="461"/>
      <c r="N1981" s="461"/>
      <c r="O1981" s="461">
        <v>617</v>
      </c>
      <c r="P1981" s="461">
        <v>617</v>
      </c>
      <c r="Q1981" s="461">
        <v>617</v>
      </c>
      <c r="R1981" s="461">
        <v>617</v>
      </c>
      <c r="S1981" s="461">
        <v>617</v>
      </c>
    </row>
    <row r="1982" spans="3:21" s="293" customFormat="1" x14ac:dyDescent="0.25">
      <c r="F1982" s="196" t="s">
        <v>929</v>
      </c>
      <c r="G1982" s="196" t="s">
        <v>510</v>
      </c>
      <c r="H1982" s="196"/>
      <c r="I1982" s="66"/>
      <c r="J1982" s="448">
        <f t="shared" si="193"/>
        <v>0</v>
      </c>
      <c r="K1982" s="234"/>
      <c r="L1982" s="446"/>
      <c r="M1982" s="446"/>
      <c r="N1982" s="446"/>
      <c r="O1982" s="446">
        <v>0</v>
      </c>
      <c r="P1982" s="446">
        <v>0</v>
      </c>
      <c r="Q1982" s="446">
        <v>0</v>
      </c>
      <c r="R1982" s="446">
        <v>0</v>
      </c>
      <c r="S1982" s="446">
        <v>0</v>
      </c>
    </row>
    <row r="1983" spans="3:21" s="293" customFormat="1" x14ac:dyDescent="0.25">
      <c r="F1983" s="196" t="s">
        <v>930</v>
      </c>
      <c r="G1983" s="196" t="s">
        <v>510</v>
      </c>
      <c r="H1983" s="196"/>
      <c r="I1983" s="66"/>
      <c r="J1983" s="233">
        <f t="shared" si="193"/>
        <v>10</v>
      </c>
      <c r="K1983" s="234"/>
      <c r="L1983" s="462"/>
      <c r="M1983" s="462"/>
      <c r="N1983" s="462"/>
      <c r="O1983" s="462">
        <v>10</v>
      </c>
      <c r="P1983" s="462">
        <v>10</v>
      </c>
      <c r="Q1983" s="462">
        <v>10</v>
      </c>
      <c r="R1983" s="462">
        <v>10</v>
      </c>
      <c r="S1983" s="462">
        <v>10</v>
      </c>
    </row>
    <row r="1984" spans="3:21" s="293" customFormat="1" x14ac:dyDescent="0.25">
      <c r="F1984" s="196" t="s">
        <v>931</v>
      </c>
      <c r="G1984" s="196" t="s">
        <v>510</v>
      </c>
      <c r="H1984" s="196"/>
      <c r="I1984" s="66"/>
      <c r="J1984" s="448">
        <f t="shared" si="193"/>
        <v>0</v>
      </c>
      <c r="K1984" s="234"/>
      <c r="L1984" s="446"/>
      <c r="M1984" s="446"/>
      <c r="N1984" s="446"/>
      <c r="O1984" s="446">
        <v>0</v>
      </c>
      <c r="P1984" s="446">
        <v>0</v>
      </c>
      <c r="Q1984" s="446">
        <v>0</v>
      </c>
      <c r="R1984" s="446">
        <v>0</v>
      </c>
      <c r="S1984" s="446">
        <v>0</v>
      </c>
    </row>
    <row r="1985" spans="2:49" s="293" customFormat="1" x14ac:dyDescent="0.25">
      <c r="F1985" s="196" t="s">
        <v>932</v>
      </c>
      <c r="G1985" s="196" t="s">
        <v>510</v>
      </c>
      <c r="H1985" s="196"/>
      <c r="I1985" s="66"/>
      <c r="J1985" s="233">
        <f t="shared" si="193"/>
        <v>3</v>
      </c>
      <c r="K1985" s="234"/>
      <c r="L1985" s="462"/>
      <c r="M1985" s="462"/>
      <c r="N1985" s="462"/>
      <c r="O1985" s="462">
        <v>3</v>
      </c>
      <c r="P1985" s="462">
        <v>3</v>
      </c>
      <c r="Q1985" s="462">
        <v>3</v>
      </c>
      <c r="R1985" s="462">
        <v>3</v>
      </c>
      <c r="S1985" s="462">
        <v>3</v>
      </c>
    </row>
    <row r="1986" spans="2:49" s="293" customFormat="1" x14ac:dyDescent="0.25">
      <c r="F1986" s="196" t="s">
        <v>933</v>
      </c>
      <c r="G1986" s="196" t="s">
        <v>510</v>
      </c>
      <c r="H1986" s="196"/>
      <c r="I1986" s="66"/>
      <c r="J1986" s="233">
        <f t="shared" si="193"/>
        <v>6</v>
      </c>
      <c r="K1986" s="234"/>
      <c r="L1986" s="462"/>
      <c r="M1986" s="462"/>
      <c r="N1986" s="462"/>
      <c r="O1986" s="462">
        <v>6</v>
      </c>
      <c r="P1986" s="462">
        <v>6</v>
      </c>
      <c r="Q1986" s="462">
        <v>6</v>
      </c>
      <c r="R1986" s="462">
        <v>6</v>
      </c>
      <c r="S1986" s="462">
        <v>6</v>
      </c>
    </row>
    <row r="1987" spans="2:49" s="293" customFormat="1" x14ac:dyDescent="0.25">
      <c r="F1987" s="196" t="s">
        <v>934</v>
      </c>
      <c r="G1987" s="196" t="s">
        <v>510</v>
      </c>
      <c r="H1987" s="196"/>
      <c r="I1987" s="66"/>
      <c r="J1987" s="448">
        <f t="shared" si="193"/>
        <v>8</v>
      </c>
      <c r="K1987" s="234"/>
      <c r="L1987" s="446"/>
      <c r="M1987" s="446"/>
      <c r="N1987" s="446"/>
      <c r="O1987" s="446">
        <v>8</v>
      </c>
      <c r="P1987" s="446">
        <v>8</v>
      </c>
      <c r="Q1987" s="446">
        <v>8</v>
      </c>
      <c r="R1987" s="446">
        <v>8</v>
      </c>
      <c r="S1987" s="446">
        <v>8</v>
      </c>
    </row>
    <row r="1988" spans="2:49" s="293" customFormat="1" x14ac:dyDescent="0.25">
      <c r="F1988" s="196" t="s">
        <v>935</v>
      </c>
      <c r="G1988" s="196" t="s">
        <v>510</v>
      </c>
      <c r="H1988" s="196"/>
      <c r="I1988" s="66"/>
      <c r="J1988" s="448">
        <f t="shared" si="193"/>
        <v>0</v>
      </c>
      <c r="K1988" s="234"/>
      <c r="L1988" s="446"/>
      <c r="M1988" s="446"/>
      <c r="N1988" s="446"/>
      <c r="O1988" s="446">
        <v>0</v>
      </c>
      <c r="P1988" s="446">
        <v>0</v>
      </c>
      <c r="Q1988" s="446">
        <v>0</v>
      </c>
      <c r="R1988" s="446">
        <v>0</v>
      </c>
      <c r="S1988" s="446">
        <v>0</v>
      </c>
    </row>
    <row r="1989" spans="2:49" s="293" customFormat="1" x14ac:dyDescent="0.25">
      <c r="F1989" s="196" t="s">
        <v>936</v>
      </c>
      <c r="G1989" s="196" t="s">
        <v>510</v>
      </c>
      <c r="H1989" s="196"/>
      <c r="I1989" s="66"/>
      <c r="J1989" s="233">
        <f t="shared" si="193"/>
        <v>0</v>
      </c>
      <c r="K1989" s="234"/>
      <c r="L1989" s="462"/>
      <c r="M1989" s="462"/>
      <c r="N1989" s="462"/>
      <c r="O1989" s="462">
        <v>0</v>
      </c>
      <c r="P1989" s="462">
        <v>0</v>
      </c>
      <c r="Q1989" s="462">
        <v>0</v>
      </c>
      <c r="R1989" s="462">
        <v>0</v>
      </c>
      <c r="S1989" s="462">
        <v>0</v>
      </c>
    </row>
    <row r="1990" spans="2:49" s="293" customFormat="1" x14ac:dyDescent="0.25">
      <c r="F1990" s="196" t="s">
        <v>937</v>
      </c>
      <c r="G1990" s="196" t="s">
        <v>510</v>
      </c>
      <c r="H1990" s="196"/>
      <c r="I1990" s="66"/>
      <c r="J1990" s="233">
        <f t="shared" si="193"/>
        <v>0</v>
      </c>
      <c r="K1990" s="234"/>
      <c r="L1990" s="462"/>
      <c r="M1990" s="462"/>
      <c r="N1990" s="462"/>
      <c r="O1990" s="462">
        <v>0</v>
      </c>
      <c r="P1990" s="462">
        <v>0</v>
      </c>
      <c r="Q1990" s="462">
        <v>0</v>
      </c>
      <c r="R1990" s="462">
        <v>0</v>
      </c>
      <c r="S1990" s="462">
        <v>0</v>
      </c>
    </row>
    <row r="1991" spans="2:49" s="293" customFormat="1" x14ac:dyDescent="0.25">
      <c r="F1991" s="196" t="s">
        <v>938</v>
      </c>
      <c r="G1991" s="196" t="s">
        <v>510</v>
      </c>
      <c r="H1991" s="196"/>
      <c r="I1991" s="66"/>
      <c r="J1991" s="233">
        <f t="shared" si="193"/>
        <v>0</v>
      </c>
      <c r="K1991" s="234"/>
      <c r="L1991" s="462"/>
      <c r="M1991" s="462"/>
      <c r="N1991" s="462"/>
      <c r="O1991" s="462">
        <v>0</v>
      </c>
      <c r="P1991" s="462">
        <v>0</v>
      </c>
      <c r="Q1991" s="462">
        <v>0</v>
      </c>
      <c r="R1991" s="462">
        <v>0</v>
      </c>
      <c r="S1991" s="462">
        <v>0</v>
      </c>
    </row>
    <row r="1992" spans="2:49" s="293" customFormat="1" x14ac:dyDescent="0.25">
      <c r="F1992" s="196" t="s">
        <v>939</v>
      </c>
      <c r="G1992" s="196" t="s">
        <v>510</v>
      </c>
      <c r="H1992" s="196"/>
      <c r="I1992" s="66"/>
      <c r="J1992" s="233">
        <f t="shared" si="193"/>
        <v>0</v>
      </c>
      <c r="K1992" s="234"/>
      <c r="L1992" s="462"/>
      <c r="M1992" s="462"/>
      <c r="N1992" s="462"/>
      <c r="O1992" s="462">
        <v>0</v>
      </c>
      <c r="P1992" s="462">
        <v>0</v>
      </c>
      <c r="Q1992" s="462">
        <v>0</v>
      </c>
      <c r="R1992" s="462">
        <v>0</v>
      </c>
      <c r="S1992" s="462">
        <v>0</v>
      </c>
    </row>
    <row r="1993" spans="2:49" s="293" customFormat="1" x14ac:dyDescent="0.25">
      <c r="F1993" s="196" t="s">
        <v>940</v>
      </c>
      <c r="G1993" s="196" t="s">
        <v>510</v>
      </c>
      <c r="H1993" s="196"/>
      <c r="I1993" s="66"/>
      <c r="J1993" s="233">
        <f t="shared" si="193"/>
        <v>0</v>
      </c>
      <c r="K1993" s="234"/>
      <c r="L1993" s="462"/>
      <c r="M1993" s="462"/>
      <c r="N1993" s="462"/>
      <c r="O1993" s="462">
        <v>0</v>
      </c>
      <c r="P1993" s="462">
        <v>0</v>
      </c>
      <c r="Q1993" s="462">
        <v>0</v>
      </c>
      <c r="R1993" s="462">
        <v>0</v>
      </c>
      <c r="S1993" s="462">
        <v>0</v>
      </c>
    </row>
    <row r="1994" spans="2:49" s="293" customFormat="1" x14ac:dyDescent="0.25">
      <c r="F1994" s="196" t="s">
        <v>941</v>
      </c>
      <c r="G1994" s="196" t="s">
        <v>510</v>
      </c>
      <c r="H1994" s="196"/>
      <c r="I1994" s="66"/>
      <c r="J1994" s="233">
        <f t="shared" si="193"/>
        <v>0</v>
      </c>
      <c r="K1994" s="234"/>
      <c r="L1994" s="462"/>
      <c r="M1994" s="462"/>
      <c r="N1994" s="462"/>
      <c r="O1994" s="462">
        <v>0</v>
      </c>
      <c r="P1994" s="462">
        <v>0</v>
      </c>
      <c r="Q1994" s="462">
        <v>0</v>
      </c>
      <c r="R1994" s="462">
        <v>0</v>
      </c>
      <c r="S1994" s="462">
        <v>0</v>
      </c>
    </row>
    <row r="1995" spans="2:49" s="293" customFormat="1" x14ac:dyDescent="0.25">
      <c r="F1995" s="196" t="s">
        <v>942</v>
      </c>
      <c r="G1995" s="196" t="s">
        <v>510</v>
      </c>
      <c r="H1995" s="196"/>
      <c r="I1995" s="66"/>
      <c r="J1995" s="448">
        <f t="shared" si="193"/>
        <v>0</v>
      </c>
      <c r="K1995" s="234"/>
      <c r="L1995" s="446"/>
      <c r="M1995" s="446"/>
      <c r="N1995" s="446"/>
      <c r="O1995" s="446">
        <v>0</v>
      </c>
      <c r="P1995" s="446">
        <v>0</v>
      </c>
      <c r="Q1995" s="446">
        <v>0</v>
      </c>
      <c r="R1995" s="446">
        <v>0</v>
      </c>
      <c r="S1995" s="446">
        <v>0</v>
      </c>
    </row>
    <row r="1996" spans="2:49" s="293" customFormat="1" x14ac:dyDescent="0.25">
      <c r="F1996" s="93" t="s">
        <v>943</v>
      </c>
      <c r="G1996" s="93" t="s">
        <v>510</v>
      </c>
      <c r="H1996" s="93"/>
      <c r="I1996" s="145"/>
      <c r="J1996" s="449">
        <f t="shared" si="193"/>
        <v>0</v>
      </c>
      <c r="K1996" s="236"/>
      <c r="L1996" s="447"/>
      <c r="M1996" s="447"/>
      <c r="N1996" s="447"/>
      <c r="O1996" s="447">
        <v>0</v>
      </c>
      <c r="P1996" s="447">
        <v>0</v>
      </c>
      <c r="Q1996" s="447">
        <v>0</v>
      </c>
      <c r="R1996" s="447">
        <v>0</v>
      </c>
      <c r="S1996" s="447">
        <v>0</v>
      </c>
    </row>
    <row r="1997" spans="2:49" s="293" customFormat="1" x14ac:dyDescent="0.2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25">
      <c r="B1998" s="95" t="s">
        <v>1224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2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25">
      <c r="D2000" s="82" t="s">
        <v>1225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1238</v>
      </c>
    </row>
    <row r="2001" spans="3:21" s="293" customFormat="1" x14ac:dyDescent="0.25">
      <c r="D2001" s="82" t="s">
        <v>1226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2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25">
      <c r="C2003" s="7" t="str">
        <f ca="1">INDEX('Version control'!$H$34:$H$60,MATCH($A$1,'Version control'!$F$34:$F$60,0),1)&amp;"-S: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25">
      <c r="I2004" s="111"/>
      <c r="J2004" s="163"/>
      <c r="K2004" s="163"/>
      <c r="L2004" s="163"/>
      <c r="M2004" s="163"/>
      <c r="N2004" s="163"/>
      <c r="O2004" s="163"/>
      <c r="P2004" s="163"/>
      <c r="Q2004" s="163"/>
      <c r="R2004" s="163"/>
      <c r="S2004" s="163"/>
    </row>
    <row r="2005" spans="3:21" s="293" customFormat="1" x14ac:dyDescent="0.25">
      <c r="E2005" s="445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25">
      <c r="F2006" s="91" t="s">
        <v>1063</v>
      </c>
      <c r="G2006" s="91" t="s">
        <v>94</v>
      </c>
      <c r="H2006" s="91"/>
      <c r="I2006" s="112"/>
      <c r="J2006" s="184">
        <f t="shared" ref="J2006:J2010" si="194">CHOOSE(year_selection, L2006,M2006,N2006,O2006,P2006,Q2006,R2006,S2006)</f>
        <v>0</v>
      </c>
      <c r="K2006" s="521"/>
      <c r="L2006" s="522"/>
      <c r="M2006" s="522"/>
      <c r="N2006" s="522"/>
      <c r="O2006" s="522">
        <v>0</v>
      </c>
      <c r="P2006" s="522">
        <v>0</v>
      </c>
      <c r="Q2006" s="522">
        <v>0</v>
      </c>
      <c r="R2006" s="522">
        <v>0</v>
      </c>
      <c r="S2006" s="522">
        <v>0</v>
      </c>
    </row>
    <row r="2007" spans="3:21" s="293" customFormat="1" x14ac:dyDescent="0.25">
      <c r="F2007" s="196" t="s">
        <v>1064</v>
      </c>
      <c r="G2007" s="196" t="s">
        <v>94</v>
      </c>
      <c r="H2007" s="196"/>
      <c r="I2007" s="66"/>
      <c r="J2007" s="185">
        <f t="shared" si="194"/>
        <v>4.7273629478738102E-2</v>
      </c>
      <c r="K2007" s="523"/>
      <c r="L2007" s="524"/>
      <c r="M2007" s="524"/>
      <c r="N2007" s="524"/>
      <c r="O2007" s="524">
        <v>4.7273629478738102E-2</v>
      </c>
      <c r="P2007" s="524">
        <v>4.7273629478738102E-2</v>
      </c>
      <c r="Q2007" s="524">
        <v>4.7273629478738102E-2</v>
      </c>
      <c r="R2007" s="524">
        <v>4.7273629478738102E-2</v>
      </c>
      <c r="S2007" s="524">
        <v>4.7273629478738102E-2</v>
      </c>
    </row>
    <row r="2008" spans="3:21" s="293" customFormat="1" x14ac:dyDescent="0.25">
      <c r="F2008" s="196" t="s">
        <v>1065</v>
      </c>
      <c r="G2008" s="196" t="s">
        <v>94</v>
      </c>
      <c r="H2008" s="196"/>
      <c r="I2008" s="66"/>
      <c r="J2008" s="185">
        <f t="shared" si="194"/>
        <v>0.17423566478358937</v>
      </c>
      <c r="K2008" s="523"/>
      <c r="L2008" s="524"/>
      <c r="M2008" s="524"/>
      <c r="N2008" s="524"/>
      <c r="O2008" s="524">
        <v>0.17423566478358937</v>
      </c>
      <c r="P2008" s="524">
        <v>0.17423566478358937</v>
      </c>
      <c r="Q2008" s="524">
        <v>0.17423566478358937</v>
      </c>
      <c r="R2008" s="524">
        <v>0.17423566478358937</v>
      </c>
      <c r="S2008" s="524">
        <v>0.17423566478358937</v>
      </c>
    </row>
    <row r="2009" spans="3:21" s="293" customFormat="1" x14ac:dyDescent="0.25">
      <c r="F2009" s="196" t="s">
        <v>1066</v>
      </c>
      <c r="G2009" s="196" t="s">
        <v>94</v>
      </c>
      <c r="H2009" s="196"/>
      <c r="I2009" s="66"/>
      <c r="J2009" s="311">
        <f t="shared" si="194"/>
        <v>0.20274003571102514</v>
      </c>
      <c r="K2009" s="523"/>
      <c r="L2009" s="525"/>
      <c r="M2009" s="525"/>
      <c r="N2009" s="525"/>
      <c r="O2009" s="525">
        <v>0.20274003571102514</v>
      </c>
      <c r="P2009" s="525">
        <v>0.20274003571102514</v>
      </c>
      <c r="Q2009" s="525">
        <v>0.20274003571102514</v>
      </c>
      <c r="R2009" s="525">
        <v>0.20274003571102514</v>
      </c>
      <c r="S2009" s="525">
        <v>0.20274003571102514</v>
      </c>
    </row>
    <row r="2010" spans="3:21" s="293" customFormat="1" x14ac:dyDescent="0.25">
      <c r="F2010" s="93" t="s">
        <v>1067</v>
      </c>
      <c r="G2010" s="93" t="s">
        <v>94</v>
      </c>
      <c r="H2010" s="93"/>
      <c r="I2010" s="145"/>
      <c r="J2010" s="526">
        <f t="shared" si="194"/>
        <v>0.57575067002664737</v>
      </c>
      <c r="K2010" s="527"/>
      <c r="L2010" s="528"/>
      <c r="M2010" s="528"/>
      <c r="N2010" s="528"/>
      <c r="O2010" s="528">
        <v>0.57575067002664737</v>
      </c>
      <c r="P2010" s="528">
        <v>0.57575067002664737</v>
      </c>
      <c r="Q2010" s="528">
        <v>0.57575067002664737</v>
      </c>
      <c r="R2010" s="528">
        <v>0.57575067002664737</v>
      </c>
      <c r="S2010" s="528">
        <v>0.57575067002664737</v>
      </c>
    </row>
    <row r="2011" spans="3:21" s="293" customFormat="1" x14ac:dyDescent="0.2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25">
      <c r="E2012" s="445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25">
      <c r="F2013" s="91" t="s">
        <v>1063</v>
      </c>
      <c r="G2013" s="91" t="s">
        <v>94</v>
      </c>
      <c r="H2013" s="91"/>
      <c r="I2013" s="112"/>
      <c r="J2013" s="184">
        <f t="shared" ref="J2013:J2017" si="195">CHOOSE(year_selection, L2013,M2013,N2013,O2013,P2013,Q2013,R2013,S2013)</f>
        <v>0</v>
      </c>
      <c r="K2013" s="521"/>
      <c r="L2013" s="522"/>
      <c r="M2013" s="522"/>
      <c r="N2013" s="522"/>
      <c r="O2013" s="522">
        <v>0</v>
      </c>
      <c r="P2013" s="522">
        <v>0</v>
      </c>
      <c r="Q2013" s="522">
        <v>0</v>
      </c>
      <c r="R2013" s="522">
        <v>0</v>
      </c>
      <c r="S2013" s="522">
        <v>0</v>
      </c>
    </row>
    <row r="2014" spans="3:21" s="293" customFormat="1" x14ac:dyDescent="0.25">
      <c r="F2014" s="196" t="s">
        <v>1064</v>
      </c>
      <c r="G2014" s="196" t="s">
        <v>94</v>
      </c>
      <c r="H2014" s="196"/>
      <c r="I2014" s="66"/>
      <c r="J2014" s="185">
        <f t="shared" si="195"/>
        <v>4.7273629478738102E-2</v>
      </c>
      <c r="K2014" s="523"/>
      <c r="L2014" s="524"/>
      <c r="M2014" s="524"/>
      <c r="N2014" s="524"/>
      <c r="O2014" s="524">
        <v>4.7273629478738102E-2</v>
      </c>
      <c r="P2014" s="524">
        <v>4.7273629478738102E-2</v>
      </c>
      <c r="Q2014" s="524">
        <v>4.7273629478738102E-2</v>
      </c>
      <c r="R2014" s="524">
        <v>4.7273629478738102E-2</v>
      </c>
      <c r="S2014" s="524">
        <v>4.7273629478738102E-2</v>
      </c>
    </row>
    <row r="2015" spans="3:21" s="293" customFormat="1" x14ac:dyDescent="0.25">
      <c r="F2015" s="196" t="s">
        <v>1065</v>
      </c>
      <c r="G2015" s="196" t="s">
        <v>94</v>
      </c>
      <c r="H2015" s="196"/>
      <c r="I2015" s="66"/>
      <c r="J2015" s="185">
        <f t="shared" si="195"/>
        <v>0.17423566478358937</v>
      </c>
      <c r="K2015" s="523"/>
      <c r="L2015" s="524"/>
      <c r="M2015" s="524"/>
      <c r="N2015" s="524"/>
      <c r="O2015" s="524">
        <v>0.17423566478358937</v>
      </c>
      <c r="P2015" s="524">
        <v>0.17423566478358937</v>
      </c>
      <c r="Q2015" s="524">
        <v>0.17423566478358937</v>
      </c>
      <c r="R2015" s="524">
        <v>0.17423566478358937</v>
      </c>
      <c r="S2015" s="524">
        <v>0.17423566478358937</v>
      </c>
    </row>
    <row r="2016" spans="3:21" s="293" customFormat="1" x14ac:dyDescent="0.25">
      <c r="F2016" s="196" t="s">
        <v>1066</v>
      </c>
      <c r="G2016" s="196" t="s">
        <v>94</v>
      </c>
      <c r="H2016" s="196"/>
      <c r="I2016" s="66"/>
      <c r="J2016" s="311">
        <f t="shared" si="195"/>
        <v>0.20274003571102514</v>
      </c>
      <c r="K2016" s="523"/>
      <c r="L2016" s="525"/>
      <c r="M2016" s="525"/>
      <c r="N2016" s="525"/>
      <c r="O2016" s="525">
        <v>0.20274003571102514</v>
      </c>
      <c r="P2016" s="525">
        <v>0.20274003571102514</v>
      </c>
      <c r="Q2016" s="525">
        <v>0.20274003571102514</v>
      </c>
      <c r="R2016" s="525">
        <v>0.20274003571102514</v>
      </c>
      <c r="S2016" s="525">
        <v>0.20274003571102514</v>
      </c>
    </row>
    <row r="2017" spans="3:21" s="293" customFormat="1" x14ac:dyDescent="0.25">
      <c r="F2017" s="93" t="s">
        <v>1067</v>
      </c>
      <c r="G2017" s="93" t="s">
        <v>94</v>
      </c>
      <c r="H2017" s="93"/>
      <c r="I2017" s="145"/>
      <c r="J2017" s="526">
        <f t="shared" si="195"/>
        <v>0.57575067002664737</v>
      </c>
      <c r="K2017" s="527"/>
      <c r="L2017" s="528"/>
      <c r="M2017" s="528"/>
      <c r="N2017" s="528"/>
      <c r="O2017" s="528">
        <v>0.57575067002664737</v>
      </c>
      <c r="P2017" s="528">
        <v>0.57575067002664737</v>
      </c>
      <c r="Q2017" s="528">
        <v>0.57575067002664737</v>
      </c>
      <c r="R2017" s="528">
        <v>0.57575067002664737</v>
      </c>
      <c r="S2017" s="528">
        <v>0.57575067002664737</v>
      </c>
    </row>
    <row r="2018" spans="3:21" s="293" customFormat="1" x14ac:dyDescent="0.2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25">
      <c r="E2019" s="445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25">
      <c r="F2020" s="91" t="s">
        <v>1063</v>
      </c>
      <c r="G2020" s="91" t="s">
        <v>94</v>
      </c>
      <c r="H2020" s="91"/>
      <c r="I2020" s="112"/>
      <c r="J2020" s="184">
        <f t="shared" ref="J2020:J2024" si="196">CHOOSE(year_selection, L2020,M2020,N2020,O2020,P2020,Q2020,R2020,S2020)</f>
        <v>0</v>
      </c>
      <c r="K2020" s="521"/>
      <c r="L2020" s="522"/>
      <c r="M2020" s="522"/>
      <c r="N2020" s="522"/>
      <c r="O2020" s="522">
        <v>0</v>
      </c>
      <c r="P2020" s="522">
        <v>0</v>
      </c>
      <c r="Q2020" s="522">
        <v>0</v>
      </c>
      <c r="R2020" s="522">
        <v>0</v>
      </c>
      <c r="S2020" s="522">
        <v>0</v>
      </c>
    </row>
    <row r="2021" spans="3:21" s="293" customFormat="1" x14ac:dyDescent="0.25">
      <c r="F2021" s="196" t="s">
        <v>1064</v>
      </c>
      <c r="G2021" s="196" t="s">
        <v>94</v>
      </c>
      <c r="H2021" s="196"/>
      <c r="I2021" s="66"/>
      <c r="J2021" s="185">
        <f t="shared" si="196"/>
        <v>4.7273629478738102E-2</v>
      </c>
      <c r="K2021" s="523"/>
      <c r="L2021" s="524"/>
      <c r="M2021" s="524"/>
      <c r="N2021" s="524"/>
      <c r="O2021" s="524">
        <v>4.7273629478738102E-2</v>
      </c>
      <c r="P2021" s="524">
        <v>4.7273629478738102E-2</v>
      </c>
      <c r="Q2021" s="524">
        <v>4.7273629478738102E-2</v>
      </c>
      <c r="R2021" s="524">
        <v>4.7273629478738102E-2</v>
      </c>
      <c r="S2021" s="524">
        <v>4.7273629478738102E-2</v>
      </c>
    </row>
    <row r="2022" spans="3:21" s="293" customFormat="1" x14ac:dyDescent="0.25">
      <c r="F2022" s="196" t="s">
        <v>1065</v>
      </c>
      <c r="G2022" s="196" t="s">
        <v>94</v>
      </c>
      <c r="H2022" s="196"/>
      <c r="I2022" s="66"/>
      <c r="J2022" s="185">
        <f t="shared" si="196"/>
        <v>0.17423566478358937</v>
      </c>
      <c r="K2022" s="523"/>
      <c r="L2022" s="524"/>
      <c r="M2022" s="524"/>
      <c r="N2022" s="524"/>
      <c r="O2022" s="524">
        <v>0.17423566478358937</v>
      </c>
      <c r="P2022" s="524">
        <v>0.17423566478358937</v>
      </c>
      <c r="Q2022" s="524">
        <v>0.17423566478358937</v>
      </c>
      <c r="R2022" s="524">
        <v>0.17423566478358937</v>
      </c>
      <c r="S2022" s="524">
        <v>0.17423566478358937</v>
      </c>
    </row>
    <row r="2023" spans="3:21" s="293" customFormat="1" x14ac:dyDescent="0.25">
      <c r="F2023" s="196" t="s">
        <v>1066</v>
      </c>
      <c r="G2023" s="196" t="s">
        <v>94</v>
      </c>
      <c r="H2023" s="196"/>
      <c r="I2023" s="66"/>
      <c r="J2023" s="311">
        <f t="shared" si="196"/>
        <v>0.20274003571102514</v>
      </c>
      <c r="K2023" s="523"/>
      <c r="L2023" s="525"/>
      <c r="M2023" s="525"/>
      <c r="N2023" s="525"/>
      <c r="O2023" s="525">
        <v>0.20274003571102514</v>
      </c>
      <c r="P2023" s="525">
        <v>0.20274003571102514</v>
      </c>
      <c r="Q2023" s="525">
        <v>0.20274003571102514</v>
      </c>
      <c r="R2023" s="525">
        <v>0.20274003571102514</v>
      </c>
      <c r="S2023" s="525">
        <v>0.20274003571102514</v>
      </c>
    </row>
    <row r="2024" spans="3:21" s="293" customFormat="1" x14ac:dyDescent="0.25">
      <c r="F2024" s="93" t="s">
        <v>1067</v>
      </c>
      <c r="G2024" s="93" t="s">
        <v>94</v>
      </c>
      <c r="H2024" s="93"/>
      <c r="I2024" s="145"/>
      <c r="J2024" s="526">
        <f t="shared" si="196"/>
        <v>0.57575067002664737</v>
      </c>
      <c r="K2024" s="527"/>
      <c r="L2024" s="528"/>
      <c r="M2024" s="528"/>
      <c r="N2024" s="528"/>
      <c r="O2024" s="528">
        <v>0.57575067002664737</v>
      </c>
      <c r="P2024" s="528">
        <v>0.57575067002664737</v>
      </c>
      <c r="Q2024" s="528">
        <v>0.57575067002664737</v>
      </c>
      <c r="R2024" s="528">
        <v>0.57575067002664737</v>
      </c>
      <c r="S2024" s="528">
        <v>0.57575067002664737</v>
      </c>
    </row>
    <row r="2025" spans="3:21" s="293" customFormat="1" x14ac:dyDescent="0.2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25">
      <c r="C2026" s="7" t="str">
        <f ca="1">INDEX('Version control'!$H$34:$H$60,MATCH($A$1,'Version control'!$F$34:$F$60,0),1)&amp;"-T: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25">
      <c r="I2027" s="111"/>
      <c r="J2027" s="163"/>
      <c r="K2027" s="163"/>
      <c r="L2027" s="163"/>
      <c r="M2027" s="163"/>
      <c r="N2027" s="163"/>
      <c r="O2027" s="163"/>
      <c r="P2027" s="163"/>
      <c r="Q2027" s="163"/>
      <c r="R2027" s="163"/>
      <c r="S2027" s="163"/>
    </row>
    <row r="2028" spans="3:21" s="293" customFormat="1" x14ac:dyDescent="0.25">
      <c r="E2028" s="445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25">
      <c r="F2029" s="91" t="s">
        <v>1063</v>
      </c>
      <c r="G2029" s="91" t="s">
        <v>94</v>
      </c>
      <c r="H2029" s="91"/>
      <c r="I2029" s="112"/>
      <c r="J2029" s="184">
        <f t="shared" ref="J2029:J2033" si="197">CHOOSE(year_selection, L2029,M2029,N2029,O2029,P2029,Q2029,R2029,S2029)</f>
        <v>0</v>
      </c>
      <c r="K2029" s="521"/>
      <c r="L2029" s="522"/>
      <c r="M2029" s="522"/>
      <c r="N2029" s="522"/>
      <c r="O2029" s="522">
        <v>0</v>
      </c>
      <c r="P2029" s="522">
        <v>0</v>
      </c>
      <c r="Q2029" s="522">
        <v>0</v>
      </c>
      <c r="R2029" s="522">
        <v>0</v>
      </c>
      <c r="S2029" s="522">
        <v>0</v>
      </c>
    </row>
    <row r="2030" spans="3:21" s="293" customFormat="1" x14ac:dyDescent="0.25">
      <c r="F2030" s="196" t="s">
        <v>1064</v>
      </c>
      <c r="G2030" s="196" t="s">
        <v>94</v>
      </c>
      <c r="H2030" s="196"/>
      <c r="I2030" s="66"/>
      <c r="J2030" s="185">
        <f t="shared" si="197"/>
        <v>4.7273629478738102E-2</v>
      </c>
      <c r="K2030" s="523"/>
      <c r="L2030" s="524"/>
      <c r="M2030" s="524"/>
      <c r="N2030" s="524"/>
      <c r="O2030" s="524">
        <v>4.7273629478738102E-2</v>
      </c>
      <c r="P2030" s="524">
        <v>4.7273629478738102E-2</v>
      </c>
      <c r="Q2030" s="524">
        <v>4.7273629478738102E-2</v>
      </c>
      <c r="R2030" s="524">
        <v>4.7273629478738102E-2</v>
      </c>
      <c r="S2030" s="524">
        <v>4.7273629478738102E-2</v>
      </c>
    </row>
    <row r="2031" spans="3:21" s="293" customFormat="1" x14ac:dyDescent="0.25">
      <c r="F2031" s="196" t="s">
        <v>1065</v>
      </c>
      <c r="G2031" s="196" t="s">
        <v>94</v>
      </c>
      <c r="H2031" s="196"/>
      <c r="I2031" s="66"/>
      <c r="J2031" s="185">
        <f t="shared" si="197"/>
        <v>0.17423566478358937</v>
      </c>
      <c r="K2031" s="523"/>
      <c r="L2031" s="524"/>
      <c r="M2031" s="524"/>
      <c r="N2031" s="524"/>
      <c r="O2031" s="524">
        <v>0.17423566478358937</v>
      </c>
      <c r="P2031" s="524">
        <v>0.17423566478358937</v>
      </c>
      <c r="Q2031" s="524">
        <v>0.17423566478358937</v>
      </c>
      <c r="R2031" s="524">
        <v>0.17423566478358937</v>
      </c>
      <c r="S2031" s="524">
        <v>0.17423566478358937</v>
      </c>
    </row>
    <row r="2032" spans="3:21" s="293" customFormat="1" x14ac:dyDescent="0.25">
      <c r="F2032" s="196" t="s">
        <v>1066</v>
      </c>
      <c r="G2032" s="196" t="s">
        <v>94</v>
      </c>
      <c r="H2032" s="196"/>
      <c r="I2032" s="66"/>
      <c r="J2032" s="311">
        <f t="shared" si="197"/>
        <v>0.20274003571102514</v>
      </c>
      <c r="K2032" s="523"/>
      <c r="L2032" s="525"/>
      <c r="M2032" s="525"/>
      <c r="N2032" s="525"/>
      <c r="O2032" s="525">
        <v>0.20274003571102514</v>
      </c>
      <c r="P2032" s="525">
        <v>0.20274003571102514</v>
      </c>
      <c r="Q2032" s="525">
        <v>0.20274003571102514</v>
      </c>
      <c r="R2032" s="525">
        <v>0.20274003571102514</v>
      </c>
      <c r="S2032" s="525">
        <v>0.20274003571102514</v>
      </c>
    </row>
    <row r="2033" spans="4:19" s="293" customFormat="1" x14ac:dyDescent="0.25">
      <c r="F2033" s="93" t="s">
        <v>1067</v>
      </c>
      <c r="G2033" s="93" t="s">
        <v>94</v>
      </c>
      <c r="H2033" s="93"/>
      <c r="I2033" s="145"/>
      <c r="J2033" s="526">
        <f t="shared" si="197"/>
        <v>0.57575067002664737</v>
      </c>
      <c r="K2033" s="527"/>
      <c r="L2033" s="528"/>
      <c r="M2033" s="528"/>
      <c r="N2033" s="528"/>
      <c r="O2033" s="528">
        <v>0.57575067002664737</v>
      </c>
      <c r="P2033" s="528">
        <v>0.57575067002664737</v>
      </c>
      <c r="Q2033" s="528">
        <v>0.57575067002664737</v>
      </c>
      <c r="R2033" s="528">
        <v>0.57575067002664737</v>
      </c>
      <c r="S2033" s="528">
        <v>0.57575067002664737</v>
      </c>
    </row>
    <row r="2034" spans="4:19" s="293" customFormat="1" x14ac:dyDescent="0.2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25">
      <c r="E2035" s="445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25">
      <c r="F2036" s="91" t="s">
        <v>1063</v>
      </c>
      <c r="G2036" s="91" t="s">
        <v>94</v>
      </c>
      <c r="H2036" s="91"/>
      <c r="I2036" s="112"/>
      <c r="J2036" s="184">
        <f t="shared" ref="J2036:J2040" si="198">CHOOSE(year_selection, L2036,M2036,N2036,O2036,P2036,Q2036,R2036,S2036)</f>
        <v>0</v>
      </c>
      <c r="K2036" s="521"/>
      <c r="L2036" s="522"/>
      <c r="M2036" s="522"/>
      <c r="N2036" s="522"/>
      <c r="O2036" s="522">
        <v>0</v>
      </c>
      <c r="P2036" s="522">
        <v>0</v>
      </c>
      <c r="Q2036" s="522">
        <v>0</v>
      </c>
      <c r="R2036" s="522">
        <v>0</v>
      </c>
      <c r="S2036" s="522">
        <v>0</v>
      </c>
    </row>
    <row r="2037" spans="4:19" s="293" customFormat="1" x14ac:dyDescent="0.25">
      <c r="F2037" s="196" t="s">
        <v>1064</v>
      </c>
      <c r="G2037" s="196" t="s">
        <v>94</v>
      </c>
      <c r="H2037" s="196"/>
      <c r="I2037" s="66"/>
      <c r="J2037" s="185">
        <f t="shared" si="198"/>
        <v>4.7273629478738102E-2</v>
      </c>
      <c r="K2037" s="523"/>
      <c r="L2037" s="524"/>
      <c r="M2037" s="524"/>
      <c r="N2037" s="524"/>
      <c r="O2037" s="524">
        <v>4.7273629478738102E-2</v>
      </c>
      <c r="P2037" s="524">
        <v>4.7273629478738102E-2</v>
      </c>
      <c r="Q2037" s="524">
        <v>4.7273629478738102E-2</v>
      </c>
      <c r="R2037" s="524">
        <v>4.7273629478738102E-2</v>
      </c>
      <c r="S2037" s="524">
        <v>4.7273629478738102E-2</v>
      </c>
    </row>
    <row r="2038" spans="4:19" s="293" customFormat="1" x14ac:dyDescent="0.25">
      <c r="F2038" s="196" t="s">
        <v>1065</v>
      </c>
      <c r="G2038" s="196" t="s">
        <v>94</v>
      </c>
      <c r="H2038" s="196"/>
      <c r="I2038" s="66"/>
      <c r="J2038" s="185">
        <f t="shared" si="198"/>
        <v>0.17423566478358937</v>
      </c>
      <c r="K2038" s="523"/>
      <c r="L2038" s="524"/>
      <c r="M2038" s="524"/>
      <c r="N2038" s="524"/>
      <c r="O2038" s="524">
        <v>0.17423566478358937</v>
      </c>
      <c r="P2038" s="524">
        <v>0.17423566478358937</v>
      </c>
      <c r="Q2038" s="524">
        <v>0.17423566478358937</v>
      </c>
      <c r="R2038" s="524">
        <v>0.17423566478358937</v>
      </c>
      <c r="S2038" s="524">
        <v>0.17423566478358937</v>
      </c>
    </row>
    <row r="2039" spans="4:19" s="293" customFormat="1" x14ac:dyDescent="0.25">
      <c r="F2039" s="196" t="s">
        <v>1066</v>
      </c>
      <c r="G2039" s="196" t="s">
        <v>94</v>
      </c>
      <c r="H2039" s="196"/>
      <c r="I2039" s="66"/>
      <c r="J2039" s="311">
        <f t="shared" si="198"/>
        <v>0.20274003571102514</v>
      </c>
      <c r="K2039" s="523"/>
      <c r="L2039" s="525"/>
      <c r="M2039" s="525"/>
      <c r="N2039" s="525"/>
      <c r="O2039" s="525">
        <v>0.20274003571102514</v>
      </c>
      <c r="P2039" s="525">
        <v>0.20274003571102514</v>
      </c>
      <c r="Q2039" s="525">
        <v>0.20274003571102514</v>
      </c>
      <c r="R2039" s="525">
        <v>0.20274003571102514</v>
      </c>
      <c r="S2039" s="525">
        <v>0.20274003571102514</v>
      </c>
    </row>
    <row r="2040" spans="4:19" s="293" customFormat="1" x14ac:dyDescent="0.25">
      <c r="F2040" s="93" t="s">
        <v>1067</v>
      </c>
      <c r="G2040" s="93" t="s">
        <v>94</v>
      </c>
      <c r="H2040" s="93"/>
      <c r="I2040" s="145"/>
      <c r="J2040" s="526">
        <f t="shared" si="198"/>
        <v>0.57575067002664737</v>
      </c>
      <c r="K2040" s="527"/>
      <c r="L2040" s="528"/>
      <c r="M2040" s="528"/>
      <c r="N2040" s="528"/>
      <c r="O2040" s="528">
        <v>0.57575067002664737</v>
      </c>
      <c r="P2040" s="528">
        <v>0.57575067002664737</v>
      </c>
      <c r="Q2040" s="528">
        <v>0.57575067002664737</v>
      </c>
      <c r="R2040" s="528">
        <v>0.57575067002664737</v>
      </c>
      <c r="S2040" s="528">
        <v>0.57575067002664737</v>
      </c>
    </row>
    <row r="2041" spans="4:19" s="293" customFormat="1" x14ac:dyDescent="0.2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25">
      <c r="E2042" s="445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25">
      <c r="F2043" s="91" t="s">
        <v>1063</v>
      </c>
      <c r="G2043" s="91" t="s">
        <v>94</v>
      </c>
      <c r="H2043" s="91"/>
      <c r="I2043" s="112"/>
      <c r="J2043" s="184">
        <f t="shared" ref="J2043:J2047" si="199">CHOOSE(year_selection, L2043,M2043,N2043,O2043,P2043,Q2043,R2043,S2043)</f>
        <v>0</v>
      </c>
      <c r="K2043" s="521"/>
      <c r="L2043" s="522"/>
      <c r="M2043" s="522"/>
      <c r="N2043" s="522"/>
      <c r="O2043" s="522">
        <v>0</v>
      </c>
      <c r="P2043" s="522">
        <v>0</v>
      </c>
      <c r="Q2043" s="522">
        <v>0</v>
      </c>
      <c r="R2043" s="522">
        <v>0</v>
      </c>
      <c r="S2043" s="522">
        <v>0</v>
      </c>
    </row>
    <row r="2044" spans="4:19" s="293" customFormat="1" x14ac:dyDescent="0.25">
      <c r="F2044" s="196" t="s">
        <v>1064</v>
      </c>
      <c r="G2044" s="196" t="s">
        <v>94</v>
      </c>
      <c r="H2044" s="196"/>
      <c r="I2044" s="66"/>
      <c r="J2044" s="185">
        <f t="shared" si="199"/>
        <v>4.7273629478738102E-2</v>
      </c>
      <c r="K2044" s="523"/>
      <c r="L2044" s="524"/>
      <c r="M2044" s="524"/>
      <c r="N2044" s="524"/>
      <c r="O2044" s="524">
        <v>4.7273629478738102E-2</v>
      </c>
      <c r="P2044" s="524">
        <v>4.7273629478738102E-2</v>
      </c>
      <c r="Q2044" s="524">
        <v>4.7273629478738102E-2</v>
      </c>
      <c r="R2044" s="524">
        <v>4.7273629478738102E-2</v>
      </c>
      <c r="S2044" s="524">
        <v>4.7273629478738102E-2</v>
      </c>
    </row>
    <row r="2045" spans="4:19" s="293" customFormat="1" x14ac:dyDescent="0.25">
      <c r="F2045" s="196" t="s">
        <v>1065</v>
      </c>
      <c r="G2045" s="196" t="s">
        <v>94</v>
      </c>
      <c r="H2045" s="196"/>
      <c r="I2045" s="66"/>
      <c r="J2045" s="185">
        <f t="shared" si="199"/>
        <v>0.17423566478358937</v>
      </c>
      <c r="K2045" s="523"/>
      <c r="L2045" s="524"/>
      <c r="M2045" s="524"/>
      <c r="N2045" s="524"/>
      <c r="O2045" s="524">
        <v>0.17423566478358937</v>
      </c>
      <c r="P2045" s="524">
        <v>0.17423566478358937</v>
      </c>
      <c r="Q2045" s="524">
        <v>0.17423566478358937</v>
      </c>
      <c r="R2045" s="524">
        <v>0.17423566478358937</v>
      </c>
      <c r="S2045" s="524">
        <v>0.17423566478358937</v>
      </c>
    </row>
    <row r="2046" spans="4:19" s="293" customFormat="1" x14ac:dyDescent="0.25">
      <c r="F2046" s="196" t="s">
        <v>1066</v>
      </c>
      <c r="G2046" s="196" t="s">
        <v>94</v>
      </c>
      <c r="H2046" s="196"/>
      <c r="I2046" s="66"/>
      <c r="J2046" s="311">
        <f t="shared" si="199"/>
        <v>0.20274003571102514</v>
      </c>
      <c r="K2046" s="523"/>
      <c r="L2046" s="525"/>
      <c r="M2046" s="525"/>
      <c r="N2046" s="525"/>
      <c r="O2046" s="525">
        <v>0.20274003571102514</v>
      </c>
      <c r="P2046" s="525">
        <v>0.20274003571102514</v>
      </c>
      <c r="Q2046" s="525">
        <v>0.20274003571102514</v>
      </c>
      <c r="R2046" s="525">
        <v>0.20274003571102514</v>
      </c>
      <c r="S2046" s="525">
        <v>0.20274003571102514</v>
      </c>
    </row>
    <row r="2047" spans="4:19" s="293" customFormat="1" x14ac:dyDescent="0.25">
      <c r="F2047" s="93" t="s">
        <v>1067</v>
      </c>
      <c r="G2047" s="93" t="s">
        <v>94</v>
      </c>
      <c r="H2047" s="93"/>
      <c r="I2047" s="145"/>
      <c r="J2047" s="526">
        <f t="shared" si="199"/>
        <v>0.57575067002664737</v>
      </c>
      <c r="K2047" s="527"/>
      <c r="L2047" s="528"/>
      <c r="M2047" s="528"/>
      <c r="N2047" s="528"/>
      <c r="O2047" s="528">
        <v>0.57575067002664737</v>
      </c>
      <c r="P2047" s="528">
        <v>0.57575067002664737</v>
      </c>
      <c r="Q2047" s="528">
        <v>0.57575067002664737</v>
      </c>
      <c r="R2047" s="528">
        <v>0.57575067002664737</v>
      </c>
      <c r="S2047" s="528">
        <v>0.57575067002664737</v>
      </c>
    </row>
    <row r="2048" spans="4:19" s="293" customFormat="1" x14ac:dyDescent="0.2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25">
      <c r="C2049" s="7" t="str">
        <f ca="1">INDEX('Version control'!$H$34:$H$60,MATCH($A$1,'Version control'!$F$34:$F$60,0),1)&amp;"-U: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25">
      <c r="I2050" s="111"/>
      <c r="J2050" s="163"/>
      <c r="K2050" s="163"/>
      <c r="L2050" s="163"/>
      <c r="M2050" s="163"/>
      <c r="N2050" s="163"/>
      <c r="O2050" s="163"/>
      <c r="P2050" s="163"/>
      <c r="Q2050" s="163"/>
      <c r="R2050" s="163"/>
      <c r="S2050" s="163"/>
    </row>
    <row r="2051" spans="3:21" s="293" customFormat="1" x14ac:dyDescent="0.25">
      <c r="E2051" s="445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25">
      <c r="F2052" s="91" t="s">
        <v>1063</v>
      </c>
      <c r="G2052" s="91" t="s">
        <v>94</v>
      </c>
      <c r="H2052" s="91"/>
      <c r="I2052" s="112"/>
      <c r="J2052" s="184">
        <f t="shared" ref="J2052:J2056" si="200">CHOOSE(year_selection, L2052,M2052,N2052,O2052,P2052,Q2052,R2052,S2052)</f>
        <v>0</v>
      </c>
      <c r="K2052" s="521"/>
      <c r="L2052" s="522"/>
      <c r="M2052" s="522"/>
      <c r="N2052" s="522"/>
      <c r="O2052" s="522">
        <v>0</v>
      </c>
      <c r="P2052" s="522">
        <v>0</v>
      </c>
      <c r="Q2052" s="522">
        <v>0</v>
      </c>
      <c r="R2052" s="522">
        <v>0</v>
      </c>
      <c r="S2052" s="522">
        <v>0</v>
      </c>
    </row>
    <row r="2053" spans="3:21" s="293" customFormat="1" x14ac:dyDescent="0.25">
      <c r="F2053" s="196" t="s">
        <v>1064</v>
      </c>
      <c r="G2053" s="196" t="s">
        <v>94</v>
      </c>
      <c r="H2053" s="196"/>
      <c r="I2053" s="66"/>
      <c r="J2053" s="185">
        <f t="shared" si="200"/>
        <v>4.7273629478738102E-2</v>
      </c>
      <c r="K2053" s="523"/>
      <c r="L2053" s="524"/>
      <c r="M2053" s="524"/>
      <c r="N2053" s="524"/>
      <c r="O2053" s="524">
        <v>4.7273629478738102E-2</v>
      </c>
      <c r="P2053" s="524">
        <v>4.7273629478738102E-2</v>
      </c>
      <c r="Q2053" s="524">
        <v>4.7273629478738102E-2</v>
      </c>
      <c r="R2053" s="524">
        <v>4.7273629478738102E-2</v>
      </c>
      <c r="S2053" s="524">
        <v>4.7273629478738102E-2</v>
      </c>
    </row>
    <row r="2054" spans="3:21" s="293" customFormat="1" x14ac:dyDescent="0.25">
      <c r="F2054" s="196" t="s">
        <v>1065</v>
      </c>
      <c r="G2054" s="196" t="s">
        <v>94</v>
      </c>
      <c r="H2054" s="196"/>
      <c r="I2054" s="66"/>
      <c r="J2054" s="185">
        <f t="shared" si="200"/>
        <v>0.17423566478358937</v>
      </c>
      <c r="K2054" s="523"/>
      <c r="L2054" s="524"/>
      <c r="M2054" s="524"/>
      <c r="N2054" s="524"/>
      <c r="O2054" s="524">
        <v>0.17423566478358937</v>
      </c>
      <c r="P2054" s="524">
        <v>0.17423566478358937</v>
      </c>
      <c r="Q2054" s="524">
        <v>0.17423566478358937</v>
      </c>
      <c r="R2054" s="524">
        <v>0.17423566478358937</v>
      </c>
      <c r="S2054" s="524">
        <v>0.17423566478358937</v>
      </c>
    </row>
    <row r="2055" spans="3:21" s="293" customFormat="1" x14ac:dyDescent="0.25">
      <c r="F2055" s="196" t="s">
        <v>1066</v>
      </c>
      <c r="G2055" s="196" t="s">
        <v>94</v>
      </c>
      <c r="H2055" s="196"/>
      <c r="I2055" s="66"/>
      <c r="J2055" s="311">
        <f t="shared" si="200"/>
        <v>0.20274003571102514</v>
      </c>
      <c r="K2055" s="523"/>
      <c r="L2055" s="525"/>
      <c r="M2055" s="525"/>
      <c r="N2055" s="525"/>
      <c r="O2055" s="525">
        <v>0.20274003571102514</v>
      </c>
      <c r="P2055" s="525">
        <v>0.20274003571102514</v>
      </c>
      <c r="Q2055" s="525">
        <v>0.20274003571102514</v>
      </c>
      <c r="R2055" s="525">
        <v>0.20274003571102514</v>
      </c>
      <c r="S2055" s="525">
        <v>0.20274003571102514</v>
      </c>
    </row>
    <row r="2056" spans="3:21" s="293" customFormat="1" x14ac:dyDescent="0.25">
      <c r="F2056" s="93" t="s">
        <v>1067</v>
      </c>
      <c r="G2056" s="93" t="s">
        <v>94</v>
      </c>
      <c r="H2056" s="93"/>
      <c r="I2056" s="145"/>
      <c r="J2056" s="526">
        <f t="shared" si="200"/>
        <v>0.57575067002664737</v>
      </c>
      <c r="K2056" s="527"/>
      <c r="L2056" s="528"/>
      <c r="M2056" s="528"/>
      <c r="N2056" s="528"/>
      <c r="O2056" s="528">
        <v>0.57575067002664737</v>
      </c>
      <c r="P2056" s="528">
        <v>0.57575067002664737</v>
      </c>
      <c r="Q2056" s="528">
        <v>0.57575067002664737</v>
      </c>
      <c r="R2056" s="528">
        <v>0.57575067002664737</v>
      </c>
      <c r="S2056" s="528">
        <v>0.57575067002664737</v>
      </c>
    </row>
    <row r="2057" spans="3:21" s="293" customFormat="1" x14ac:dyDescent="0.2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25">
      <c r="E2058" s="445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25">
      <c r="F2059" s="91" t="s">
        <v>1063</v>
      </c>
      <c r="G2059" s="91" t="s">
        <v>94</v>
      </c>
      <c r="H2059" s="91"/>
      <c r="I2059" s="112"/>
      <c r="J2059" s="184">
        <f t="shared" ref="J2059:J2063" si="201">CHOOSE(year_selection, L2059,M2059,N2059,O2059,P2059,Q2059,R2059,S2059)</f>
        <v>0</v>
      </c>
      <c r="K2059" s="521"/>
      <c r="L2059" s="522"/>
      <c r="M2059" s="522"/>
      <c r="N2059" s="522"/>
      <c r="O2059" s="522">
        <v>0</v>
      </c>
      <c r="P2059" s="522">
        <v>0</v>
      </c>
      <c r="Q2059" s="522">
        <v>0</v>
      </c>
      <c r="R2059" s="522">
        <v>0</v>
      </c>
      <c r="S2059" s="522">
        <v>0</v>
      </c>
    </row>
    <row r="2060" spans="3:21" s="293" customFormat="1" x14ac:dyDescent="0.25">
      <c r="F2060" s="196" t="s">
        <v>1064</v>
      </c>
      <c r="G2060" s="196" t="s">
        <v>94</v>
      </c>
      <c r="H2060" s="196"/>
      <c r="I2060" s="66"/>
      <c r="J2060" s="185">
        <f t="shared" si="201"/>
        <v>4.7273629478738102E-2</v>
      </c>
      <c r="K2060" s="523"/>
      <c r="L2060" s="524"/>
      <c r="M2060" s="524"/>
      <c r="N2060" s="524"/>
      <c r="O2060" s="524">
        <v>4.7273629478738102E-2</v>
      </c>
      <c r="P2060" s="524">
        <v>4.7273629478738102E-2</v>
      </c>
      <c r="Q2060" s="524">
        <v>4.7273629478738102E-2</v>
      </c>
      <c r="R2060" s="524">
        <v>4.7273629478738102E-2</v>
      </c>
      <c r="S2060" s="524">
        <v>4.7273629478738102E-2</v>
      </c>
    </row>
    <row r="2061" spans="3:21" s="293" customFormat="1" x14ac:dyDescent="0.25">
      <c r="F2061" s="196" t="s">
        <v>1065</v>
      </c>
      <c r="G2061" s="196" t="s">
        <v>94</v>
      </c>
      <c r="H2061" s="196"/>
      <c r="I2061" s="66"/>
      <c r="J2061" s="185">
        <f t="shared" si="201"/>
        <v>0.17423566478358937</v>
      </c>
      <c r="K2061" s="523"/>
      <c r="L2061" s="524"/>
      <c r="M2061" s="524"/>
      <c r="N2061" s="524"/>
      <c r="O2061" s="524">
        <v>0.17423566478358937</v>
      </c>
      <c r="P2061" s="524">
        <v>0.17423566478358937</v>
      </c>
      <c r="Q2061" s="524">
        <v>0.17423566478358937</v>
      </c>
      <c r="R2061" s="524">
        <v>0.17423566478358937</v>
      </c>
      <c r="S2061" s="524">
        <v>0.17423566478358937</v>
      </c>
    </row>
    <row r="2062" spans="3:21" s="293" customFormat="1" x14ac:dyDescent="0.25">
      <c r="F2062" s="196" t="s">
        <v>1066</v>
      </c>
      <c r="G2062" s="196" t="s">
        <v>94</v>
      </c>
      <c r="H2062" s="196"/>
      <c r="I2062" s="66"/>
      <c r="J2062" s="311">
        <f t="shared" si="201"/>
        <v>0.20274003571102514</v>
      </c>
      <c r="K2062" s="523"/>
      <c r="L2062" s="525"/>
      <c r="M2062" s="525"/>
      <c r="N2062" s="525"/>
      <c r="O2062" s="525">
        <v>0.20274003571102514</v>
      </c>
      <c r="P2062" s="525">
        <v>0.20274003571102514</v>
      </c>
      <c r="Q2062" s="525">
        <v>0.20274003571102514</v>
      </c>
      <c r="R2062" s="525">
        <v>0.20274003571102514</v>
      </c>
      <c r="S2062" s="525">
        <v>0.20274003571102514</v>
      </c>
    </row>
    <row r="2063" spans="3:21" s="293" customFormat="1" x14ac:dyDescent="0.25">
      <c r="F2063" s="93" t="s">
        <v>1067</v>
      </c>
      <c r="G2063" s="93" t="s">
        <v>94</v>
      </c>
      <c r="H2063" s="93"/>
      <c r="I2063" s="145"/>
      <c r="J2063" s="526">
        <f t="shared" si="201"/>
        <v>0.57575067002664737</v>
      </c>
      <c r="K2063" s="527"/>
      <c r="L2063" s="528"/>
      <c r="M2063" s="528"/>
      <c r="N2063" s="528"/>
      <c r="O2063" s="528">
        <v>0.57575067002664737</v>
      </c>
      <c r="P2063" s="528">
        <v>0.57575067002664737</v>
      </c>
      <c r="Q2063" s="528">
        <v>0.57575067002664737</v>
      </c>
      <c r="R2063" s="528">
        <v>0.57575067002664737</v>
      </c>
      <c r="S2063" s="528">
        <v>0.57575067002664737</v>
      </c>
    </row>
    <row r="2064" spans="3:21" s="293" customFormat="1" x14ac:dyDescent="0.2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25">
      <c r="E2065" s="445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25">
      <c r="F2066" s="91" t="s">
        <v>1063</v>
      </c>
      <c r="G2066" s="91" t="s">
        <v>94</v>
      </c>
      <c r="H2066" s="91"/>
      <c r="I2066" s="112"/>
      <c r="J2066" s="184">
        <f t="shared" ref="J2066:J2070" si="202">CHOOSE(year_selection, L2066,M2066,N2066,O2066,P2066,Q2066,R2066,S2066)</f>
        <v>0</v>
      </c>
      <c r="K2066" s="521"/>
      <c r="L2066" s="522"/>
      <c r="M2066" s="522"/>
      <c r="N2066" s="522"/>
      <c r="O2066" s="522">
        <v>0</v>
      </c>
      <c r="P2066" s="522">
        <v>0</v>
      </c>
      <c r="Q2066" s="522">
        <v>0</v>
      </c>
      <c r="R2066" s="522">
        <v>0</v>
      </c>
      <c r="S2066" s="522">
        <v>0</v>
      </c>
    </row>
    <row r="2067" spans="2:49" s="293" customFormat="1" x14ac:dyDescent="0.25">
      <c r="F2067" s="196" t="s">
        <v>1064</v>
      </c>
      <c r="G2067" s="196" t="s">
        <v>94</v>
      </c>
      <c r="H2067" s="196"/>
      <c r="I2067" s="66"/>
      <c r="J2067" s="185">
        <f t="shared" si="202"/>
        <v>4.7273629478738102E-2</v>
      </c>
      <c r="K2067" s="523"/>
      <c r="L2067" s="524"/>
      <c r="M2067" s="524"/>
      <c r="N2067" s="524"/>
      <c r="O2067" s="524">
        <v>4.7273629478738102E-2</v>
      </c>
      <c r="P2067" s="524">
        <v>4.7273629478738102E-2</v>
      </c>
      <c r="Q2067" s="524">
        <v>4.7273629478738102E-2</v>
      </c>
      <c r="R2067" s="524">
        <v>4.7273629478738102E-2</v>
      </c>
      <c r="S2067" s="524">
        <v>4.7273629478738102E-2</v>
      </c>
    </row>
    <row r="2068" spans="2:49" s="293" customFormat="1" x14ac:dyDescent="0.25">
      <c r="F2068" s="196" t="s">
        <v>1065</v>
      </c>
      <c r="G2068" s="196" t="s">
        <v>94</v>
      </c>
      <c r="H2068" s="196"/>
      <c r="I2068" s="66"/>
      <c r="J2068" s="185">
        <f t="shared" si="202"/>
        <v>0.17423566478358937</v>
      </c>
      <c r="K2068" s="523"/>
      <c r="L2068" s="524"/>
      <c r="M2068" s="524"/>
      <c r="N2068" s="524"/>
      <c r="O2068" s="524">
        <v>0.17423566478358937</v>
      </c>
      <c r="P2068" s="524">
        <v>0.17423566478358937</v>
      </c>
      <c r="Q2068" s="524">
        <v>0.17423566478358937</v>
      </c>
      <c r="R2068" s="524">
        <v>0.17423566478358937</v>
      </c>
      <c r="S2068" s="524">
        <v>0.17423566478358937</v>
      </c>
    </row>
    <row r="2069" spans="2:49" s="293" customFormat="1" x14ac:dyDescent="0.25">
      <c r="F2069" s="196" t="s">
        <v>1066</v>
      </c>
      <c r="G2069" s="196" t="s">
        <v>94</v>
      </c>
      <c r="H2069" s="196"/>
      <c r="I2069" s="66"/>
      <c r="J2069" s="311">
        <f t="shared" si="202"/>
        <v>0.20274003571102514</v>
      </c>
      <c r="K2069" s="523"/>
      <c r="L2069" s="525"/>
      <c r="M2069" s="525"/>
      <c r="N2069" s="525"/>
      <c r="O2069" s="525">
        <v>0.20274003571102514</v>
      </c>
      <c r="P2069" s="525">
        <v>0.20274003571102514</v>
      </c>
      <c r="Q2069" s="525">
        <v>0.20274003571102514</v>
      </c>
      <c r="R2069" s="525">
        <v>0.20274003571102514</v>
      </c>
      <c r="S2069" s="525">
        <v>0.20274003571102514</v>
      </c>
    </row>
    <row r="2070" spans="2:49" s="293" customFormat="1" x14ac:dyDescent="0.25">
      <c r="F2070" s="93" t="s">
        <v>1067</v>
      </c>
      <c r="G2070" s="93" t="s">
        <v>94</v>
      </c>
      <c r="H2070" s="93"/>
      <c r="I2070" s="145"/>
      <c r="J2070" s="526">
        <f t="shared" si="202"/>
        <v>0.57575067002664737</v>
      </c>
      <c r="K2070" s="527"/>
      <c r="L2070" s="528"/>
      <c r="M2070" s="528"/>
      <c r="N2070" s="528"/>
      <c r="O2070" s="528">
        <v>0.57575067002664737</v>
      </c>
      <c r="P2070" s="528">
        <v>0.57575067002664737</v>
      </c>
      <c r="Q2070" s="528">
        <v>0.57575067002664737</v>
      </c>
      <c r="R2070" s="528">
        <v>0.57575067002664737</v>
      </c>
      <c r="S2070" s="528">
        <v>0.57575067002664737</v>
      </c>
    </row>
    <row r="2071" spans="2:49" s="293" customFormat="1" x14ac:dyDescent="0.2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2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2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25">
      <c r="C2074" s="82" t="s">
        <v>637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817</v>
      </c>
    </row>
    <row r="2075" spans="2:49" s="195" customFormat="1" x14ac:dyDescent="0.2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25">
      <c r="C2076" s="7" t="str">
        <f ca="1">INDEX('Version control'!$H$34:$H$60,MATCH($A$1,'Version control'!$F$34:$F$60,0),1)&amp;"-V: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25">
      <c r="I2077" s="111"/>
      <c r="J2077" s="163"/>
      <c r="K2077" s="163"/>
      <c r="L2077" s="163"/>
      <c r="M2077" s="163"/>
      <c r="N2077" s="163"/>
      <c r="O2077" s="163"/>
      <c r="P2077" s="163"/>
      <c r="Q2077" s="163"/>
      <c r="R2077" s="163"/>
      <c r="S2077" s="163"/>
    </row>
    <row r="2078" spans="2:49" s="195" customFormat="1" x14ac:dyDescent="0.25">
      <c r="E2078" s="96" t="s">
        <v>638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25">
      <c r="F2079" s="91" t="s">
        <v>928</v>
      </c>
      <c r="G2079" s="91" t="s">
        <v>510</v>
      </c>
      <c r="H2079" s="91"/>
      <c r="I2079" s="112"/>
      <c r="J2079" s="231">
        <f t="shared" ref="J2079:J2091" si="203">CHOOSE(year_selection, L2079,M2079,N2079,O2079,P2079,Q2079,R2079,S2079)</f>
        <v>377.70000000000005</v>
      </c>
      <c r="K2079" s="232"/>
      <c r="L2079" s="331"/>
      <c r="M2079" s="331"/>
      <c r="N2079" s="331">
        <v>377.70000000000005</v>
      </c>
      <c r="O2079" s="331">
        <v>377.70000000000005</v>
      </c>
      <c r="P2079" s="331">
        <v>377.70000000000005</v>
      </c>
      <c r="Q2079" s="331">
        <v>377.70000000000005</v>
      </c>
      <c r="R2079" s="331">
        <v>377.70000000000005</v>
      </c>
      <c r="S2079" s="331">
        <v>377.70000000000005</v>
      </c>
    </row>
    <row r="2080" spans="2:49" s="195" customFormat="1" x14ac:dyDescent="0.25">
      <c r="F2080" s="196" t="s">
        <v>929</v>
      </c>
      <c r="G2080" s="196" t="s">
        <v>510</v>
      </c>
      <c r="H2080" s="196"/>
      <c r="I2080" s="66"/>
      <c r="J2080" s="344"/>
      <c r="K2080" s="234"/>
      <c r="L2080" s="344"/>
      <c r="M2080" s="344"/>
      <c r="N2080" s="344"/>
      <c r="O2080" s="344"/>
      <c r="P2080" s="344"/>
      <c r="Q2080" s="344"/>
      <c r="R2080" s="344"/>
      <c r="S2080" s="344"/>
    </row>
    <row r="2081" spans="3:21" s="195" customFormat="1" x14ac:dyDescent="0.25">
      <c r="F2081" s="196" t="s">
        <v>930</v>
      </c>
      <c r="G2081" s="196" t="s">
        <v>510</v>
      </c>
      <c r="H2081" s="196"/>
      <c r="I2081" s="66"/>
      <c r="J2081" s="233">
        <f t="shared" ref="J2081" si="204">CHOOSE(year_selection, L2081,M2081,N2081,O2081,P2081,Q2081,R2081,S2081)</f>
        <v>508.75</v>
      </c>
      <c r="K2081" s="234"/>
      <c r="L2081" s="332"/>
      <c r="M2081" s="332"/>
      <c r="N2081" s="332">
        <v>508.75</v>
      </c>
      <c r="O2081" s="332">
        <v>508.75</v>
      </c>
      <c r="P2081" s="332">
        <v>508.75</v>
      </c>
      <c r="Q2081" s="332">
        <v>508.75</v>
      </c>
      <c r="R2081" s="332">
        <v>508.75</v>
      </c>
      <c r="S2081" s="332">
        <v>508.75</v>
      </c>
    </row>
    <row r="2082" spans="3:21" s="195" customFormat="1" x14ac:dyDescent="0.25">
      <c r="F2082" s="196" t="s">
        <v>931</v>
      </c>
      <c r="G2082" s="196" t="s">
        <v>510</v>
      </c>
      <c r="H2082" s="196"/>
      <c r="I2082" s="66"/>
      <c r="J2082" s="344"/>
      <c r="K2082" s="234"/>
      <c r="L2082" s="344"/>
      <c r="M2082" s="344"/>
      <c r="N2082" s="344"/>
      <c r="O2082" s="344"/>
      <c r="P2082" s="344"/>
      <c r="Q2082" s="344"/>
      <c r="R2082" s="344"/>
      <c r="S2082" s="344"/>
    </row>
    <row r="2083" spans="3:21" s="195" customFormat="1" x14ac:dyDescent="0.25">
      <c r="F2083" s="196" t="s">
        <v>932</v>
      </c>
      <c r="G2083" s="196" t="s">
        <v>510</v>
      </c>
      <c r="H2083" s="196"/>
      <c r="I2083" s="66"/>
      <c r="J2083" s="233">
        <f t="shared" ref="J2083:J2084" si="205">CHOOSE(year_selection, L2083,M2083,N2083,O2083,P2083,Q2083,R2083,S2083)</f>
        <v>2380</v>
      </c>
      <c r="K2083" s="234"/>
      <c r="L2083" s="332"/>
      <c r="M2083" s="332"/>
      <c r="N2083" s="332">
        <v>2380</v>
      </c>
      <c r="O2083" s="332">
        <v>2380</v>
      </c>
      <c r="P2083" s="332">
        <v>2380</v>
      </c>
      <c r="Q2083" s="332">
        <v>2380</v>
      </c>
      <c r="R2083" s="332">
        <v>2380</v>
      </c>
      <c r="S2083" s="332">
        <v>2380</v>
      </c>
    </row>
    <row r="2084" spans="3:21" s="195" customFormat="1" x14ac:dyDescent="0.25">
      <c r="F2084" s="196" t="s">
        <v>933</v>
      </c>
      <c r="G2084" s="196" t="s">
        <v>510</v>
      </c>
      <c r="H2084" s="196"/>
      <c r="I2084" s="66"/>
      <c r="J2084" s="233">
        <f t="shared" si="205"/>
        <v>840</v>
      </c>
      <c r="K2084" s="234"/>
      <c r="L2084" s="332"/>
      <c r="M2084" s="332"/>
      <c r="N2084" s="332">
        <v>840</v>
      </c>
      <c r="O2084" s="332">
        <v>840</v>
      </c>
      <c r="P2084" s="332">
        <v>840</v>
      </c>
      <c r="Q2084" s="332">
        <v>840</v>
      </c>
      <c r="R2084" s="332">
        <v>840</v>
      </c>
      <c r="S2084" s="332">
        <v>840</v>
      </c>
    </row>
    <row r="2085" spans="3:21" s="195" customFormat="1" x14ac:dyDescent="0.25">
      <c r="F2085" s="196" t="s">
        <v>934</v>
      </c>
      <c r="G2085" s="196" t="s">
        <v>510</v>
      </c>
      <c r="H2085" s="196"/>
      <c r="I2085" s="66"/>
      <c r="J2085" s="344"/>
      <c r="K2085" s="234"/>
      <c r="L2085" s="344"/>
      <c r="M2085" s="344"/>
      <c r="N2085" s="344"/>
      <c r="O2085" s="344"/>
      <c r="P2085" s="344"/>
      <c r="Q2085" s="344"/>
      <c r="R2085" s="344"/>
      <c r="S2085" s="344"/>
    </row>
    <row r="2086" spans="3:21" s="195" customFormat="1" x14ac:dyDescent="0.25">
      <c r="F2086" s="196" t="s">
        <v>935</v>
      </c>
      <c r="G2086" s="196" t="s">
        <v>510</v>
      </c>
      <c r="H2086" s="196"/>
      <c r="I2086" s="66"/>
      <c r="J2086" s="344"/>
      <c r="K2086" s="234"/>
      <c r="L2086" s="344"/>
      <c r="M2086" s="344"/>
      <c r="N2086" s="344"/>
      <c r="O2086" s="344"/>
      <c r="P2086" s="344"/>
      <c r="Q2086" s="344"/>
      <c r="R2086" s="344"/>
      <c r="S2086" s="344"/>
    </row>
    <row r="2087" spans="3:21" s="195" customFormat="1" x14ac:dyDescent="0.25">
      <c r="F2087" s="196" t="s">
        <v>936</v>
      </c>
      <c r="G2087" s="196" t="s">
        <v>510</v>
      </c>
      <c r="H2087" s="196"/>
      <c r="I2087" s="66"/>
      <c r="J2087" s="233">
        <f t="shared" ref="J2087" si="206">CHOOSE(year_selection, L2087,M2087,N2087,O2087,P2087,Q2087,R2087,S2087)</f>
        <v>0</v>
      </c>
      <c r="K2087" s="234"/>
      <c r="L2087" s="332"/>
      <c r="M2087" s="332"/>
      <c r="N2087" s="332">
        <v>0</v>
      </c>
      <c r="O2087" s="332">
        <v>0</v>
      </c>
      <c r="P2087" s="332">
        <v>0</v>
      </c>
      <c r="Q2087" s="332">
        <v>0</v>
      </c>
      <c r="R2087" s="332">
        <v>0</v>
      </c>
      <c r="S2087" s="332">
        <v>0</v>
      </c>
    </row>
    <row r="2088" spans="3:21" s="195" customFormat="1" x14ac:dyDescent="0.25">
      <c r="F2088" s="196" t="s">
        <v>937</v>
      </c>
      <c r="G2088" s="196" t="s">
        <v>510</v>
      </c>
      <c r="H2088" s="196"/>
      <c r="I2088" s="66"/>
      <c r="J2088" s="233">
        <f t="shared" si="203"/>
        <v>0</v>
      </c>
      <c r="K2088" s="234"/>
      <c r="L2088" s="332"/>
      <c r="M2088" s="332"/>
      <c r="N2088" s="332">
        <v>0</v>
      </c>
      <c r="O2088" s="332">
        <v>0</v>
      </c>
      <c r="P2088" s="332">
        <v>0</v>
      </c>
      <c r="Q2088" s="332">
        <v>0</v>
      </c>
      <c r="R2088" s="332">
        <v>0</v>
      </c>
      <c r="S2088" s="332">
        <v>0</v>
      </c>
    </row>
    <row r="2089" spans="3:21" s="195" customFormat="1" x14ac:dyDescent="0.25">
      <c r="F2089" s="196" t="s">
        <v>938</v>
      </c>
      <c r="G2089" s="196" t="s">
        <v>510</v>
      </c>
      <c r="H2089" s="196"/>
      <c r="I2089" s="66"/>
      <c r="J2089" s="233">
        <f t="shared" si="203"/>
        <v>0</v>
      </c>
      <c r="K2089" s="234"/>
      <c r="L2089" s="332"/>
      <c r="M2089" s="332"/>
      <c r="N2089" s="332">
        <v>0</v>
      </c>
      <c r="O2089" s="332">
        <v>0</v>
      </c>
      <c r="P2089" s="332">
        <v>0</v>
      </c>
      <c r="Q2089" s="332">
        <v>0</v>
      </c>
      <c r="R2089" s="332">
        <v>0</v>
      </c>
      <c r="S2089" s="332">
        <v>0</v>
      </c>
    </row>
    <row r="2090" spans="3:21" s="195" customFormat="1" x14ac:dyDescent="0.25">
      <c r="F2090" s="196" t="s">
        <v>939</v>
      </c>
      <c r="G2090" s="196" t="s">
        <v>510</v>
      </c>
      <c r="H2090" s="196"/>
      <c r="I2090" s="66"/>
      <c r="J2090" s="233">
        <f t="shared" si="203"/>
        <v>0</v>
      </c>
      <c r="K2090" s="234"/>
      <c r="L2090" s="332"/>
      <c r="M2090" s="332"/>
      <c r="N2090" s="332">
        <v>0</v>
      </c>
      <c r="O2090" s="332">
        <v>0</v>
      </c>
      <c r="P2090" s="332">
        <v>0</v>
      </c>
      <c r="Q2090" s="332">
        <v>0</v>
      </c>
      <c r="R2090" s="332">
        <v>0</v>
      </c>
      <c r="S2090" s="332">
        <v>0</v>
      </c>
    </row>
    <row r="2091" spans="3:21" s="195" customFormat="1" x14ac:dyDescent="0.25">
      <c r="F2091" s="196" t="s">
        <v>940</v>
      </c>
      <c r="G2091" s="196" t="s">
        <v>510</v>
      </c>
      <c r="H2091" s="196"/>
      <c r="I2091" s="66"/>
      <c r="J2091" s="233">
        <f t="shared" si="203"/>
        <v>0</v>
      </c>
      <c r="K2091" s="234"/>
      <c r="L2091" s="332"/>
      <c r="M2091" s="332"/>
      <c r="N2091" s="332">
        <v>0</v>
      </c>
      <c r="O2091" s="332">
        <v>0</v>
      </c>
      <c r="P2091" s="332">
        <v>0</v>
      </c>
      <c r="Q2091" s="332">
        <v>0</v>
      </c>
      <c r="R2091" s="332">
        <v>0</v>
      </c>
      <c r="S2091" s="332">
        <v>0</v>
      </c>
    </row>
    <row r="2092" spans="3:21" s="195" customFormat="1" x14ac:dyDescent="0.25">
      <c r="F2092" s="196" t="s">
        <v>941</v>
      </c>
      <c r="G2092" s="196" t="s">
        <v>510</v>
      </c>
      <c r="H2092" s="196"/>
      <c r="I2092" s="66"/>
      <c r="J2092" s="233">
        <f t="shared" ref="J2092" si="207">CHOOSE(year_selection, L2092,M2092,N2092,O2092,P2092,Q2092,R2092,S2092)</f>
        <v>0</v>
      </c>
      <c r="K2092" s="234"/>
      <c r="L2092" s="332"/>
      <c r="M2092" s="332"/>
      <c r="N2092" s="332">
        <v>0</v>
      </c>
      <c r="O2092" s="332">
        <v>0</v>
      </c>
      <c r="P2092" s="332">
        <v>0</v>
      </c>
      <c r="Q2092" s="332">
        <v>0</v>
      </c>
      <c r="R2092" s="332">
        <v>0</v>
      </c>
      <c r="S2092" s="332">
        <v>0</v>
      </c>
      <c r="T2092" s="293"/>
    </row>
    <row r="2093" spans="3:21" s="195" customFormat="1" x14ac:dyDescent="0.25">
      <c r="F2093" s="196" t="s">
        <v>942</v>
      </c>
      <c r="G2093" s="196" t="s">
        <v>510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25">
      <c r="F2094" s="93" t="s">
        <v>943</v>
      </c>
      <c r="G2094" s="93" t="s">
        <v>510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2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25">
      <c r="C2096" s="7" t="str">
        <f ca="1">INDEX('Version control'!$H$34:$H$60,MATCH($A$1,'Version control'!$F$34:$F$60,0),1)&amp;"-W: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25">
      <c r="I2097" s="111"/>
      <c r="J2097" s="243"/>
      <c r="K2097" s="243"/>
      <c r="L2097" s="243"/>
      <c r="M2097" s="243"/>
      <c r="N2097" s="243"/>
      <c r="O2097" s="243"/>
      <c r="P2097" s="243"/>
      <c r="Q2097" s="243"/>
      <c r="R2097" s="243"/>
      <c r="S2097" s="243"/>
    </row>
    <row r="2098" spans="5:20" s="195" customFormat="1" x14ac:dyDescent="0.25">
      <c r="E2098" s="96" t="s">
        <v>639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25">
      <c r="F2099" s="91" t="s">
        <v>928</v>
      </c>
      <c r="G2099" s="91" t="s">
        <v>510</v>
      </c>
      <c r="H2099" s="91"/>
      <c r="I2099" s="112"/>
      <c r="J2099" s="345"/>
      <c r="K2099" s="232"/>
      <c r="L2099" s="345"/>
      <c r="M2099" s="345"/>
      <c r="N2099" s="345"/>
      <c r="O2099" s="345"/>
      <c r="P2099" s="345"/>
      <c r="Q2099" s="345"/>
      <c r="R2099" s="345"/>
      <c r="S2099" s="345"/>
    </row>
    <row r="2100" spans="5:20" s="195" customFormat="1" x14ac:dyDescent="0.25">
      <c r="F2100" s="196" t="s">
        <v>929</v>
      </c>
      <c r="G2100" s="196" t="s">
        <v>510</v>
      </c>
      <c r="H2100" s="196"/>
      <c r="I2100" s="66"/>
      <c r="J2100" s="344"/>
      <c r="K2100" s="234"/>
      <c r="L2100" s="344"/>
      <c r="M2100" s="344"/>
      <c r="N2100" s="344"/>
      <c r="O2100" s="344"/>
      <c r="P2100" s="344"/>
      <c r="Q2100" s="344"/>
      <c r="R2100" s="344"/>
      <c r="S2100" s="344"/>
    </row>
    <row r="2101" spans="5:20" s="195" customFormat="1" x14ac:dyDescent="0.25">
      <c r="F2101" s="196" t="s">
        <v>930</v>
      </c>
      <c r="G2101" s="196" t="s">
        <v>510</v>
      </c>
      <c r="H2101" s="196"/>
      <c r="I2101" s="66"/>
      <c r="J2101" s="344"/>
      <c r="K2101" s="234"/>
      <c r="L2101" s="344"/>
      <c r="M2101" s="344"/>
      <c r="N2101" s="344"/>
      <c r="O2101" s="344"/>
      <c r="P2101" s="344"/>
      <c r="Q2101" s="344"/>
      <c r="R2101" s="344"/>
      <c r="S2101" s="344"/>
    </row>
    <row r="2102" spans="5:20" s="195" customFormat="1" x14ac:dyDescent="0.25">
      <c r="F2102" s="196" t="s">
        <v>931</v>
      </c>
      <c r="G2102" s="196" t="s">
        <v>510</v>
      </c>
      <c r="H2102" s="196"/>
      <c r="I2102" s="66"/>
      <c r="J2102" s="344"/>
      <c r="K2102" s="234"/>
      <c r="L2102" s="344"/>
      <c r="M2102" s="344"/>
      <c r="N2102" s="344"/>
      <c r="O2102" s="344"/>
      <c r="P2102" s="344"/>
      <c r="Q2102" s="344"/>
      <c r="R2102" s="344"/>
      <c r="S2102" s="344"/>
    </row>
    <row r="2103" spans="5:20" s="195" customFormat="1" x14ac:dyDescent="0.25">
      <c r="F2103" s="196" t="s">
        <v>932</v>
      </c>
      <c r="G2103" s="196" t="s">
        <v>510</v>
      </c>
      <c r="H2103" s="196"/>
      <c r="I2103" s="66"/>
      <c r="J2103" s="344"/>
      <c r="K2103" s="234"/>
      <c r="L2103" s="344"/>
      <c r="M2103" s="344"/>
      <c r="N2103" s="344"/>
      <c r="O2103" s="344"/>
      <c r="P2103" s="344"/>
      <c r="Q2103" s="344"/>
      <c r="R2103" s="344"/>
      <c r="S2103" s="344"/>
    </row>
    <row r="2104" spans="5:20" s="195" customFormat="1" x14ac:dyDescent="0.25">
      <c r="F2104" s="196" t="s">
        <v>933</v>
      </c>
      <c r="G2104" s="196" t="s">
        <v>510</v>
      </c>
      <c r="H2104" s="196"/>
      <c r="I2104" s="66"/>
      <c r="J2104" s="344"/>
      <c r="K2104" s="234"/>
      <c r="L2104" s="344"/>
      <c r="M2104" s="344"/>
      <c r="N2104" s="344"/>
      <c r="O2104" s="344"/>
      <c r="P2104" s="344"/>
      <c r="Q2104" s="344"/>
      <c r="R2104" s="344"/>
      <c r="S2104" s="344"/>
    </row>
    <row r="2105" spans="5:20" s="195" customFormat="1" x14ac:dyDescent="0.25">
      <c r="F2105" s="196" t="s">
        <v>934</v>
      </c>
      <c r="G2105" s="196" t="s">
        <v>510</v>
      </c>
      <c r="H2105" s="196"/>
      <c r="I2105" s="66"/>
      <c r="J2105" s="233">
        <f t="shared" ref="J2105" si="208">CHOOSE(year_selection, L2105,M2105,N2105,O2105,P2105,Q2105,R2105,S2105)</f>
        <v>12718.10554</v>
      </c>
      <c r="K2105" s="234"/>
      <c r="L2105" s="332"/>
      <c r="M2105" s="332"/>
      <c r="N2105" s="332">
        <v>12718.10554</v>
      </c>
      <c r="O2105" s="332">
        <v>12718.10554</v>
      </c>
      <c r="P2105" s="332">
        <v>12718.10554</v>
      </c>
      <c r="Q2105" s="332">
        <v>12718.10554</v>
      </c>
      <c r="R2105" s="332">
        <v>12718.10554</v>
      </c>
      <c r="S2105" s="332">
        <v>12718.10554</v>
      </c>
    </row>
    <row r="2106" spans="5:20" s="195" customFormat="1" x14ac:dyDescent="0.25">
      <c r="F2106" s="196" t="s">
        <v>935</v>
      </c>
      <c r="G2106" s="196" t="s">
        <v>510</v>
      </c>
      <c r="H2106" s="196"/>
      <c r="I2106" s="66"/>
      <c r="J2106" s="344"/>
      <c r="K2106" s="234"/>
      <c r="L2106" s="344"/>
      <c r="M2106" s="344"/>
      <c r="N2106" s="344"/>
      <c r="O2106" s="344"/>
      <c r="P2106" s="344"/>
      <c r="Q2106" s="344"/>
      <c r="R2106" s="344"/>
      <c r="S2106" s="344"/>
    </row>
    <row r="2107" spans="5:20" s="195" customFormat="1" x14ac:dyDescent="0.25">
      <c r="F2107" s="196" t="s">
        <v>936</v>
      </c>
      <c r="G2107" s="196" t="s">
        <v>510</v>
      </c>
      <c r="H2107" s="196"/>
      <c r="I2107" s="66"/>
      <c r="J2107" s="344"/>
      <c r="K2107" s="234"/>
      <c r="L2107" s="344"/>
      <c r="M2107" s="344"/>
      <c r="N2107" s="344"/>
      <c r="O2107" s="344"/>
      <c r="P2107" s="344"/>
      <c r="Q2107" s="344"/>
      <c r="R2107" s="344"/>
      <c r="S2107" s="344"/>
    </row>
    <row r="2108" spans="5:20" s="195" customFormat="1" x14ac:dyDescent="0.25">
      <c r="F2108" s="196" t="s">
        <v>937</v>
      </c>
      <c r="G2108" s="196" t="s">
        <v>510</v>
      </c>
      <c r="H2108" s="196"/>
      <c r="I2108" s="66"/>
      <c r="J2108" s="344"/>
      <c r="K2108" s="234"/>
      <c r="L2108" s="344"/>
      <c r="M2108" s="344"/>
      <c r="N2108" s="344"/>
      <c r="O2108" s="344"/>
      <c r="P2108" s="344"/>
      <c r="Q2108" s="344"/>
      <c r="R2108" s="344"/>
      <c r="S2108" s="344"/>
    </row>
    <row r="2109" spans="5:20" s="195" customFormat="1" x14ac:dyDescent="0.25">
      <c r="F2109" s="196" t="s">
        <v>938</v>
      </c>
      <c r="G2109" s="196" t="s">
        <v>510</v>
      </c>
      <c r="H2109" s="196"/>
      <c r="I2109" s="66"/>
      <c r="J2109" s="344"/>
      <c r="K2109" s="234"/>
      <c r="L2109" s="344"/>
      <c r="M2109" s="344"/>
      <c r="N2109" s="344"/>
      <c r="O2109" s="344"/>
      <c r="P2109" s="344"/>
      <c r="Q2109" s="344"/>
      <c r="R2109" s="344"/>
      <c r="S2109" s="344"/>
    </row>
    <row r="2110" spans="5:20" s="195" customFormat="1" x14ac:dyDescent="0.25">
      <c r="F2110" s="196" t="s">
        <v>939</v>
      </c>
      <c r="G2110" s="196" t="s">
        <v>510</v>
      </c>
      <c r="H2110" s="196"/>
      <c r="I2110" s="66"/>
      <c r="J2110" s="344"/>
      <c r="K2110" s="234"/>
      <c r="L2110" s="344"/>
      <c r="M2110" s="344"/>
      <c r="N2110" s="344"/>
      <c r="O2110" s="344"/>
      <c r="P2110" s="344"/>
      <c r="Q2110" s="344"/>
      <c r="R2110" s="344"/>
      <c r="S2110" s="344"/>
    </row>
    <row r="2111" spans="5:20" s="195" customFormat="1" x14ac:dyDescent="0.25">
      <c r="F2111" s="196" t="s">
        <v>940</v>
      </c>
      <c r="G2111" s="196" t="s">
        <v>510</v>
      </c>
      <c r="H2111" s="196"/>
      <c r="I2111" s="66"/>
      <c r="J2111" s="344"/>
      <c r="K2111" s="234"/>
      <c r="L2111" s="344"/>
      <c r="M2111" s="344"/>
      <c r="N2111" s="344"/>
      <c r="O2111" s="344"/>
      <c r="P2111" s="344"/>
      <c r="Q2111" s="344"/>
      <c r="R2111" s="344"/>
      <c r="S2111" s="344"/>
    </row>
    <row r="2112" spans="5:20" s="195" customFormat="1" x14ac:dyDescent="0.25">
      <c r="F2112" s="196" t="s">
        <v>941</v>
      </c>
      <c r="G2112" s="196" t="s">
        <v>510</v>
      </c>
      <c r="H2112" s="196"/>
      <c r="I2112" s="66"/>
      <c r="J2112" s="344"/>
      <c r="K2112" s="234"/>
      <c r="L2112" s="344"/>
      <c r="M2112" s="344"/>
      <c r="N2112" s="344"/>
      <c r="O2112" s="344"/>
      <c r="P2112" s="344"/>
      <c r="Q2112" s="344"/>
      <c r="R2112" s="344"/>
      <c r="S2112" s="344"/>
      <c r="T2112" s="293"/>
    </row>
    <row r="2113" spans="3:21" s="195" customFormat="1" x14ac:dyDescent="0.25">
      <c r="F2113" s="196" t="s">
        <v>942</v>
      </c>
      <c r="G2113" s="196" t="s">
        <v>510</v>
      </c>
      <c r="H2113" s="196"/>
      <c r="I2113" s="66"/>
      <c r="J2113" s="233">
        <f t="shared" ref="J2113" si="209">CHOOSE(year_selection, L2113,M2113,N2113,O2113,P2113,Q2113,R2113,S2113)</f>
        <v>9287</v>
      </c>
      <c r="K2113" s="234"/>
      <c r="L2113" s="332"/>
      <c r="M2113" s="332"/>
      <c r="N2113" s="332">
        <v>9287</v>
      </c>
      <c r="O2113" s="332">
        <v>9287</v>
      </c>
      <c r="P2113" s="332">
        <v>9287</v>
      </c>
      <c r="Q2113" s="332">
        <v>9287</v>
      </c>
      <c r="R2113" s="332">
        <v>9287</v>
      </c>
      <c r="S2113" s="332">
        <v>9287</v>
      </c>
      <c r="T2113" s="293"/>
    </row>
    <row r="2114" spans="3:21" s="195" customFormat="1" x14ac:dyDescent="0.25">
      <c r="F2114" s="93" t="s">
        <v>943</v>
      </c>
      <c r="G2114" s="93" t="s">
        <v>510</v>
      </c>
      <c r="H2114" s="93"/>
      <c r="I2114" s="145"/>
      <c r="J2114" s="235">
        <f t="shared" ref="J2114" si="210">CHOOSE(year_selection, L2114,M2114,N2114,O2114,P2114,Q2114,R2114,S2114)</f>
        <v>9287</v>
      </c>
      <c r="K2114" s="236"/>
      <c r="L2114" s="333"/>
      <c r="M2114" s="333"/>
      <c r="N2114" s="333">
        <v>9287</v>
      </c>
      <c r="O2114" s="333">
        <v>9287</v>
      </c>
      <c r="P2114" s="333">
        <v>9287</v>
      </c>
      <c r="Q2114" s="333">
        <v>9287</v>
      </c>
      <c r="R2114" s="333">
        <v>9287</v>
      </c>
      <c r="S2114" s="333">
        <v>9287</v>
      </c>
      <c r="T2114" s="293"/>
    </row>
    <row r="2115" spans="3:21" s="195" customFormat="1" x14ac:dyDescent="0.2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25">
      <c r="C2116" s="7" t="str">
        <f ca="1">INDEX('Version control'!$H$34:$H$60,MATCH($A$1,'Version control'!$F$34:$F$60,0),1)&amp;"-X: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25">
      <c r="I2117" s="111"/>
      <c r="J2117" s="243"/>
      <c r="K2117" s="243"/>
      <c r="L2117" s="243"/>
      <c r="M2117" s="243"/>
      <c r="N2117" s="243"/>
      <c r="O2117" s="243"/>
      <c r="P2117" s="243"/>
      <c r="Q2117" s="243"/>
      <c r="R2117" s="243"/>
      <c r="S2117" s="243"/>
    </row>
    <row r="2118" spans="3:21" s="195" customFormat="1" x14ac:dyDescent="0.25">
      <c r="E2118" s="96" t="s">
        <v>640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706</v>
      </c>
    </row>
    <row r="2119" spans="3:21" s="195" customFormat="1" x14ac:dyDescent="0.25">
      <c r="F2119" s="91" t="s">
        <v>928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25">
      <c r="F2120" s="196" t="s">
        <v>929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25">
      <c r="F2121" s="196" t="s">
        <v>930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25">
      <c r="F2122" s="196" t="s">
        <v>931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25">
      <c r="F2123" s="196" t="s">
        <v>932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25">
      <c r="F2124" s="196" t="s">
        <v>933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25">
      <c r="F2125" s="196" t="s">
        <v>934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25">
      <c r="F2126" s="196" t="s">
        <v>935</v>
      </c>
      <c r="G2126" s="196" t="s">
        <v>271</v>
      </c>
      <c r="H2126" s="196"/>
      <c r="I2126" s="66"/>
      <c r="J2126" s="233">
        <f>CHOOSE(year_selection, L2126,M2126,N2126,O2126,P2126,Q2126,R2126,S2126)</f>
        <v>120.51</v>
      </c>
      <c r="K2126" s="234"/>
      <c r="L2126" s="332"/>
      <c r="M2126" s="332"/>
      <c r="N2126" s="332">
        <v>120.51</v>
      </c>
      <c r="O2126" s="332">
        <v>120.51</v>
      </c>
      <c r="P2126" s="332">
        <v>120.51</v>
      </c>
      <c r="Q2126" s="332">
        <v>120.51</v>
      </c>
      <c r="R2126" s="332">
        <v>120.51</v>
      </c>
      <c r="S2126" s="332">
        <v>120.51</v>
      </c>
    </row>
    <row r="2127" spans="3:21" s="195" customFormat="1" x14ac:dyDescent="0.25">
      <c r="F2127" s="196" t="s">
        <v>936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25">
      <c r="F2128" s="196" t="s">
        <v>937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25">
      <c r="F2129" s="196" t="s">
        <v>938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25">
      <c r="F2130" s="196" t="s">
        <v>939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25">
      <c r="F2131" s="196" t="s">
        <v>940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25">
      <c r="F2132" s="196" t="s">
        <v>941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25">
      <c r="F2133" s="196" t="s">
        <v>942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25">
      <c r="F2134" s="93" t="s">
        <v>943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2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2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2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25">
      <c r="E2138" s="85" t="s">
        <v>416</v>
      </c>
      <c r="G2138" s="60" t="s">
        <v>589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2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25">
      <c r="E2140" s="85" t="s">
        <v>374</v>
      </c>
      <c r="G2140" s="60" t="s">
        <v>589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2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2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formatCells="0" formatColumns="0" formatRows="0" sort="0" autoFilter="0"/>
  <autoFilter ref="F6:S2134" xr:uid="{2368D584-B580-4164-9C4F-1A66C6F087CE}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164" activePane="bottomRight" state="frozen"/>
      <selection pane="topRight"/>
      <selection pane="bottomLeft"/>
      <selection pane="bottomRight" activeCell="L19" sqref="L19:S18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" width="20.7109375" style="85" hidden="1" customWidth="1"/>
    <col min="28" max="28" width="2.7109375" style="85" hidden="1" customWidth="1"/>
    <col min="29" max="256" width="20.710937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25">
      <c r="A4" s="228" t="str">
        <f>H218 &amp; IF(H218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690</v>
      </c>
    </row>
    <row r="11" spans="1:97" s="293" customFormat="1" x14ac:dyDescent="0.25">
      <c r="C11" s="82" t="s">
        <v>689</v>
      </c>
    </row>
    <row r="12" spans="1:97" s="293" customFormat="1" x14ac:dyDescent="0.25">
      <c r="C12" s="82" t="s">
        <v>782</v>
      </c>
    </row>
    <row r="13" spans="1:97" x14ac:dyDescent="0.25">
      <c r="D13" s="14"/>
    </row>
    <row r="14" spans="1:9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359</v>
      </c>
      <c r="U18" s="90" t="s">
        <v>810</v>
      </c>
    </row>
    <row r="19" spans="3:21" x14ac:dyDescent="0.2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2.5000000000000001E-2</v>
      </c>
      <c r="K20" s="249"/>
      <c r="L20" s="329">
        <v>2.5000000000000001E-2</v>
      </c>
      <c r="M20" s="329">
        <v>2.5000000000000001E-2</v>
      </c>
      <c r="N20" s="329">
        <v>2.5000000000000001E-2</v>
      </c>
      <c r="O20" s="329">
        <v>2.5000000000000001E-2</v>
      </c>
      <c r="P20" s="329">
        <v>2.5000000000000001E-2</v>
      </c>
      <c r="Q20" s="329">
        <v>2.5000000000000001E-2</v>
      </c>
      <c r="R20" s="329">
        <v>2.5000000000000001E-2</v>
      </c>
      <c r="S20" s="329">
        <v>2.5000000000000001E-2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0.1</v>
      </c>
      <c r="K21" s="249"/>
      <c r="L21" s="329">
        <v>0.1</v>
      </c>
      <c r="M21" s="329">
        <v>0.1</v>
      </c>
      <c r="N21" s="329">
        <v>0.1</v>
      </c>
      <c r="O21" s="329">
        <v>0.1</v>
      </c>
      <c r="P21" s="329">
        <v>0.1</v>
      </c>
      <c r="Q21" s="329">
        <v>0.1</v>
      </c>
      <c r="R21" s="329">
        <v>0.1</v>
      </c>
      <c r="S21" s="329">
        <v>0.1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0.26</v>
      </c>
      <c r="K23" s="249"/>
      <c r="L23" s="329">
        <v>0.26</v>
      </c>
      <c r="M23" s="329">
        <v>0.26</v>
      </c>
      <c r="N23" s="329">
        <v>0.26</v>
      </c>
      <c r="O23" s="329">
        <v>0.26</v>
      </c>
      <c r="P23" s="329">
        <v>0.26</v>
      </c>
      <c r="Q23" s="329">
        <v>0.26</v>
      </c>
      <c r="R23" s="329">
        <v>0.26</v>
      </c>
      <c r="S23" s="329">
        <v>0.26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0.2</v>
      </c>
      <c r="K26" s="249"/>
      <c r="L26" s="329">
        <v>0.2</v>
      </c>
      <c r="M26" s="329">
        <v>0.2</v>
      </c>
      <c r="N26" s="329">
        <v>0.2</v>
      </c>
      <c r="O26" s="329">
        <v>0.2</v>
      </c>
      <c r="P26" s="329">
        <v>0.2</v>
      </c>
      <c r="Q26" s="329">
        <v>0.2</v>
      </c>
      <c r="R26" s="329">
        <v>0.2</v>
      </c>
      <c r="S26" s="329">
        <v>0.2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2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2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2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25">
      <c r="E32" s="146" t="s">
        <v>423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2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6"/>
      <c r="K36" s="249"/>
      <c r="L36" s="246"/>
      <c r="M36" s="246"/>
      <c r="N36" s="246"/>
      <c r="O36" s="246"/>
      <c r="P36" s="246"/>
      <c r="Q36" s="246"/>
      <c r="R36" s="246"/>
      <c r="S36" s="246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29">
        <v>0</v>
      </c>
      <c r="M39" s="329">
        <v>0</v>
      </c>
      <c r="N39" s="329">
        <v>0</v>
      </c>
      <c r="O39" s="329">
        <v>0</v>
      </c>
      <c r="P39" s="329">
        <v>0</v>
      </c>
      <c r="Q39" s="329">
        <v>0</v>
      </c>
      <c r="R39" s="329">
        <v>0</v>
      </c>
      <c r="S39" s="329"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2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2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2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693</v>
      </c>
    </row>
    <row r="47" spans="3:21" x14ac:dyDescent="0.25">
      <c r="E47" s="76"/>
      <c r="F47" s="16" t="s">
        <v>267</v>
      </c>
      <c r="G47" s="16" t="s">
        <v>428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25">
      <c r="E48" s="76"/>
      <c r="F48" s="76" t="s">
        <v>43</v>
      </c>
      <c r="G48" s="76" t="s">
        <v>428</v>
      </c>
      <c r="H48" s="92"/>
      <c r="I48" s="92"/>
      <c r="J48" s="233">
        <f>CHOOSE(year_selection, L48,M48,N48,O48,P48,Q48,R48,S48)</f>
        <v>1</v>
      </c>
      <c r="K48" s="247"/>
      <c r="L48" s="329">
        <v>1</v>
      </c>
      <c r="M48" s="329">
        <v>1</v>
      </c>
      <c r="N48" s="329">
        <v>1</v>
      </c>
      <c r="O48" s="329">
        <v>1</v>
      </c>
      <c r="P48" s="329">
        <v>1</v>
      </c>
      <c r="Q48" s="329">
        <v>1</v>
      </c>
      <c r="R48" s="329">
        <v>1</v>
      </c>
      <c r="S48" s="329">
        <v>1</v>
      </c>
      <c r="U48" s="90"/>
    </row>
    <row r="49" spans="3:22" x14ac:dyDescent="0.25">
      <c r="E49" s="76"/>
      <c r="F49" s="76" t="s">
        <v>44</v>
      </c>
      <c r="G49" s="76" t="s">
        <v>428</v>
      </c>
      <c r="H49" s="92"/>
      <c r="I49" s="92"/>
      <c r="J49" s="233">
        <f>CHOOSE(year_selection, L49,M49,N49,O49,P49,Q49,R49,S49)</f>
        <v>1.0049999999999999</v>
      </c>
      <c r="K49" s="247"/>
      <c r="L49" s="329">
        <v>1.0049999999999999</v>
      </c>
      <c r="M49" s="329">
        <v>1.0049999999999999</v>
      </c>
      <c r="N49" s="329">
        <v>1.0049999999999999</v>
      </c>
      <c r="O49" s="329">
        <v>1.0049999999999999</v>
      </c>
      <c r="P49" s="329">
        <v>1.0049999999999999</v>
      </c>
      <c r="Q49" s="329">
        <v>1.0049999999999999</v>
      </c>
      <c r="R49" s="329">
        <v>1.0049999999999999</v>
      </c>
      <c r="S49" s="329">
        <v>1.0049999999999999</v>
      </c>
      <c r="U49" s="90"/>
      <c r="V49" s="90"/>
    </row>
    <row r="50" spans="3:22" x14ac:dyDescent="0.25">
      <c r="E50" s="76"/>
      <c r="F50" s="76" t="s">
        <v>45</v>
      </c>
      <c r="G50" s="76" t="s">
        <v>428</v>
      </c>
      <c r="H50" s="92"/>
      <c r="I50" s="92"/>
      <c r="J50" s="233">
        <f>CHOOSE(year_selection, L50,M50,N50,O50,P50,Q50,R50,S50)</f>
        <v>1.012</v>
      </c>
      <c r="K50" s="247"/>
      <c r="L50" s="329">
        <v>1.012</v>
      </c>
      <c r="M50" s="329">
        <v>1.012</v>
      </c>
      <c r="N50" s="329">
        <v>1.012</v>
      </c>
      <c r="O50" s="329">
        <v>1.012</v>
      </c>
      <c r="P50" s="329">
        <v>1.012</v>
      </c>
      <c r="Q50" s="329">
        <v>1.012</v>
      </c>
      <c r="R50" s="329">
        <v>1.012</v>
      </c>
      <c r="S50" s="329">
        <v>1.012</v>
      </c>
      <c r="U50" s="90"/>
      <c r="V50" s="90"/>
    </row>
    <row r="51" spans="3:22" x14ac:dyDescent="0.25">
      <c r="E51" s="76"/>
      <c r="F51" s="76" t="s">
        <v>46</v>
      </c>
      <c r="G51" s="76" t="s">
        <v>428</v>
      </c>
      <c r="H51" s="92"/>
      <c r="I51" s="92"/>
      <c r="J51" s="233">
        <f>CHOOSE(year_selection, L51,M51,N51,O51,P51,Q51,R51,S51)</f>
        <v>1.018</v>
      </c>
      <c r="K51" s="247"/>
      <c r="L51" s="329">
        <v>1.018</v>
      </c>
      <c r="M51" s="329">
        <v>1.018</v>
      </c>
      <c r="N51" s="329">
        <v>1.018</v>
      </c>
      <c r="O51" s="329">
        <v>1.018</v>
      </c>
      <c r="P51" s="329">
        <v>1.018</v>
      </c>
      <c r="Q51" s="329">
        <v>1.018</v>
      </c>
      <c r="R51" s="329">
        <v>1.018</v>
      </c>
      <c r="S51" s="329">
        <v>1.018</v>
      </c>
      <c r="U51" s="90"/>
      <c r="V51" s="90"/>
    </row>
    <row r="52" spans="3:22" x14ac:dyDescent="0.25">
      <c r="E52" s="76"/>
      <c r="F52" s="76" t="s">
        <v>47</v>
      </c>
      <c r="G52" s="76" t="s">
        <v>428</v>
      </c>
      <c r="H52" s="92"/>
      <c r="I52" s="92"/>
      <c r="J52" s="233">
        <f>CHOOSE(year_selection, L52,M52,N52,O52,P52,Q52,R52,S52)</f>
        <v>1.026</v>
      </c>
      <c r="K52" s="247"/>
      <c r="L52" s="329">
        <v>1.0269999999999999</v>
      </c>
      <c r="M52" s="329">
        <v>1.026</v>
      </c>
      <c r="N52" s="329">
        <v>1.0269999999999999</v>
      </c>
      <c r="O52" s="329">
        <v>1.026</v>
      </c>
      <c r="P52" s="329">
        <v>1.026</v>
      </c>
      <c r="Q52" s="329">
        <v>1.026</v>
      </c>
      <c r="R52" s="329">
        <v>1.026</v>
      </c>
      <c r="S52" s="329">
        <v>1.026</v>
      </c>
      <c r="U52" s="90"/>
      <c r="V52" s="90"/>
    </row>
    <row r="53" spans="3:22" x14ac:dyDescent="0.25">
      <c r="E53" s="76"/>
      <c r="F53" s="76" t="s">
        <v>51</v>
      </c>
      <c r="G53" s="76" t="s">
        <v>428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25">
      <c r="E54" s="76"/>
      <c r="F54" s="76" t="s">
        <v>48</v>
      </c>
      <c r="G54" s="76" t="s">
        <v>428</v>
      </c>
      <c r="H54" s="92"/>
      <c r="I54" s="92"/>
      <c r="J54" s="233">
        <f>CHOOSE(year_selection, L54,M54,N54,O54,P54,Q54,R54,S54)</f>
        <v>1.0369999999999999</v>
      </c>
      <c r="K54" s="247"/>
      <c r="L54" s="329">
        <v>1.038</v>
      </c>
      <c r="M54" s="329">
        <v>1.038</v>
      </c>
      <c r="N54" s="329">
        <v>1.038</v>
      </c>
      <c r="O54" s="329">
        <v>1.0369999999999999</v>
      </c>
      <c r="P54" s="329">
        <v>1.0369999999999999</v>
      </c>
      <c r="Q54" s="329">
        <v>1.0369999999999999</v>
      </c>
      <c r="R54" s="329">
        <v>1.0369999999999999</v>
      </c>
      <c r="S54" s="329">
        <v>1.0369999999999999</v>
      </c>
      <c r="U54" s="90"/>
      <c r="V54" s="90"/>
    </row>
    <row r="55" spans="3:22" x14ac:dyDescent="0.25">
      <c r="E55" s="76"/>
      <c r="F55" s="76" t="s">
        <v>49</v>
      </c>
      <c r="G55" s="76" t="s">
        <v>428</v>
      </c>
      <c r="H55" s="92"/>
      <c r="I55" s="92"/>
      <c r="J55" s="233">
        <f>CHOOSE(year_selection, L55,M55,N55,O55,P55,Q55,R55,S55)</f>
        <v>1.0589999999999999</v>
      </c>
      <c r="K55" s="247"/>
      <c r="L55" s="329">
        <v>1.06</v>
      </c>
      <c r="M55" s="329">
        <v>1.06</v>
      </c>
      <c r="N55" s="329">
        <v>1.06</v>
      </c>
      <c r="O55" s="329">
        <v>1.0589999999999999</v>
      </c>
      <c r="P55" s="329">
        <v>1.0589999999999999</v>
      </c>
      <c r="Q55" s="329">
        <v>1.0589999999999999</v>
      </c>
      <c r="R55" s="329">
        <v>1.0589999999999999</v>
      </c>
      <c r="S55" s="329">
        <v>1.0589999999999999</v>
      </c>
      <c r="U55" s="90"/>
      <c r="V55" s="90"/>
    </row>
    <row r="56" spans="3:22" x14ac:dyDescent="0.25">
      <c r="E56" s="76"/>
      <c r="F56" s="15" t="s">
        <v>50</v>
      </c>
      <c r="G56" s="15" t="s">
        <v>428</v>
      </c>
      <c r="H56" s="93"/>
      <c r="I56" s="93"/>
      <c r="J56" s="235">
        <f>CHOOSE(year_selection, L56,M56,N56,O56,P56,Q56,R56,S56)</f>
        <v>1.1080000000000001</v>
      </c>
      <c r="K56" s="248"/>
      <c r="L56" s="330">
        <v>1.103</v>
      </c>
      <c r="M56" s="330">
        <v>1.105</v>
      </c>
      <c r="N56" s="330">
        <v>1.1120000000000001</v>
      </c>
      <c r="O56" s="330">
        <v>1.1080000000000001</v>
      </c>
      <c r="P56" s="330">
        <v>1.1080000000000001</v>
      </c>
      <c r="Q56" s="330">
        <v>1.1080000000000001</v>
      </c>
      <c r="R56" s="330">
        <v>1.1080000000000001</v>
      </c>
      <c r="S56" s="330">
        <v>1.1080000000000001</v>
      </c>
      <c r="U56" s="90"/>
      <c r="V56" s="90"/>
    </row>
    <row r="57" spans="3:22" x14ac:dyDescent="0.2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2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2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811</v>
      </c>
    </row>
    <row r="61" spans="3:22" x14ac:dyDescent="0.2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25">
      <c r="E62" s="76"/>
      <c r="F62" s="76" t="s">
        <v>43</v>
      </c>
      <c r="G62" s="76" t="s">
        <v>209</v>
      </c>
      <c r="H62" s="92"/>
      <c r="I62" s="92"/>
      <c r="J62" s="233">
        <f t="shared" ref="J62:J70" si="0">CHOOSE(year_selection, L62,M62,N62,O62,P62,Q62,R62,S62)</f>
        <v>0.23606981324600912</v>
      </c>
      <c r="K62" s="247"/>
      <c r="L62" s="329">
        <v>0.22199434581040298</v>
      </c>
      <c r="M62" s="329">
        <v>0.21712102522762061</v>
      </c>
      <c r="N62" s="329">
        <v>0.25056282783129963</v>
      </c>
      <c r="O62" s="329">
        <v>0.23606981324600912</v>
      </c>
      <c r="P62" s="329">
        <v>0.23606981324600912</v>
      </c>
      <c r="Q62" s="329">
        <v>0.23606981324600912</v>
      </c>
      <c r="R62" s="329">
        <v>0.23606981324600912</v>
      </c>
      <c r="S62" s="329">
        <v>0.23606981324600912</v>
      </c>
      <c r="U62" s="90"/>
    </row>
    <row r="63" spans="3:22" x14ac:dyDescent="0.25">
      <c r="E63" s="76"/>
      <c r="F63" s="76" t="s">
        <v>44</v>
      </c>
      <c r="G63" s="76" t="s">
        <v>209</v>
      </c>
      <c r="H63" s="92"/>
      <c r="I63" s="92"/>
      <c r="J63" s="233">
        <f t="shared" si="0"/>
        <v>0.23606981324600912</v>
      </c>
      <c r="K63" s="247"/>
      <c r="L63" s="329">
        <v>0.22199434581040298</v>
      </c>
      <c r="M63" s="329">
        <v>0.21712102522762061</v>
      </c>
      <c r="N63" s="329">
        <v>0.25056282783129963</v>
      </c>
      <c r="O63" s="329">
        <v>0.23606981324600912</v>
      </c>
      <c r="P63" s="329">
        <v>0.23606981324600912</v>
      </c>
      <c r="Q63" s="329">
        <v>0.23606981324600912</v>
      </c>
      <c r="R63" s="329">
        <v>0.23606981324600912</v>
      </c>
      <c r="S63" s="329">
        <v>0.23606981324600912</v>
      </c>
      <c r="U63" s="90"/>
    </row>
    <row r="64" spans="3:22" x14ac:dyDescent="0.25">
      <c r="E64" s="76"/>
      <c r="F64" s="76" t="s">
        <v>45</v>
      </c>
      <c r="G64" s="76" t="s">
        <v>209</v>
      </c>
      <c r="H64" s="92"/>
      <c r="I64" s="92"/>
      <c r="J64" s="233">
        <f t="shared" si="0"/>
        <v>0.2927446569914286</v>
      </c>
      <c r="K64" s="247"/>
      <c r="L64" s="329">
        <v>0.24539212670310076</v>
      </c>
      <c r="M64" s="329">
        <v>0.25463235188376759</v>
      </c>
      <c r="N64" s="329">
        <v>0.24151056811773014</v>
      </c>
      <c r="O64" s="329">
        <v>0.2927446569914286</v>
      </c>
      <c r="P64" s="329">
        <v>0.2927446569914286</v>
      </c>
      <c r="Q64" s="329">
        <v>0.2927446569914286</v>
      </c>
      <c r="R64" s="329">
        <v>0.2927446569914286</v>
      </c>
      <c r="S64" s="329">
        <v>0.2927446569914286</v>
      </c>
      <c r="U64" s="90"/>
    </row>
    <row r="65" spans="2:21" x14ac:dyDescent="0.25">
      <c r="E65" s="76"/>
      <c r="F65" s="76" t="s">
        <v>46</v>
      </c>
      <c r="G65" s="76" t="s">
        <v>209</v>
      </c>
      <c r="H65" s="92"/>
      <c r="I65" s="92"/>
      <c r="J65" s="233">
        <f t="shared" si="0"/>
        <v>0.2927446569914286</v>
      </c>
      <c r="K65" s="247"/>
      <c r="L65" s="329">
        <v>0.24539212670310076</v>
      </c>
      <c r="M65" s="329">
        <v>0.25463235188376759</v>
      </c>
      <c r="N65" s="329">
        <v>0.24151056811773014</v>
      </c>
      <c r="O65" s="329">
        <v>0.2927446569914286</v>
      </c>
      <c r="P65" s="329">
        <v>0.2927446569914286</v>
      </c>
      <c r="Q65" s="329">
        <v>0.2927446569914286</v>
      </c>
      <c r="R65" s="329">
        <v>0.2927446569914286</v>
      </c>
      <c r="S65" s="329">
        <v>0.2927446569914286</v>
      </c>
      <c r="U65" s="90"/>
    </row>
    <row r="66" spans="2:21" x14ac:dyDescent="0.25">
      <c r="E66" s="76"/>
      <c r="F66" s="76" t="s">
        <v>47</v>
      </c>
      <c r="G66" s="76" t="s">
        <v>209</v>
      </c>
      <c r="H66" s="92"/>
      <c r="I66" s="92"/>
      <c r="J66" s="233">
        <f t="shared" si="0"/>
        <v>0.30348821794359715</v>
      </c>
      <c r="K66" s="247"/>
      <c r="L66" s="329">
        <v>0.2822138084535229</v>
      </c>
      <c r="M66" s="329">
        <v>0.25896594596237177</v>
      </c>
      <c r="N66" s="329">
        <v>0.3175458874434306</v>
      </c>
      <c r="O66" s="329">
        <v>0.30348821794359715</v>
      </c>
      <c r="P66" s="329">
        <v>0.30348821794359715</v>
      </c>
      <c r="Q66" s="329">
        <v>0.30348821794359715</v>
      </c>
      <c r="R66" s="329">
        <v>0.30348821794359715</v>
      </c>
      <c r="S66" s="329">
        <v>0.30348821794359715</v>
      </c>
      <c r="U66" s="90"/>
    </row>
    <row r="67" spans="2:21" x14ac:dyDescent="0.25">
      <c r="E67" s="76"/>
      <c r="F67" s="76" t="s">
        <v>51</v>
      </c>
      <c r="G67" s="76" t="s">
        <v>209</v>
      </c>
      <c r="H67" s="92"/>
      <c r="I67" s="92"/>
      <c r="J67" s="233">
        <f t="shared" si="0"/>
        <v>0.30348821794359715</v>
      </c>
      <c r="K67" s="247"/>
      <c r="L67" s="329">
        <v>0.2822138084535229</v>
      </c>
      <c r="M67" s="329">
        <v>0.25896594596237177</v>
      </c>
      <c r="N67" s="329">
        <v>0.3175458874434306</v>
      </c>
      <c r="O67" s="329">
        <v>0.30348821794359715</v>
      </c>
      <c r="P67" s="329">
        <v>0.30348821794359715</v>
      </c>
      <c r="Q67" s="329">
        <v>0.30348821794359715</v>
      </c>
      <c r="R67" s="329">
        <v>0.30348821794359715</v>
      </c>
      <c r="S67" s="329">
        <v>0.30348821794359715</v>
      </c>
      <c r="U67" s="90"/>
    </row>
    <row r="68" spans="2:21" x14ac:dyDescent="0.25">
      <c r="E68" s="76"/>
      <c r="F68" s="76" t="s">
        <v>48</v>
      </c>
      <c r="G68" s="76" t="s">
        <v>209</v>
      </c>
      <c r="H68" s="92"/>
      <c r="I68" s="92"/>
      <c r="J68" s="233">
        <f t="shared" si="0"/>
        <v>0.30348821794359715</v>
      </c>
      <c r="K68" s="247"/>
      <c r="L68" s="329">
        <v>0.2822138084535229</v>
      </c>
      <c r="M68" s="329">
        <v>0.25896594596237177</v>
      </c>
      <c r="N68" s="329">
        <v>0.3175458874434306</v>
      </c>
      <c r="O68" s="329">
        <v>0.30348821794359715</v>
      </c>
      <c r="P68" s="329">
        <v>0.30348821794359715</v>
      </c>
      <c r="Q68" s="329">
        <v>0.30348821794359715</v>
      </c>
      <c r="R68" s="329">
        <v>0.30348821794359715</v>
      </c>
      <c r="S68" s="329">
        <v>0.30348821794359715</v>
      </c>
      <c r="U68" s="90"/>
    </row>
    <row r="69" spans="2:21" x14ac:dyDescent="0.25">
      <c r="E69" s="76"/>
      <c r="F69" s="76" t="s">
        <v>49</v>
      </c>
      <c r="G69" s="76" t="s">
        <v>209</v>
      </c>
      <c r="H69" s="92"/>
      <c r="I69" s="92"/>
      <c r="J69" s="233">
        <f t="shared" si="0"/>
        <v>0.30348821794359715</v>
      </c>
      <c r="K69" s="247"/>
      <c r="L69" s="329">
        <v>0.2822138084535229</v>
      </c>
      <c r="M69" s="329">
        <v>0.25896594596237177</v>
      </c>
      <c r="N69" s="329">
        <v>0.3175458874434306</v>
      </c>
      <c r="O69" s="329">
        <v>0.30348821794359715</v>
      </c>
      <c r="P69" s="329">
        <v>0.30348821794359715</v>
      </c>
      <c r="Q69" s="329">
        <v>0.30348821794359715</v>
      </c>
      <c r="R69" s="329">
        <v>0.30348821794359715</v>
      </c>
      <c r="S69" s="329">
        <v>0.30348821794359715</v>
      </c>
      <c r="U69" s="90"/>
    </row>
    <row r="70" spans="2:21" x14ac:dyDescent="0.25">
      <c r="E70" s="76"/>
      <c r="F70" s="15" t="s">
        <v>50</v>
      </c>
      <c r="G70" s="15" t="s">
        <v>209</v>
      </c>
      <c r="H70" s="93"/>
      <c r="I70" s="93"/>
      <c r="J70" s="235">
        <f t="shared" si="0"/>
        <v>0.30348821794359715</v>
      </c>
      <c r="K70" s="248"/>
      <c r="L70" s="330">
        <v>0.2822138084535229</v>
      </c>
      <c r="M70" s="330">
        <v>0.25896594596237177</v>
      </c>
      <c r="N70" s="330">
        <v>0.3175458874434306</v>
      </c>
      <c r="O70" s="330">
        <v>0.30348821794359715</v>
      </c>
      <c r="P70" s="330">
        <v>0.30348821794359715</v>
      </c>
      <c r="Q70" s="330">
        <v>0.30348821794359715</v>
      </c>
      <c r="R70" s="330">
        <v>0.30348821794359715</v>
      </c>
      <c r="S70" s="330">
        <v>0.30348821794359715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3"/>
      <c r="M73" s="293"/>
      <c r="N73" s="293"/>
      <c r="P73" s="293"/>
      <c r="Q73" s="293"/>
      <c r="R73" s="293"/>
      <c r="S73" s="293"/>
    </row>
    <row r="74" spans="2:21" x14ac:dyDescent="0.2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812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267</v>
      </c>
      <c r="G76" s="16" t="s">
        <v>94</v>
      </c>
      <c r="H76" s="91"/>
      <c r="I76" s="91"/>
      <c r="J76" s="170"/>
      <c r="K76" s="430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31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31"/>
      <c r="L78" s="323">
        <v>0</v>
      </c>
      <c r="M78" s="323">
        <v>0</v>
      </c>
      <c r="N78" s="323">
        <v>0</v>
      </c>
      <c r="O78" s="323">
        <v>0</v>
      </c>
      <c r="P78" s="323">
        <v>0</v>
      </c>
      <c r="Q78" s="323">
        <v>0</v>
      </c>
      <c r="R78" s="323">
        <v>0</v>
      </c>
      <c r="S78" s="323"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31"/>
      <c r="L79" s="323">
        <v>0</v>
      </c>
      <c r="M79" s="323">
        <v>0</v>
      </c>
      <c r="N79" s="323">
        <v>0</v>
      </c>
      <c r="O79" s="323">
        <v>0</v>
      </c>
      <c r="P79" s="323">
        <v>0</v>
      </c>
      <c r="Q79" s="323">
        <v>0</v>
      </c>
      <c r="R79" s="323">
        <v>0</v>
      </c>
      <c r="S79" s="323"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31"/>
      <c r="L80" s="323">
        <v>0</v>
      </c>
      <c r="M80" s="323">
        <v>0</v>
      </c>
      <c r="N80" s="323">
        <v>0</v>
      </c>
      <c r="O80" s="323">
        <v>0</v>
      </c>
      <c r="P80" s="323">
        <v>0</v>
      </c>
      <c r="Q80" s="323">
        <v>0</v>
      </c>
      <c r="R80" s="323">
        <v>0</v>
      </c>
      <c r="S80" s="323"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31"/>
      <c r="L81" s="323">
        <v>0</v>
      </c>
      <c r="M81" s="323">
        <v>0</v>
      </c>
      <c r="N81" s="323">
        <v>0</v>
      </c>
      <c r="O81" s="323">
        <v>0</v>
      </c>
      <c r="P81" s="323">
        <v>0</v>
      </c>
      <c r="Q81" s="323">
        <v>0</v>
      </c>
      <c r="R81" s="323">
        <v>0</v>
      </c>
      <c r="S81" s="323"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31"/>
      <c r="L82" s="323">
        <v>0</v>
      </c>
      <c r="M82" s="323">
        <v>0</v>
      </c>
      <c r="N82" s="323">
        <v>0</v>
      </c>
      <c r="O82" s="323">
        <v>0</v>
      </c>
      <c r="P82" s="323">
        <v>0</v>
      </c>
      <c r="Q82" s="323">
        <v>0</v>
      </c>
      <c r="R82" s="323">
        <v>0</v>
      </c>
      <c r="S82" s="323"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1"/>
        <v>0.32635129017655001</v>
      </c>
      <c r="K83" s="431"/>
      <c r="L83" s="323">
        <v>0.32635129017655001</v>
      </c>
      <c r="M83" s="323">
        <v>0.32635129017655001</v>
      </c>
      <c r="N83" s="323">
        <v>0.32635129017655001</v>
      </c>
      <c r="O83" s="323">
        <v>0.32635129017655001</v>
      </c>
      <c r="P83" s="323">
        <v>0.32635129017655001</v>
      </c>
      <c r="Q83" s="323">
        <v>0.32635129017655001</v>
      </c>
      <c r="R83" s="323">
        <v>0.32635129017655001</v>
      </c>
      <c r="S83" s="323">
        <v>0.32635129017655001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1"/>
        <v>0.71097285067873295</v>
      </c>
      <c r="K84" s="431"/>
      <c r="L84" s="323">
        <v>0.71097285067873295</v>
      </c>
      <c r="M84" s="323">
        <v>0.71097285067873295</v>
      </c>
      <c r="N84" s="323">
        <v>0.71097285067873295</v>
      </c>
      <c r="O84" s="323">
        <v>0.71097285067873295</v>
      </c>
      <c r="P84" s="323">
        <v>0.71097285067873295</v>
      </c>
      <c r="Q84" s="323">
        <v>0.71097285067873295</v>
      </c>
      <c r="R84" s="323">
        <v>0.71097285067873295</v>
      </c>
      <c r="S84" s="323">
        <v>0.71097285067873295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1"/>
        <v>0.93094869075781095</v>
      </c>
      <c r="K85" s="308"/>
      <c r="L85" s="324">
        <v>0.93094869075781095</v>
      </c>
      <c r="M85" s="324">
        <v>0.93094869075781095</v>
      </c>
      <c r="N85" s="324">
        <v>0.93094869075781095</v>
      </c>
      <c r="O85" s="324">
        <v>0.93094869075781095</v>
      </c>
      <c r="P85" s="324">
        <v>0.93094869075781095</v>
      </c>
      <c r="Q85" s="324">
        <v>0.93094869075781095</v>
      </c>
      <c r="R85" s="324">
        <v>0.93094869075781095</v>
      </c>
      <c r="S85" s="324">
        <v>0.93094869075781095</v>
      </c>
      <c r="U85" s="90"/>
    </row>
    <row r="86" spans="5:21" x14ac:dyDescent="0.25">
      <c r="E86" s="146" t="s">
        <v>81</v>
      </c>
      <c r="J86" s="432"/>
      <c r="K86" s="432"/>
      <c r="L86" s="432"/>
      <c r="M86" s="432"/>
      <c r="N86" s="432"/>
      <c r="O86" s="432"/>
      <c r="P86" s="432"/>
      <c r="Q86" s="432"/>
      <c r="R86" s="432"/>
      <c r="S86" s="432"/>
    </row>
    <row r="87" spans="5:21" x14ac:dyDescent="0.25">
      <c r="E87" s="76"/>
      <c r="F87" s="16" t="s">
        <v>267</v>
      </c>
      <c r="G87" s="16" t="s">
        <v>94</v>
      </c>
      <c r="H87" s="91"/>
      <c r="I87" s="91"/>
      <c r="J87" s="170"/>
      <c r="K87" s="430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31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31"/>
      <c r="L89" s="323">
        <v>0</v>
      </c>
      <c r="M89" s="323">
        <v>0</v>
      </c>
      <c r="N89" s="323">
        <v>0</v>
      </c>
      <c r="O89" s="323">
        <v>0</v>
      </c>
      <c r="P89" s="323">
        <v>0</v>
      </c>
      <c r="Q89" s="323">
        <v>0</v>
      </c>
      <c r="R89" s="323">
        <v>0</v>
      </c>
      <c r="S89" s="323"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31"/>
      <c r="L90" s="323">
        <v>0</v>
      </c>
      <c r="M90" s="323">
        <v>0</v>
      </c>
      <c r="N90" s="323">
        <v>0</v>
      </c>
      <c r="O90" s="323">
        <v>0</v>
      </c>
      <c r="P90" s="323">
        <v>0</v>
      </c>
      <c r="Q90" s="323">
        <v>0</v>
      </c>
      <c r="R90" s="323">
        <v>0</v>
      </c>
      <c r="S90" s="323"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31"/>
      <c r="L91" s="323">
        <v>0</v>
      </c>
      <c r="M91" s="323">
        <v>0</v>
      </c>
      <c r="N91" s="323">
        <v>0</v>
      </c>
      <c r="O91" s="323">
        <v>0</v>
      </c>
      <c r="P91" s="323">
        <v>0</v>
      </c>
      <c r="Q91" s="323">
        <v>0</v>
      </c>
      <c r="R91" s="323">
        <v>0</v>
      </c>
      <c r="S91" s="323"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31"/>
      <c r="L92" s="323">
        <v>0</v>
      </c>
      <c r="M92" s="323">
        <v>0</v>
      </c>
      <c r="N92" s="323">
        <v>0</v>
      </c>
      <c r="O92" s="323">
        <v>0</v>
      </c>
      <c r="P92" s="323">
        <v>0</v>
      </c>
      <c r="Q92" s="323">
        <v>0</v>
      </c>
      <c r="R92" s="323">
        <v>0</v>
      </c>
      <c r="S92" s="323"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31"/>
      <c r="L93" s="323">
        <v>0</v>
      </c>
      <c r="M93" s="323">
        <v>0</v>
      </c>
      <c r="N93" s="323">
        <v>0</v>
      </c>
      <c r="O93" s="323">
        <v>0</v>
      </c>
      <c r="P93" s="323">
        <v>0</v>
      </c>
      <c r="Q93" s="323">
        <v>0</v>
      </c>
      <c r="R93" s="323">
        <v>0</v>
      </c>
      <c r="S93" s="323"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2"/>
        <v>0.32635129017655001</v>
      </c>
      <c r="K94" s="431"/>
      <c r="L94" s="323">
        <v>0.32635129017655001</v>
      </c>
      <c r="M94" s="323">
        <v>0.32635129017655001</v>
      </c>
      <c r="N94" s="323">
        <v>0.32635129017655001</v>
      </c>
      <c r="O94" s="323">
        <v>0.32635129017655001</v>
      </c>
      <c r="P94" s="323">
        <v>0.32635129017655001</v>
      </c>
      <c r="Q94" s="323">
        <v>0.32635129017655001</v>
      </c>
      <c r="R94" s="323">
        <v>0.32635129017655001</v>
      </c>
      <c r="S94" s="323">
        <v>0.32635129017655001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2"/>
        <v>0.71097285067873295</v>
      </c>
      <c r="K95" s="431"/>
      <c r="L95" s="323">
        <v>0.71097285067873295</v>
      </c>
      <c r="M95" s="323">
        <v>0.71097285067873295</v>
      </c>
      <c r="N95" s="323">
        <v>0.71097285067873295</v>
      </c>
      <c r="O95" s="323">
        <v>0.71097285067873295</v>
      </c>
      <c r="P95" s="323">
        <v>0.71097285067873295</v>
      </c>
      <c r="Q95" s="323">
        <v>0.71097285067873295</v>
      </c>
      <c r="R95" s="323">
        <v>0.71097285067873295</v>
      </c>
      <c r="S95" s="323">
        <v>0.71097285067873295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32"/>
      <c r="K97" s="432"/>
      <c r="L97" s="432"/>
      <c r="M97" s="432"/>
      <c r="N97" s="432"/>
      <c r="O97" s="432"/>
      <c r="P97" s="432"/>
      <c r="Q97" s="432"/>
      <c r="R97" s="432"/>
      <c r="S97" s="432"/>
    </row>
    <row r="98" spans="5:21" x14ac:dyDescent="0.25">
      <c r="E98" s="76"/>
      <c r="F98" s="16" t="s">
        <v>267</v>
      </c>
      <c r="G98" s="16" t="s">
        <v>94</v>
      </c>
      <c r="H98" s="91"/>
      <c r="I98" s="91"/>
      <c r="J98" s="170"/>
      <c r="K98" s="430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31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31"/>
      <c r="L100" s="323">
        <v>0</v>
      </c>
      <c r="M100" s="323">
        <v>0</v>
      </c>
      <c r="N100" s="323">
        <v>0</v>
      </c>
      <c r="O100" s="323">
        <v>0</v>
      </c>
      <c r="P100" s="323">
        <v>0</v>
      </c>
      <c r="Q100" s="323">
        <v>0</v>
      </c>
      <c r="R100" s="323">
        <v>0</v>
      </c>
      <c r="S100" s="323"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31"/>
      <c r="L101" s="323">
        <v>0</v>
      </c>
      <c r="M101" s="323">
        <v>0</v>
      </c>
      <c r="N101" s="323">
        <v>0</v>
      </c>
      <c r="O101" s="323">
        <v>0</v>
      </c>
      <c r="P101" s="323">
        <v>0</v>
      </c>
      <c r="Q101" s="323">
        <v>0</v>
      </c>
      <c r="R101" s="323">
        <v>0</v>
      </c>
      <c r="S101" s="323"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3"/>
        <v>0.29443019943019899</v>
      </c>
      <c r="K102" s="431"/>
      <c r="L102" s="323">
        <v>0.29443019943019899</v>
      </c>
      <c r="M102" s="323">
        <v>0.29443019943019899</v>
      </c>
      <c r="N102" s="323">
        <v>0.29443019943019899</v>
      </c>
      <c r="O102" s="323">
        <v>0.29443019943019899</v>
      </c>
      <c r="P102" s="323">
        <v>0.29443019943019899</v>
      </c>
      <c r="Q102" s="323">
        <v>0.29443019943019899</v>
      </c>
      <c r="R102" s="323">
        <v>0.29443019943019899</v>
      </c>
      <c r="S102" s="323">
        <v>0.29443019943019899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3"/>
        <v>0.14317058823529399</v>
      </c>
      <c r="K103" s="431"/>
      <c r="L103" s="323">
        <v>0.14317058823529399</v>
      </c>
      <c r="M103" s="323">
        <v>0.14317058823529399</v>
      </c>
      <c r="N103" s="323">
        <v>0.14317058823529399</v>
      </c>
      <c r="O103" s="323">
        <v>0.14317058823529399</v>
      </c>
      <c r="P103" s="323">
        <v>0.14317058823529399</v>
      </c>
      <c r="Q103" s="323">
        <v>0.14317058823529399</v>
      </c>
      <c r="R103" s="323">
        <v>0.14317058823529399</v>
      </c>
      <c r="S103" s="323">
        <v>0.14317058823529399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31"/>
      <c r="L104" s="323">
        <v>0</v>
      </c>
      <c r="M104" s="323">
        <v>0</v>
      </c>
      <c r="N104" s="323">
        <v>0</v>
      </c>
      <c r="O104" s="323">
        <v>0</v>
      </c>
      <c r="P104" s="323">
        <v>0</v>
      </c>
      <c r="Q104" s="323">
        <v>0</v>
      </c>
      <c r="R104" s="323">
        <v>0</v>
      </c>
      <c r="S104" s="323"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3"/>
        <v>0.73429040289723801</v>
      </c>
      <c r="K105" s="431"/>
      <c r="L105" s="323">
        <v>0.73429040289723801</v>
      </c>
      <c r="M105" s="323">
        <v>0.73429040289723801</v>
      </c>
      <c r="N105" s="323">
        <v>0.73429040289723801</v>
      </c>
      <c r="O105" s="323">
        <v>0.73429040289723801</v>
      </c>
      <c r="P105" s="323">
        <v>0.73429040289723801</v>
      </c>
      <c r="Q105" s="323">
        <v>0.73429040289723801</v>
      </c>
      <c r="R105" s="323">
        <v>0.73429040289723801</v>
      </c>
      <c r="S105" s="323">
        <v>0.73429040289723801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31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32"/>
      <c r="K108" s="432"/>
      <c r="L108" s="432"/>
      <c r="M108" s="432"/>
      <c r="N108" s="432"/>
      <c r="O108" s="432"/>
      <c r="P108" s="432"/>
      <c r="Q108" s="432"/>
      <c r="R108" s="432"/>
      <c r="S108" s="432"/>
    </row>
    <row r="109" spans="5:21" x14ac:dyDescent="0.25">
      <c r="E109" s="76"/>
      <c r="F109" s="16" t="s">
        <v>267</v>
      </c>
      <c r="G109" s="16" t="s">
        <v>94</v>
      </c>
      <c r="H109" s="91"/>
      <c r="I109" s="91"/>
      <c r="J109" s="170"/>
      <c r="K109" s="430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31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31"/>
      <c r="L111" s="323">
        <v>0</v>
      </c>
      <c r="M111" s="323">
        <v>0</v>
      </c>
      <c r="N111" s="323">
        <v>0</v>
      </c>
      <c r="O111" s="323">
        <v>0</v>
      </c>
      <c r="P111" s="323">
        <v>0</v>
      </c>
      <c r="Q111" s="323">
        <v>0</v>
      </c>
      <c r="R111" s="323">
        <v>0</v>
      </c>
      <c r="S111" s="323"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31"/>
      <c r="L112" s="323">
        <v>0</v>
      </c>
      <c r="M112" s="323">
        <v>0</v>
      </c>
      <c r="N112" s="323">
        <v>0</v>
      </c>
      <c r="O112" s="323">
        <v>0</v>
      </c>
      <c r="P112" s="323">
        <v>0</v>
      </c>
      <c r="Q112" s="323">
        <v>0</v>
      </c>
      <c r="R112" s="323">
        <v>0</v>
      </c>
      <c r="S112" s="323">
        <v>0</v>
      </c>
      <c r="U112" s="90"/>
    </row>
    <row r="113" spans="1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4"/>
        <v>0.29443019943019899</v>
      </c>
      <c r="K113" s="431"/>
      <c r="L113" s="323">
        <v>0.29443019943019899</v>
      </c>
      <c r="M113" s="323">
        <v>0.29443019943019899</v>
      </c>
      <c r="N113" s="323">
        <v>0.29443019943019899</v>
      </c>
      <c r="O113" s="323">
        <v>0.29443019943019899</v>
      </c>
      <c r="P113" s="323">
        <v>0.29443019943019899</v>
      </c>
      <c r="Q113" s="323">
        <v>0.29443019943019899</v>
      </c>
      <c r="R113" s="323">
        <v>0.29443019943019899</v>
      </c>
      <c r="S113" s="323">
        <v>0.29443019943019899</v>
      </c>
      <c r="U113" s="90"/>
    </row>
    <row r="114" spans="1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4"/>
        <v>0.14317058823529399</v>
      </c>
      <c r="K114" s="431"/>
      <c r="L114" s="323">
        <v>0.14317058823529399</v>
      </c>
      <c r="M114" s="323">
        <v>0.14317058823529399</v>
      </c>
      <c r="N114" s="323">
        <v>0.14317058823529399</v>
      </c>
      <c r="O114" s="323">
        <v>0.14317058823529399</v>
      </c>
      <c r="P114" s="323">
        <v>0.14317058823529399</v>
      </c>
      <c r="Q114" s="323">
        <v>0.14317058823529399</v>
      </c>
      <c r="R114" s="323">
        <v>0.14317058823529399</v>
      </c>
      <c r="S114" s="323">
        <v>0.14317058823529399</v>
      </c>
      <c r="U114" s="90"/>
    </row>
    <row r="115" spans="1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31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1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31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1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31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1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1:22" x14ac:dyDescent="0.25">
      <c r="J119" s="432"/>
      <c r="K119" s="432"/>
      <c r="L119" s="432"/>
      <c r="M119" s="432"/>
      <c r="N119" s="432"/>
      <c r="O119" s="432"/>
      <c r="P119" s="432"/>
      <c r="Q119" s="432"/>
      <c r="R119" s="432"/>
      <c r="S119" s="432"/>
    </row>
    <row r="120" spans="1:22" s="195" customFormat="1" x14ac:dyDescent="0.2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3"/>
      <c r="K120" s="433"/>
      <c r="L120" s="433"/>
      <c r="M120" s="433"/>
      <c r="N120" s="433"/>
      <c r="O120" s="433"/>
      <c r="P120" s="433"/>
      <c r="Q120" s="433"/>
      <c r="R120" s="433"/>
      <c r="S120" s="433"/>
      <c r="T120" s="7"/>
      <c r="U120" s="7"/>
    </row>
    <row r="121" spans="1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1:22" ht="14.65" customHeight="1" x14ac:dyDescent="0.25">
      <c r="E122" s="96" t="s">
        <v>194</v>
      </c>
      <c r="J122" s="432"/>
      <c r="K122" s="432"/>
      <c r="L122" s="432"/>
      <c r="M122" s="432"/>
      <c r="N122" s="432"/>
      <c r="O122" s="432"/>
      <c r="P122" s="432"/>
      <c r="Q122" s="432"/>
      <c r="R122" s="432"/>
      <c r="S122" s="432"/>
    </row>
    <row r="123" spans="1:22" x14ac:dyDescent="0.25">
      <c r="A123" s="293"/>
      <c r="B123" s="535" t="s">
        <v>1259</v>
      </c>
      <c r="C123" s="293"/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1:22" x14ac:dyDescent="0.25">
      <c r="A124" s="293"/>
      <c r="B124" s="535" t="s">
        <v>1259</v>
      </c>
      <c r="C124" s="293"/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1:22" x14ac:dyDescent="0.25">
      <c r="A125" s="293"/>
      <c r="B125" s="535" t="s">
        <v>1259</v>
      </c>
      <c r="C125" s="293"/>
      <c r="F125" s="76" t="s">
        <v>44</v>
      </c>
      <c r="G125" s="76" t="s">
        <v>107</v>
      </c>
      <c r="H125" s="92"/>
      <c r="I125" s="92"/>
      <c r="J125" s="233">
        <f t="shared" ref="J125:J132" si="5">CHOOSE(year_selection, L125,M125,N125,O125,P125,Q125,R125,S125)</f>
        <v>182180488.50875437</v>
      </c>
      <c r="K125" s="247"/>
      <c r="L125" s="329">
        <v>166969415.97265652</v>
      </c>
      <c r="M125" s="329">
        <v>171855644.70095333</v>
      </c>
      <c r="N125" s="329">
        <v>176579243.66605631</v>
      </c>
      <c r="O125" s="329">
        <v>182180488.50875437</v>
      </c>
      <c r="P125" s="329">
        <v>182180488.50875437</v>
      </c>
      <c r="Q125" s="329">
        <v>237580333.47454721</v>
      </c>
      <c r="R125" s="329">
        <v>316255909.31913769</v>
      </c>
      <c r="S125" s="329">
        <v>429404886.72135693</v>
      </c>
      <c r="U125" s="90"/>
    </row>
    <row r="126" spans="1:22" x14ac:dyDescent="0.25">
      <c r="A126" s="293"/>
      <c r="B126" s="535" t="s">
        <v>1259</v>
      </c>
      <c r="C126" s="293"/>
      <c r="F126" s="76" t="s">
        <v>45</v>
      </c>
      <c r="G126" s="76" t="s">
        <v>107</v>
      </c>
      <c r="H126" s="92"/>
      <c r="I126" s="92"/>
      <c r="J126" s="233">
        <f t="shared" si="5"/>
        <v>15274381.286093295</v>
      </c>
      <c r="K126" s="247"/>
      <c r="L126" s="329">
        <v>13999054.144374622</v>
      </c>
      <c r="M126" s="329">
        <v>14408725.461308664</v>
      </c>
      <c r="N126" s="329">
        <v>14804761.569380201</v>
      </c>
      <c r="O126" s="329">
        <v>15274381.286093295</v>
      </c>
      <c r="P126" s="329">
        <v>15274381.286093295</v>
      </c>
      <c r="Q126" s="329">
        <v>19919216.537796516</v>
      </c>
      <c r="R126" s="329">
        <v>26515536.227078062</v>
      </c>
      <c r="S126" s="329">
        <v>36002175.752089553</v>
      </c>
      <c r="U126" s="90"/>
    </row>
    <row r="127" spans="1:22" x14ac:dyDescent="0.25">
      <c r="A127" s="293"/>
      <c r="B127" s="535" t="s">
        <v>1259</v>
      </c>
      <c r="C127" s="293"/>
      <c r="F127" s="76" t="s">
        <v>46</v>
      </c>
      <c r="G127" s="76" t="s">
        <v>107</v>
      </c>
      <c r="H127" s="92"/>
      <c r="I127" s="92"/>
      <c r="J127" s="233">
        <f t="shared" si="5"/>
        <v>155931649.61894557</v>
      </c>
      <c r="K127" s="247"/>
      <c r="L127" s="329">
        <v>142912211.30015326</v>
      </c>
      <c r="M127" s="329">
        <v>147094424.84154573</v>
      </c>
      <c r="N127" s="329">
        <v>151137440.56071511</v>
      </c>
      <c r="O127" s="329">
        <v>155931649.61894557</v>
      </c>
      <c r="P127" s="329">
        <v>155931649.61894557</v>
      </c>
      <c r="Q127" s="332">
        <v>159167285.47128004</v>
      </c>
      <c r="R127" s="332">
        <v>162350631.18070564</v>
      </c>
      <c r="S127" s="332">
        <v>165597506.97030094</v>
      </c>
      <c r="U127" s="90"/>
    </row>
    <row r="128" spans="1:22" x14ac:dyDescent="0.25">
      <c r="A128" s="293"/>
      <c r="B128" s="535" t="s">
        <v>1259</v>
      </c>
      <c r="C128" s="293"/>
      <c r="F128" s="76" t="s">
        <v>47</v>
      </c>
      <c r="G128" s="76" t="s">
        <v>107</v>
      </c>
      <c r="H128" s="92"/>
      <c r="I128" s="92"/>
      <c r="J128" s="233">
        <f t="shared" si="5"/>
        <v>25898612.482776646</v>
      </c>
      <c r="K128" s="247"/>
      <c r="L128" s="329">
        <v>23736220.251399599</v>
      </c>
      <c r="M128" s="329">
        <v>24430842.081499089</v>
      </c>
      <c r="N128" s="329">
        <v>25102344.612437621</v>
      </c>
      <c r="O128" s="329">
        <v>25898612.482776646</v>
      </c>
      <c r="P128" s="329">
        <v>25898612.482776646</v>
      </c>
      <c r="Q128" s="329">
        <v>33774204.035524227</v>
      </c>
      <c r="R128" s="329">
        <v>44958652.31172061</v>
      </c>
      <c r="S128" s="329">
        <v>61043807.986455299</v>
      </c>
      <c r="U128" s="90"/>
    </row>
    <row r="129" spans="1:21" x14ac:dyDescent="0.25">
      <c r="A129" s="293"/>
      <c r="B129" s="535" t="s">
        <v>1259</v>
      </c>
      <c r="C129" s="293"/>
      <c r="F129" s="76" t="s">
        <v>51</v>
      </c>
      <c r="G129" s="76" t="s">
        <v>107</v>
      </c>
      <c r="H129" s="92"/>
      <c r="I129" s="92"/>
      <c r="J129" s="233">
        <f t="shared" si="5"/>
        <v>0</v>
      </c>
      <c r="K129" s="247"/>
      <c r="L129" s="329">
        <v>0</v>
      </c>
      <c r="M129" s="329">
        <v>0</v>
      </c>
      <c r="N129" s="329">
        <v>0</v>
      </c>
      <c r="O129" s="329">
        <v>0</v>
      </c>
      <c r="P129" s="329">
        <v>0</v>
      </c>
      <c r="Q129" s="329">
        <v>0</v>
      </c>
      <c r="R129" s="329">
        <v>0</v>
      </c>
      <c r="S129" s="329">
        <v>0</v>
      </c>
      <c r="U129" s="90"/>
    </row>
    <row r="130" spans="1:21" x14ac:dyDescent="0.25">
      <c r="A130" s="293"/>
      <c r="B130" s="535" t="s">
        <v>1259</v>
      </c>
      <c r="C130" s="293"/>
      <c r="F130" s="76" t="s">
        <v>48</v>
      </c>
      <c r="G130" s="76" t="s">
        <v>107</v>
      </c>
      <c r="H130" s="92"/>
      <c r="I130" s="92"/>
      <c r="J130" s="233">
        <f t="shared" si="5"/>
        <v>212562042.37604496</v>
      </c>
      <c r="K130" s="247"/>
      <c r="L130" s="329">
        <v>194814276.56715176</v>
      </c>
      <c r="M130" s="329">
        <v>200515363.25598985</v>
      </c>
      <c r="N130" s="329">
        <v>206026699.02858776</v>
      </c>
      <c r="O130" s="329">
        <v>212562042.37604496</v>
      </c>
      <c r="P130" s="329">
        <v>212562042.37604496</v>
      </c>
      <c r="Q130" s="329">
        <v>277200710.81763995</v>
      </c>
      <c r="R130" s="329">
        <v>368996716.10628515</v>
      </c>
      <c r="S130" s="329">
        <v>501015122.28275633</v>
      </c>
      <c r="U130" s="90"/>
    </row>
    <row r="131" spans="1:21" x14ac:dyDescent="0.25">
      <c r="A131" s="293"/>
      <c r="B131" s="535" t="s">
        <v>1259</v>
      </c>
      <c r="C131" s="293"/>
      <c r="F131" s="76" t="s">
        <v>49</v>
      </c>
      <c r="G131" s="76" t="s">
        <v>107</v>
      </c>
      <c r="H131" s="92"/>
      <c r="I131" s="92"/>
      <c r="J131" s="233">
        <f t="shared" si="5"/>
        <v>83137824.375090584</v>
      </c>
      <c r="K131" s="247"/>
      <c r="L131" s="329">
        <v>76196271.591834649</v>
      </c>
      <c r="M131" s="329">
        <v>78426095.593267947</v>
      </c>
      <c r="N131" s="329">
        <v>80581703.717901006</v>
      </c>
      <c r="O131" s="329">
        <v>83137824.375090584</v>
      </c>
      <c r="P131" s="329">
        <v>83137824.375090584</v>
      </c>
      <c r="Q131" s="329">
        <v>108419470.16973343</v>
      </c>
      <c r="R131" s="329">
        <v>144322964.88927016</v>
      </c>
      <c r="S131" s="329">
        <v>195958350.70082352</v>
      </c>
      <c r="U131" s="90"/>
    </row>
    <row r="132" spans="1:21" x14ac:dyDescent="0.25">
      <c r="A132" s="293"/>
      <c r="B132" s="535" t="s">
        <v>1259</v>
      </c>
      <c r="C132" s="293"/>
      <c r="F132" s="15" t="s">
        <v>50</v>
      </c>
      <c r="G132" s="15" t="s">
        <v>107</v>
      </c>
      <c r="H132" s="93"/>
      <c r="I132" s="93"/>
      <c r="J132" s="235">
        <f t="shared" si="5"/>
        <v>50906912.878207207</v>
      </c>
      <c r="K132" s="248"/>
      <c r="L132" s="330">
        <v>46656464.596299037</v>
      </c>
      <c r="M132" s="330">
        <v>48021829.362913147</v>
      </c>
      <c r="N132" s="330">
        <v>49341750.299323045</v>
      </c>
      <c r="O132" s="330">
        <v>50906912.878207207</v>
      </c>
      <c r="P132" s="330">
        <v>50906912.878207207</v>
      </c>
      <c r="Q132" s="330">
        <v>66387358.145562388</v>
      </c>
      <c r="R132" s="330">
        <v>88371768.868947253</v>
      </c>
      <c r="S132" s="330">
        <v>119989123.62533337</v>
      </c>
      <c r="U132" s="90"/>
    </row>
    <row r="133" spans="1:21" x14ac:dyDescent="0.25">
      <c r="A133" s="293"/>
      <c r="B133" s="293"/>
      <c r="C133" s="293"/>
      <c r="J133" s="432"/>
      <c r="K133" s="432"/>
      <c r="L133" s="432"/>
      <c r="M133" s="432"/>
      <c r="N133" s="432"/>
      <c r="O133" s="432"/>
      <c r="P133" s="432"/>
      <c r="Q133" s="432"/>
      <c r="R133" s="432"/>
      <c r="S133" s="432"/>
    </row>
    <row r="134" spans="1:21" s="195" customFormat="1" x14ac:dyDescent="0.2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3"/>
      <c r="K134" s="433"/>
      <c r="L134" s="433"/>
      <c r="M134" s="433"/>
      <c r="N134" s="433"/>
      <c r="O134" s="433"/>
      <c r="P134" s="433"/>
      <c r="Q134" s="433"/>
      <c r="R134" s="433"/>
      <c r="S134" s="433"/>
      <c r="T134" s="7"/>
      <c r="U134" s="7"/>
    </row>
    <row r="135" spans="1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1:21" x14ac:dyDescent="0.25">
      <c r="C136" s="82" t="s">
        <v>624</v>
      </c>
      <c r="J136" s="432"/>
      <c r="K136" s="432"/>
      <c r="L136" s="432"/>
      <c r="M136" s="432"/>
      <c r="N136" s="432"/>
      <c r="O136" s="432"/>
      <c r="P136" s="432"/>
      <c r="Q136" s="432"/>
      <c r="R136" s="432"/>
      <c r="S136" s="432"/>
    </row>
    <row r="137" spans="1:21" s="195" customFormat="1" x14ac:dyDescent="0.25">
      <c r="D137" s="96"/>
      <c r="I137" s="196"/>
      <c r="J137" s="432"/>
      <c r="K137" s="432"/>
      <c r="L137" s="432"/>
      <c r="M137" s="432"/>
      <c r="N137" s="432"/>
      <c r="O137" s="432"/>
      <c r="P137" s="432"/>
      <c r="Q137" s="432"/>
      <c r="R137" s="432"/>
      <c r="S137" s="432"/>
    </row>
    <row r="138" spans="1:21" x14ac:dyDescent="0.25">
      <c r="E138" s="96" t="s">
        <v>491</v>
      </c>
      <c r="I138" s="92" t="s">
        <v>359</v>
      </c>
      <c r="J138" s="432"/>
      <c r="K138" s="432"/>
      <c r="L138" s="432"/>
      <c r="M138" s="432"/>
      <c r="N138" s="432"/>
      <c r="O138" s="432"/>
      <c r="P138" s="432"/>
      <c r="Q138" s="432"/>
      <c r="R138" s="432"/>
      <c r="S138" s="432"/>
      <c r="U138" s="85" t="s">
        <v>813</v>
      </c>
    </row>
    <row r="139" spans="1:21" x14ac:dyDescent="0.25">
      <c r="F139" s="16" t="s">
        <v>267</v>
      </c>
      <c r="G139" s="16" t="s">
        <v>94</v>
      </c>
      <c r="H139" s="91"/>
      <c r="I139" s="91"/>
      <c r="J139" s="170"/>
      <c r="K139" s="430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1:21" x14ac:dyDescent="0.2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0.69301867698138409</v>
      </c>
      <c r="K140" s="431"/>
      <c r="L140" s="323">
        <v>0.7492788505952106</v>
      </c>
      <c r="M140" s="323">
        <v>0.74322745607666685</v>
      </c>
      <c r="N140" s="323">
        <v>0.64059393798428077</v>
      </c>
      <c r="O140" s="323">
        <v>0.69301867698138409</v>
      </c>
      <c r="P140" s="323">
        <v>0.69301867698138409</v>
      </c>
      <c r="Q140" s="323">
        <v>0.69301867698138409</v>
      </c>
      <c r="R140" s="323">
        <v>0.69301867698138409</v>
      </c>
      <c r="S140" s="323">
        <v>0.69301867698138409</v>
      </c>
      <c r="U140" s="90"/>
    </row>
    <row r="141" spans="1:21" x14ac:dyDescent="0.25">
      <c r="F141" s="76" t="s">
        <v>44</v>
      </c>
      <c r="G141" s="76" t="s">
        <v>94</v>
      </c>
      <c r="H141" s="92"/>
      <c r="I141" s="92"/>
      <c r="J141" s="185">
        <f t="shared" si="6"/>
        <v>0.69301867698138409</v>
      </c>
      <c r="K141" s="431"/>
      <c r="L141" s="323">
        <v>0.7492788505952106</v>
      </c>
      <c r="M141" s="323">
        <v>0.74322745607666685</v>
      </c>
      <c r="N141" s="323">
        <v>0.64059393798428077</v>
      </c>
      <c r="O141" s="323">
        <v>0.69301867698138409</v>
      </c>
      <c r="P141" s="323">
        <v>0.69301867698138409</v>
      </c>
      <c r="Q141" s="323">
        <v>0.69301867698138409</v>
      </c>
      <c r="R141" s="323">
        <v>0.69301867698138409</v>
      </c>
      <c r="S141" s="323">
        <v>0.69301867698138409</v>
      </c>
      <c r="U141" s="90"/>
    </row>
    <row r="142" spans="1:21" x14ac:dyDescent="0.25">
      <c r="F142" s="76" t="s">
        <v>45</v>
      </c>
      <c r="G142" s="76" t="s">
        <v>94</v>
      </c>
      <c r="H142" s="92"/>
      <c r="I142" s="92"/>
      <c r="J142" s="185">
        <f t="shared" si="6"/>
        <v>0.46936285646089426</v>
      </c>
      <c r="K142" s="431"/>
      <c r="L142" s="323">
        <v>0.55353106887114423</v>
      </c>
      <c r="M142" s="323">
        <v>0.53656507709619927</v>
      </c>
      <c r="N142" s="323">
        <v>0.53217910374335931</v>
      </c>
      <c r="O142" s="323">
        <v>0.46936285646089426</v>
      </c>
      <c r="P142" s="323">
        <v>0.46936285646089426</v>
      </c>
      <c r="Q142" s="323">
        <v>0.46936285646089426</v>
      </c>
      <c r="R142" s="323">
        <v>0.46936285646089426</v>
      </c>
      <c r="S142" s="323">
        <v>0.46936285646089426</v>
      </c>
      <c r="U142" s="90"/>
    </row>
    <row r="143" spans="1:21" x14ac:dyDescent="0.25">
      <c r="F143" s="76" t="s">
        <v>46</v>
      </c>
      <c r="G143" s="76" t="s">
        <v>94</v>
      </c>
      <c r="H143" s="92"/>
      <c r="I143" s="92"/>
      <c r="J143" s="185">
        <f t="shared" si="6"/>
        <v>0.46936285646089426</v>
      </c>
      <c r="K143" s="431"/>
      <c r="L143" s="323">
        <v>0.55353106887114423</v>
      </c>
      <c r="M143" s="323">
        <v>0.53656507709619927</v>
      </c>
      <c r="N143" s="323">
        <v>0.53217910374335931</v>
      </c>
      <c r="O143" s="323">
        <v>0.46936285646089426</v>
      </c>
      <c r="P143" s="323">
        <v>0.46936285646089426</v>
      </c>
      <c r="Q143" s="323">
        <v>0.46936285646089426</v>
      </c>
      <c r="R143" s="323">
        <v>0.46936285646089426</v>
      </c>
      <c r="S143" s="323">
        <v>0.46936285646089426</v>
      </c>
      <c r="U143" s="90"/>
    </row>
    <row r="144" spans="1:21" x14ac:dyDescent="0.25">
      <c r="F144" s="76" t="s">
        <v>47</v>
      </c>
      <c r="G144" s="76" t="s">
        <v>94</v>
      </c>
      <c r="H144" s="92"/>
      <c r="I144" s="92"/>
      <c r="J144" s="185">
        <f t="shared" si="6"/>
        <v>0.39588673279375791</v>
      </c>
      <c r="K144" s="431"/>
      <c r="L144" s="323">
        <v>0.49158787489375277</v>
      </c>
      <c r="M144" s="323">
        <v>0.48459560170934557</v>
      </c>
      <c r="N144" s="323">
        <v>0.47753234715150211</v>
      </c>
      <c r="O144" s="323">
        <v>0.39588673279375791</v>
      </c>
      <c r="P144" s="323">
        <v>0.39588673279375791</v>
      </c>
      <c r="Q144" s="323">
        <v>0.39588673279375791</v>
      </c>
      <c r="R144" s="323">
        <v>0.39588673279375791</v>
      </c>
      <c r="S144" s="323">
        <v>0.39588673279375791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31"/>
      <c r="L145" s="323">
        <v>0.49158787489375277</v>
      </c>
      <c r="M145" s="323">
        <v>0.48459560170934557</v>
      </c>
      <c r="N145" s="323">
        <v>0</v>
      </c>
      <c r="O145" s="323">
        <v>0</v>
      </c>
      <c r="P145" s="323">
        <v>0</v>
      </c>
      <c r="Q145" s="323">
        <v>0</v>
      </c>
      <c r="R145" s="323">
        <v>0</v>
      </c>
      <c r="S145" s="323">
        <v>0</v>
      </c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6"/>
        <v>0.39588673279375791</v>
      </c>
      <c r="K146" s="431"/>
      <c r="L146" s="323">
        <v>0.49158787489375277</v>
      </c>
      <c r="M146" s="323">
        <v>0.48459560170934557</v>
      </c>
      <c r="N146" s="323">
        <v>0.47753234715150211</v>
      </c>
      <c r="O146" s="323">
        <v>0.39588673279375791</v>
      </c>
      <c r="P146" s="323">
        <v>0.39588673279375791</v>
      </c>
      <c r="Q146" s="323">
        <v>0.39588673279375791</v>
      </c>
      <c r="R146" s="323">
        <v>0.39588673279375791</v>
      </c>
      <c r="S146" s="323">
        <v>0.39588673279375791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6"/>
        <v>0.39588673279375791</v>
      </c>
      <c r="K147" s="431"/>
      <c r="L147" s="323">
        <v>0.49158787489375277</v>
      </c>
      <c r="M147" s="323">
        <v>0.48459560170934557</v>
      </c>
      <c r="N147" s="323">
        <v>0.47753234715150211</v>
      </c>
      <c r="O147" s="323">
        <v>0.39588673279375791</v>
      </c>
      <c r="P147" s="323">
        <v>0.39588673279375791</v>
      </c>
      <c r="Q147" s="323">
        <v>0.39588673279375791</v>
      </c>
      <c r="R147" s="323">
        <v>0.39588673279375791</v>
      </c>
      <c r="S147" s="323">
        <v>0.39588673279375791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6"/>
        <v>0.39588673279375791</v>
      </c>
      <c r="K148" s="308"/>
      <c r="L148" s="324">
        <v>0.49158787489375277</v>
      </c>
      <c r="M148" s="324">
        <v>0.48459560170934557</v>
      </c>
      <c r="N148" s="324">
        <v>0.47753234715150211</v>
      </c>
      <c r="O148" s="324">
        <v>0.39588673279375791</v>
      </c>
      <c r="P148" s="324">
        <v>0.39588673279375791</v>
      </c>
      <c r="Q148" s="324">
        <v>0.39588673279375791</v>
      </c>
      <c r="R148" s="324">
        <v>0.39588673279375791</v>
      </c>
      <c r="S148" s="324">
        <v>0.39588673279375791</v>
      </c>
      <c r="U148" s="90"/>
    </row>
    <row r="149" spans="5:21" x14ac:dyDescent="0.25">
      <c r="E149" s="96"/>
      <c r="I149" s="92"/>
      <c r="J149" s="432"/>
      <c r="K149" s="432"/>
      <c r="L149" s="432"/>
      <c r="M149" s="432"/>
      <c r="N149" s="432"/>
      <c r="O149" s="432"/>
      <c r="P149" s="432"/>
      <c r="Q149" s="432"/>
      <c r="R149" s="432"/>
      <c r="S149" s="432"/>
    </row>
    <row r="150" spans="5:21" x14ac:dyDescent="0.25">
      <c r="E150" s="96" t="s">
        <v>492</v>
      </c>
      <c r="I150" s="92" t="s">
        <v>359</v>
      </c>
      <c r="J150" s="432"/>
      <c r="K150" s="432"/>
      <c r="L150" s="432"/>
      <c r="M150" s="432"/>
      <c r="N150" s="432"/>
      <c r="O150" s="432"/>
      <c r="P150" s="432"/>
      <c r="Q150" s="432"/>
      <c r="R150" s="432"/>
      <c r="S150" s="432"/>
      <c r="U150" s="85" t="s">
        <v>813</v>
      </c>
    </row>
    <row r="151" spans="5:21" x14ac:dyDescent="0.25">
      <c r="F151" s="16" t="s">
        <v>267</v>
      </c>
      <c r="G151" s="16" t="s">
        <v>94</v>
      </c>
      <c r="H151" s="91"/>
      <c r="I151" s="91"/>
      <c r="J151" s="170"/>
      <c r="K151" s="430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0.26838641252470796</v>
      </c>
      <c r="K152" s="431"/>
      <c r="L152" s="323">
        <v>0.16339537242575755</v>
      </c>
      <c r="M152" s="323">
        <v>0.18322398382254312</v>
      </c>
      <c r="N152" s="323">
        <v>0.29893928908515344</v>
      </c>
      <c r="O152" s="323">
        <v>0.26838641252470796</v>
      </c>
      <c r="P152" s="323">
        <v>0.26838641252470796</v>
      </c>
      <c r="Q152" s="323">
        <v>0.26838641252470796</v>
      </c>
      <c r="R152" s="323">
        <v>0.26838641252470796</v>
      </c>
      <c r="S152" s="323">
        <v>0.26838641252470796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7"/>
        <v>0.26838641252470796</v>
      </c>
      <c r="K153" s="431"/>
      <c r="L153" s="323">
        <v>0.16339537242575755</v>
      </c>
      <c r="M153" s="323">
        <v>0.18322398382254312</v>
      </c>
      <c r="N153" s="323">
        <v>0.29893928908515344</v>
      </c>
      <c r="O153" s="323">
        <v>0.26838641252470796</v>
      </c>
      <c r="P153" s="323">
        <v>0.26838641252470796</v>
      </c>
      <c r="Q153" s="323">
        <v>0.26838641252470796</v>
      </c>
      <c r="R153" s="323">
        <v>0.26838641252470796</v>
      </c>
      <c r="S153" s="323">
        <v>0.26838641252470796</v>
      </c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7"/>
        <v>0.44007220176642542</v>
      </c>
      <c r="K154" s="431"/>
      <c r="L154" s="323">
        <v>0.37561627047902552</v>
      </c>
      <c r="M154" s="323">
        <v>0.38068387406034804</v>
      </c>
      <c r="N154" s="323">
        <v>0.37365644809946624</v>
      </c>
      <c r="O154" s="323">
        <v>0.44007220176642542</v>
      </c>
      <c r="P154" s="323">
        <v>0.44007220176642542</v>
      </c>
      <c r="Q154" s="323">
        <v>0.44007220176642542</v>
      </c>
      <c r="R154" s="323">
        <v>0.44007220176642542</v>
      </c>
      <c r="S154" s="323">
        <v>0.44007220176642542</v>
      </c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7"/>
        <v>0.44007220176642542</v>
      </c>
      <c r="K155" s="431"/>
      <c r="L155" s="323">
        <v>0.37561627047902552</v>
      </c>
      <c r="M155" s="323">
        <v>0.38068387406034804</v>
      </c>
      <c r="N155" s="323">
        <v>0.37365644809946624</v>
      </c>
      <c r="O155" s="323">
        <v>0.44007220176642542</v>
      </c>
      <c r="P155" s="323">
        <v>0.44007220176642542</v>
      </c>
      <c r="Q155" s="323">
        <v>0.44007220176642542</v>
      </c>
      <c r="R155" s="323">
        <v>0.44007220176642542</v>
      </c>
      <c r="S155" s="323">
        <v>0.44007220176642542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7"/>
        <v>0.54104909579910121</v>
      </c>
      <c r="K156" s="431"/>
      <c r="L156" s="323">
        <v>0.46542359872428368</v>
      </c>
      <c r="M156" s="323">
        <v>0.47010538207184549</v>
      </c>
      <c r="N156" s="323">
        <v>0.47784500254209555</v>
      </c>
      <c r="O156" s="323">
        <v>0.54104909579910121</v>
      </c>
      <c r="P156" s="323">
        <v>0.54104909579910121</v>
      </c>
      <c r="Q156" s="323">
        <v>0.54104909579910121</v>
      </c>
      <c r="R156" s="323">
        <v>0.54104909579910121</v>
      </c>
      <c r="S156" s="323">
        <v>0.54104909579910121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31"/>
      <c r="L157" s="323">
        <v>0.46542359872428368</v>
      </c>
      <c r="M157" s="323">
        <v>0.47010538207184549</v>
      </c>
      <c r="N157" s="323">
        <v>0</v>
      </c>
      <c r="O157" s="323">
        <v>0</v>
      </c>
      <c r="P157" s="323">
        <v>0</v>
      </c>
      <c r="Q157" s="323">
        <v>0</v>
      </c>
      <c r="R157" s="323">
        <v>0</v>
      </c>
      <c r="S157" s="323">
        <v>0</v>
      </c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7"/>
        <v>0.54104909579910121</v>
      </c>
      <c r="K158" s="431"/>
      <c r="L158" s="323">
        <v>0.46542359872428368</v>
      </c>
      <c r="M158" s="323">
        <v>0.47010538207184549</v>
      </c>
      <c r="N158" s="323">
        <v>0.47784500254209555</v>
      </c>
      <c r="O158" s="323">
        <v>0.54104909579910121</v>
      </c>
      <c r="P158" s="323">
        <v>0.54104909579910121</v>
      </c>
      <c r="Q158" s="323">
        <v>0.54104909579910121</v>
      </c>
      <c r="R158" s="323">
        <v>0.54104909579910121</v>
      </c>
      <c r="S158" s="323">
        <v>0.54104909579910121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7"/>
        <v>0.54104909579910121</v>
      </c>
      <c r="K159" s="431"/>
      <c r="L159" s="323">
        <v>0.46542359872428368</v>
      </c>
      <c r="M159" s="323">
        <v>0.47010538207184549</v>
      </c>
      <c r="N159" s="323">
        <v>0.47784500254209555</v>
      </c>
      <c r="O159" s="323">
        <v>0.54104909579910121</v>
      </c>
      <c r="P159" s="323">
        <v>0.54104909579910121</v>
      </c>
      <c r="Q159" s="323">
        <v>0.54104909579910121</v>
      </c>
      <c r="R159" s="323">
        <v>0.54104909579910121</v>
      </c>
      <c r="S159" s="323">
        <v>0.54104909579910121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7"/>
        <v>0.54104909579910121</v>
      </c>
      <c r="K160" s="308"/>
      <c r="L160" s="324">
        <v>0.46542359872428368</v>
      </c>
      <c r="M160" s="324">
        <v>0.47010538207184549</v>
      </c>
      <c r="N160" s="324">
        <v>0.47784500254209555</v>
      </c>
      <c r="O160" s="324">
        <v>0.54104909579910121</v>
      </c>
      <c r="P160" s="324">
        <v>0.54104909579910121</v>
      </c>
      <c r="Q160" s="324">
        <v>0.54104909579910121</v>
      </c>
      <c r="R160" s="324">
        <v>0.54104909579910121</v>
      </c>
      <c r="S160" s="324">
        <v>0.54104909579910121</v>
      </c>
      <c r="U160" s="90"/>
    </row>
    <row r="161" spans="5:21" x14ac:dyDescent="0.25">
      <c r="E161" s="96"/>
      <c r="I161" s="92"/>
      <c r="J161" s="432"/>
      <c r="K161" s="432"/>
      <c r="L161" s="432"/>
      <c r="M161" s="432"/>
      <c r="N161" s="432"/>
      <c r="O161" s="432"/>
      <c r="P161" s="432"/>
      <c r="Q161" s="432"/>
      <c r="R161" s="432"/>
      <c r="S161" s="432"/>
    </row>
    <row r="162" spans="5:21" x14ac:dyDescent="0.25">
      <c r="E162" s="96" t="s">
        <v>493</v>
      </c>
      <c r="I162" s="92" t="s">
        <v>359</v>
      </c>
      <c r="J162" s="432"/>
      <c r="K162" s="432"/>
      <c r="L162" s="432"/>
      <c r="M162" s="432"/>
      <c r="N162" s="432"/>
      <c r="O162" s="432"/>
      <c r="P162" s="432"/>
      <c r="Q162" s="432"/>
      <c r="R162" s="432"/>
      <c r="S162" s="432"/>
      <c r="U162" s="85" t="s">
        <v>813</v>
      </c>
    </row>
    <row r="163" spans="5:21" x14ac:dyDescent="0.25">
      <c r="F163" s="16" t="s">
        <v>267</v>
      </c>
      <c r="G163" s="16" t="s">
        <v>94</v>
      </c>
      <c r="H163" s="91"/>
      <c r="I163" s="91"/>
      <c r="J163" s="170"/>
      <c r="K163" s="430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3.859491049390814E-2</v>
      </c>
      <c r="K164" s="431"/>
      <c r="L164" s="323">
        <v>8.7325776979031988E-2</v>
      </c>
      <c r="M164" s="323">
        <v>7.3548560100790042E-2</v>
      </c>
      <c r="N164" s="323">
        <v>6.0466772930565967E-2</v>
      </c>
      <c r="O164" s="323">
        <v>3.859491049390814E-2</v>
      </c>
      <c r="P164" s="323">
        <v>3.859491049390814E-2</v>
      </c>
      <c r="Q164" s="323">
        <v>3.859491049390814E-2</v>
      </c>
      <c r="R164" s="323">
        <v>3.859491049390814E-2</v>
      </c>
      <c r="S164" s="323">
        <v>3.859491049390814E-2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8"/>
        <v>3.859491049390814E-2</v>
      </c>
      <c r="K165" s="431"/>
      <c r="L165" s="323">
        <v>8.7325776979031988E-2</v>
      </c>
      <c r="M165" s="323">
        <v>7.3548560100790042E-2</v>
      </c>
      <c r="N165" s="323">
        <v>6.0466772930565967E-2</v>
      </c>
      <c r="O165" s="323">
        <v>3.859491049390814E-2</v>
      </c>
      <c r="P165" s="323">
        <v>3.859491049390814E-2</v>
      </c>
      <c r="Q165" s="323">
        <v>3.859491049390814E-2</v>
      </c>
      <c r="R165" s="323">
        <v>3.859491049390814E-2</v>
      </c>
      <c r="S165" s="323">
        <v>3.859491049390814E-2</v>
      </c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8"/>
        <v>9.0564941772680582E-2</v>
      </c>
      <c r="K166" s="431"/>
      <c r="L166" s="323">
        <v>7.0852660649830576E-2</v>
      </c>
      <c r="M166" s="323">
        <v>8.2751048843452871E-2</v>
      </c>
      <c r="N166" s="323">
        <v>9.4164448157174549E-2</v>
      </c>
      <c r="O166" s="323">
        <v>9.0564941772680582E-2</v>
      </c>
      <c r="P166" s="323">
        <v>9.0564941772680582E-2</v>
      </c>
      <c r="Q166" s="323">
        <v>9.0564941772680582E-2</v>
      </c>
      <c r="R166" s="323">
        <v>9.0564941772680582E-2</v>
      </c>
      <c r="S166" s="323">
        <v>9.0564941772680582E-2</v>
      </c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8"/>
        <v>9.0564941772680582E-2</v>
      </c>
      <c r="K167" s="431"/>
      <c r="L167" s="323">
        <v>7.0852660649830576E-2</v>
      </c>
      <c r="M167" s="323">
        <v>8.2751048843452871E-2</v>
      </c>
      <c r="N167" s="323">
        <v>9.4164448157174549E-2</v>
      </c>
      <c r="O167" s="323">
        <v>9.0564941772680582E-2</v>
      </c>
      <c r="P167" s="323">
        <v>9.0564941772680582E-2</v>
      </c>
      <c r="Q167" s="323">
        <v>9.0564941772680582E-2</v>
      </c>
      <c r="R167" s="323">
        <v>9.0564941772680582E-2</v>
      </c>
      <c r="S167" s="323">
        <v>9.0564941772680582E-2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8"/>
        <v>6.3064171407140796E-2</v>
      </c>
      <c r="K168" s="431"/>
      <c r="L168" s="323">
        <v>4.2988526381963606E-2</v>
      </c>
      <c r="M168" s="323">
        <v>4.5299016218808948E-2</v>
      </c>
      <c r="N168" s="323">
        <v>4.4622650306402389E-2</v>
      </c>
      <c r="O168" s="323">
        <v>6.3064171407140796E-2</v>
      </c>
      <c r="P168" s="323">
        <v>6.3064171407140796E-2</v>
      </c>
      <c r="Q168" s="323">
        <v>6.3064171407140796E-2</v>
      </c>
      <c r="R168" s="323">
        <v>6.3064171407140796E-2</v>
      </c>
      <c r="S168" s="323">
        <v>6.3064171407140796E-2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31"/>
      <c r="L169" s="323">
        <v>4.2988526381963606E-2</v>
      </c>
      <c r="M169" s="323">
        <v>4.5299016218808948E-2</v>
      </c>
      <c r="N169" s="323">
        <v>0</v>
      </c>
      <c r="O169" s="323">
        <v>0</v>
      </c>
      <c r="P169" s="323">
        <v>0</v>
      </c>
      <c r="Q169" s="323">
        <v>0</v>
      </c>
      <c r="R169" s="323">
        <v>0</v>
      </c>
      <c r="S169" s="323">
        <v>0</v>
      </c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8"/>
        <v>6.3064171407140796E-2</v>
      </c>
      <c r="K170" s="431"/>
      <c r="L170" s="323">
        <v>4.2988526381963606E-2</v>
      </c>
      <c r="M170" s="323">
        <v>4.5299016218808948E-2</v>
      </c>
      <c r="N170" s="323">
        <v>4.4622650306402389E-2</v>
      </c>
      <c r="O170" s="323">
        <v>6.3064171407140796E-2</v>
      </c>
      <c r="P170" s="323">
        <v>6.3064171407140796E-2</v>
      </c>
      <c r="Q170" s="323">
        <v>6.3064171407140796E-2</v>
      </c>
      <c r="R170" s="323">
        <v>6.3064171407140796E-2</v>
      </c>
      <c r="S170" s="323">
        <v>6.3064171407140796E-2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8"/>
        <v>6.3064171407140796E-2</v>
      </c>
      <c r="K171" s="431"/>
      <c r="L171" s="323">
        <v>4.2988526381963606E-2</v>
      </c>
      <c r="M171" s="323">
        <v>4.5299016218808948E-2</v>
      </c>
      <c r="N171" s="323">
        <v>4.4622650306402389E-2</v>
      </c>
      <c r="O171" s="323">
        <v>6.3064171407140796E-2</v>
      </c>
      <c r="P171" s="323">
        <v>6.3064171407140796E-2</v>
      </c>
      <c r="Q171" s="323">
        <v>6.3064171407140796E-2</v>
      </c>
      <c r="R171" s="323">
        <v>6.3064171407140796E-2</v>
      </c>
      <c r="S171" s="323">
        <v>6.3064171407140796E-2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8"/>
        <v>6.3064171407140796E-2</v>
      </c>
      <c r="K172" s="308"/>
      <c r="L172" s="324">
        <v>4.2988526381963606E-2</v>
      </c>
      <c r="M172" s="324">
        <v>4.5299016218808948E-2</v>
      </c>
      <c r="N172" s="324">
        <v>4.4622650306402389E-2</v>
      </c>
      <c r="O172" s="324">
        <v>6.3064171407140796E-2</v>
      </c>
      <c r="P172" s="324">
        <v>6.3064171407140796E-2</v>
      </c>
      <c r="Q172" s="324">
        <v>6.3064171407140796E-2</v>
      </c>
      <c r="R172" s="324">
        <v>6.3064171407140796E-2</v>
      </c>
      <c r="S172" s="324">
        <v>6.3064171407140796E-2</v>
      </c>
      <c r="U172" s="90"/>
    </row>
    <row r="173" spans="5:21" x14ac:dyDescent="0.25">
      <c r="J173" s="432"/>
      <c r="K173" s="432"/>
      <c r="L173" s="432"/>
      <c r="M173" s="432"/>
      <c r="N173" s="432"/>
      <c r="O173" s="432"/>
      <c r="P173" s="432"/>
      <c r="Q173" s="432"/>
      <c r="R173" s="432"/>
      <c r="S173" s="432"/>
    </row>
    <row r="174" spans="5:21" x14ac:dyDescent="0.25">
      <c r="E174" s="96" t="s">
        <v>494</v>
      </c>
      <c r="J174" s="432"/>
      <c r="K174" s="432"/>
      <c r="L174" s="432"/>
      <c r="M174" s="432"/>
      <c r="N174" s="432"/>
      <c r="O174" s="432"/>
      <c r="P174" s="432"/>
      <c r="Q174" s="432"/>
      <c r="R174" s="432"/>
      <c r="S174" s="432"/>
    </row>
    <row r="175" spans="5:21" x14ac:dyDescent="0.25">
      <c r="F175" s="16" t="s">
        <v>267</v>
      </c>
      <c r="G175" s="16" t="s">
        <v>94</v>
      </c>
      <c r="H175" s="91"/>
      <c r="I175" s="91"/>
      <c r="J175" s="170"/>
      <c r="K175" s="430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0.42427867223195098</v>
      </c>
      <c r="K176" s="431"/>
      <c r="L176" s="323">
        <v>0.71202107908842927</v>
      </c>
      <c r="M176" s="323">
        <v>0.57476456243480756</v>
      </c>
      <c r="N176" s="323">
        <v>0.43452525848360851</v>
      </c>
      <c r="O176" s="323">
        <v>0.42427867223195098</v>
      </c>
      <c r="P176" s="323">
        <v>0.42427867223195098</v>
      </c>
      <c r="Q176" s="323">
        <v>0.42427867223195098</v>
      </c>
      <c r="R176" s="323">
        <v>0.42427867223195098</v>
      </c>
      <c r="S176" s="323">
        <v>0.42427867223195098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9"/>
        <v>0.42427867223195098</v>
      </c>
      <c r="K177" s="431"/>
      <c r="L177" s="323">
        <v>0.71202107908842927</v>
      </c>
      <c r="M177" s="323">
        <v>0.57476456243480756</v>
      </c>
      <c r="N177" s="323">
        <v>0.43452525848360851</v>
      </c>
      <c r="O177" s="323">
        <v>0.42427867223195098</v>
      </c>
      <c r="P177" s="323">
        <v>0.42427867223195098</v>
      </c>
      <c r="Q177" s="323">
        <v>0.42427867223195098</v>
      </c>
      <c r="R177" s="323">
        <v>0.42427867223195098</v>
      </c>
      <c r="S177" s="323">
        <v>0.42427867223195098</v>
      </c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9"/>
        <v>0.21935206001107954</v>
      </c>
      <c r="K178" s="431"/>
      <c r="L178" s="323">
        <v>0.36125972053006339</v>
      </c>
      <c r="M178" s="323">
        <v>0.32600301187709063</v>
      </c>
      <c r="N178" s="323">
        <v>0.27632578480793984</v>
      </c>
      <c r="O178" s="323">
        <v>0.21935206001107954</v>
      </c>
      <c r="P178" s="323">
        <v>0.21935206001107954</v>
      </c>
      <c r="Q178" s="323">
        <v>0.21935206001107954</v>
      </c>
      <c r="R178" s="323">
        <v>0.21935206001107954</v>
      </c>
      <c r="S178" s="323">
        <v>0.21935206001107954</v>
      </c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9"/>
        <v>0.21935206001107954</v>
      </c>
      <c r="K179" s="431"/>
      <c r="L179" s="323">
        <v>0.36125972053006339</v>
      </c>
      <c r="M179" s="323">
        <v>0.32600301187709063</v>
      </c>
      <c r="N179" s="323">
        <v>0.27632578480793984</v>
      </c>
      <c r="O179" s="323">
        <v>0.21935206001107954</v>
      </c>
      <c r="P179" s="323">
        <v>0.21935206001107954</v>
      </c>
      <c r="Q179" s="323">
        <v>0.21935206001107954</v>
      </c>
      <c r="R179" s="323">
        <v>0.21935206001107954</v>
      </c>
      <c r="S179" s="323">
        <v>0.21935206001107954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9"/>
        <v>0.23892992067747731</v>
      </c>
      <c r="K180" s="431"/>
      <c r="L180" s="323">
        <v>0.41370685110372868</v>
      </c>
      <c r="M180" s="323">
        <v>0.33980456219508143</v>
      </c>
      <c r="N180" s="323">
        <v>0.32769471232252295</v>
      </c>
      <c r="O180" s="323">
        <v>0.23892992067747731</v>
      </c>
      <c r="P180" s="323">
        <v>0.23892992067747731</v>
      </c>
      <c r="Q180" s="323">
        <v>0.23892992067747731</v>
      </c>
      <c r="R180" s="323">
        <v>0.23892992067747731</v>
      </c>
      <c r="S180" s="323">
        <v>0.23892992067747731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31"/>
      <c r="L181" s="323">
        <v>0.41370685110372868</v>
      </c>
      <c r="M181" s="323">
        <v>0.33980456219508143</v>
      </c>
      <c r="N181" s="323">
        <v>0</v>
      </c>
      <c r="O181" s="323">
        <v>0</v>
      </c>
      <c r="P181" s="323">
        <v>0</v>
      </c>
      <c r="Q181" s="323">
        <v>0</v>
      </c>
      <c r="R181" s="323">
        <v>0</v>
      </c>
      <c r="S181" s="323">
        <v>0</v>
      </c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9"/>
        <v>0.23892992067747731</v>
      </c>
      <c r="K182" s="431"/>
      <c r="L182" s="323">
        <v>0.41370685110372868</v>
      </c>
      <c r="M182" s="323">
        <v>0.33980456219508143</v>
      </c>
      <c r="N182" s="323">
        <v>0.32769471232252295</v>
      </c>
      <c r="O182" s="323">
        <v>0.23892992067747731</v>
      </c>
      <c r="P182" s="323">
        <v>0.23892992067747731</v>
      </c>
      <c r="Q182" s="323">
        <v>0.23892992067747731</v>
      </c>
      <c r="R182" s="323">
        <v>0.23892992067747731</v>
      </c>
      <c r="S182" s="323">
        <v>0.23892992067747731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9"/>
        <v>0.23892992067747731</v>
      </c>
      <c r="K183" s="431"/>
      <c r="L183" s="323">
        <v>0.41370685110372868</v>
      </c>
      <c r="M183" s="323">
        <v>0.33980456219508143</v>
      </c>
      <c r="N183" s="323">
        <v>0.32769471232252295</v>
      </c>
      <c r="O183" s="323">
        <v>0.23892992067747731</v>
      </c>
      <c r="P183" s="323">
        <v>0.23892992067747731</v>
      </c>
      <c r="Q183" s="323">
        <v>0.23892992067747731</v>
      </c>
      <c r="R183" s="323">
        <v>0.23892992067747731</v>
      </c>
      <c r="S183" s="323">
        <v>0.23892992067747731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9"/>
        <v>0.23892992067747731</v>
      </c>
      <c r="K184" s="308"/>
      <c r="L184" s="324">
        <v>0.41370685110372868</v>
      </c>
      <c r="M184" s="324">
        <v>0.33980456219508143</v>
      </c>
      <c r="N184" s="324">
        <v>0.32769471232252295</v>
      </c>
      <c r="O184" s="324">
        <v>0.23892992067747731</v>
      </c>
      <c r="P184" s="324">
        <v>0.23892992067747731</v>
      </c>
      <c r="Q184" s="324">
        <v>0.23892992067747731</v>
      </c>
      <c r="R184" s="324">
        <v>0.23892992067747731</v>
      </c>
      <c r="S184" s="324">
        <v>0.23892992067747731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25">
      <c r="C188" s="82" t="s">
        <v>757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416</v>
      </c>
      <c r="G190" s="60" t="s">
        <v>589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644</v>
      </c>
      <c r="G192" s="60" t="s">
        <v>589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623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267</v>
      </c>
      <c r="G195" s="91" t="s">
        <v>589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589</v>
      </c>
      <c r="H196" s="178">
        <f t="shared" ref="H196:H203" si="10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589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589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589</v>
      </c>
      <c r="H199" s="178">
        <f t="shared" si="10"/>
        <v>0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0</v>
      </c>
      <c r="P199" s="178">
        <f t="shared" si="11"/>
        <v>0</v>
      </c>
      <c r="Q199" s="178">
        <f t="shared" si="11"/>
        <v>0</v>
      </c>
      <c r="R199" s="178">
        <f t="shared" si="11"/>
        <v>0</v>
      </c>
      <c r="S199" s="178">
        <f t="shared" si="11"/>
        <v>0</v>
      </c>
      <c r="U199" s="90"/>
    </row>
    <row r="200" spans="5:21" x14ac:dyDescent="0.25">
      <c r="F200" s="76" t="s">
        <v>47</v>
      </c>
      <c r="G200" s="92" t="s">
        <v>589</v>
      </c>
      <c r="H200" s="178">
        <f t="shared" si="10"/>
        <v>0</v>
      </c>
      <c r="I200" s="92"/>
      <c r="J200" s="66"/>
      <c r="K200" s="66"/>
      <c r="L200" s="101"/>
      <c r="M200" s="101"/>
      <c r="N200" s="101"/>
      <c r="O200" s="178">
        <f t="shared" si="11"/>
        <v>0</v>
      </c>
      <c r="P200" s="178">
        <f t="shared" si="11"/>
        <v>0</v>
      </c>
      <c r="Q200" s="178">
        <f t="shared" si="11"/>
        <v>0</v>
      </c>
      <c r="R200" s="178">
        <f t="shared" si="11"/>
        <v>0</v>
      </c>
      <c r="S200" s="178">
        <f t="shared" si="11"/>
        <v>0</v>
      </c>
      <c r="U200" s="90"/>
    </row>
    <row r="201" spans="5:21" x14ac:dyDescent="0.25">
      <c r="F201" s="85" t="s">
        <v>51</v>
      </c>
      <c r="G201" s="196" t="s">
        <v>589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589</v>
      </c>
      <c r="H202" s="178">
        <f t="shared" si="10"/>
        <v>0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0</v>
      </c>
      <c r="P202" s="178">
        <f t="shared" si="12"/>
        <v>0</v>
      </c>
      <c r="Q202" s="178">
        <f t="shared" si="12"/>
        <v>0</v>
      </c>
      <c r="R202" s="178">
        <f t="shared" si="12"/>
        <v>0</v>
      </c>
      <c r="S202" s="178">
        <f t="shared" si="12"/>
        <v>0</v>
      </c>
      <c r="U202" s="90"/>
    </row>
    <row r="203" spans="5:21" x14ac:dyDescent="0.25">
      <c r="F203" s="76" t="s">
        <v>49</v>
      </c>
      <c r="G203" s="92" t="s">
        <v>589</v>
      </c>
      <c r="H203" s="178">
        <f t="shared" si="10"/>
        <v>0</v>
      </c>
      <c r="I203" s="92"/>
      <c r="J203" s="66"/>
      <c r="K203" s="66"/>
      <c r="L203" s="101"/>
      <c r="M203" s="101"/>
      <c r="N203" s="101"/>
      <c r="O203" s="178">
        <f t="shared" si="12"/>
        <v>0</v>
      </c>
      <c r="P203" s="178">
        <f t="shared" si="12"/>
        <v>0</v>
      </c>
      <c r="Q203" s="178">
        <f t="shared" si="12"/>
        <v>0</v>
      </c>
      <c r="R203" s="178">
        <f t="shared" si="12"/>
        <v>0</v>
      </c>
      <c r="S203" s="178">
        <f t="shared" si="12"/>
        <v>0</v>
      </c>
      <c r="U203" s="90"/>
    </row>
    <row r="204" spans="5:21" x14ac:dyDescent="0.25">
      <c r="F204" s="15" t="s">
        <v>50</v>
      </c>
      <c r="G204" s="93" t="s">
        <v>589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12"/>
        <v>0</v>
      </c>
      <c r="P204" s="179">
        <f t="shared" si="12"/>
        <v>0</v>
      </c>
      <c r="Q204" s="179">
        <f t="shared" si="12"/>
        <v>0</v>
      </c>
      <c r="R204" s="179">
        <f t="shared" si="12"/>
        <v>0</v>
      </c>
      <c r="S204" s="179">
        <f t="shared" si="12"/>
        <v>0</v>
      </c>
      <c r="U204" s="90"/>
    </row>
    <row r="205" spans="5:21" x14ac:dyDescent="0.25">
      <c r="M205" s="293"/>
      <c r="N205" s="293"/>
    </row>
    <row r="206" spans="5:21" s="195" customFormat="1" x14ac:dyDescent="0.25">
      <c r="E206" s="96" t="s">
        <v>622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267</v>
      </c>
      <c r="G207" s="91" t="s">
        <v>589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589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589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25">
      <c r="F210" s="76" t="s">
        <v>45</v>
      </c>
      <c r="G210" s="196" t="s">
        <v>589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25">
      <c r="F211" s="76" t="s">
        <v>46</v>
      </c>
      <c r="G211" s="196" t="s">
        <v>589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589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589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589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589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589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374</v>
      </c>
      <c r="G218" s="60" t="s">
        <v>589</v>
      </c>
      <c r="H218" s="310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formatCells="0" formatColumns="0" formatRows="0" sort="0" autoFilter="0"/>
  <autoFilter ref="B5:S220" xr:uid="{C7DCF7BB-9069-48BF-8133-8C8FD19FF4DC}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P114:S114 L98:S99 L95:S96 L90:S90 L92:S93 L178:S178 L106:S107 L101:S101 L139:S139 L55:S56 L142:S142 L144:S145 L103:S104 L76:S77 L61:S61 L151:S151 L109:S110 L66:S67 L64:S64 L175:S175 L84:S85 L147:S148 L131:P132 L69:S70 L52:S53 L79:S79 L47:S47 L50:S50 L33:S42 L27:S28 L128:P129 L87:S88 L163:S163 P112:S112 L154:S154 L156:S157 L159:S160 L171:S172 L123:S124 L24:S25 L22:S22 L19:S19 L81:S82 L114:N114 L112:N112 L126:S126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5" zoomScaleNormal="85" workbookViewId="0">
      <pane xSplit="9" ySplit="6" topLeftCell="J86" activePane="bottomRight" state="frozen"/>
      <selection pane="topRight"/>
      <selection pane="bottomLeft"/>
      <selection pane="bottomRight" activeCell="L100" sqref="L100:S11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25">
      <c r="A4" s="228" t="str">
        <f>H124 &amp; IF(H124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691</v>
      </c>
      <c r="G10" s="108"/>
    </row>
    <row r="11" spans="1:97" s="293" customFormat="1" x14ac:dyDescent="0.25">
      <c r="C11" s="82" t="s">
        <v>689</v>
      </c>
      <c r="G11" s="108"/>
    </row>
    <row r="12" spans="1:97" s="293" customFormat="1" x14ac:dyDescent="0.25">
      <c r="C12" s="82" t="s">
        <v>782</v>
      </c>
      <c r="G12" s="108"/>
    </row>
    <row r="13" spans="1:97" x14ac:dyDescent="0.25">
      <c r="G13" s="108"/>
    </row>
    <row r="14" spans="1:97" x14ac:dyDescent="0.2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206</v>
      </c>
      <c r="F18" s="96"/>
      <c r="G18" s="108"/>
      <c r="H18" s="130"/>
      <c r="I18" s="85" t="s">
        <v>359</v>
      </c>
      <c r="U18" s="85" t="s">
        <v>814</v>
      </c>
    </row>
    <row r="19" spans="3:21" x14ac:dyDescent="0.25">
      <c r="E19" s="195"/>
      <c r="F19" s="126" t="s">
        <v>87</v>
      </c>
      <c r="G19" s="129" t="s">
        <v>507</v>
      </c>
      <c r="H19" s="129"/>
      <c r="I19" s="129"/>
      <c r="J19" s="254">
        <f>CHOOSE(year_selection, L19,M19,N19,O19,P19,Q19,R19,S19)</f>
        <v>258</v>
      </c>
      <c r="K19" s="255"/>
      <c r="L19" s="331">
        <v>258</v>
      </c>
      <c r="M19" s="331">
        <v>255</v>
      </c>
      <c r="N19" s="331">
        <v>258</v>
      </c>
      <c r="O19" s="331">
        <v>258</v>
      </c>
      <c r="P19" s="331">
        <v>261</v>
      </c>
      <c r="Q19" s="331">
        <v>258</v>
      </c>
      <c r="R19" s="331">
        <v>255</v>
      </c>
      <c r="S19" s="331">
        <v>255</v>
      </c>
      <c r="T19" s="92"/>
      <c r="U19" s="92"/>
    </row>
    <row r="20" spans="3:21" x14ac:dyDescent="0.25">
      <c r="E20" s="195"/>
      <c r="F20" s="124" t="s">
        <v>88</v>
      </c>
      <c r="G20" s="130" t="s">
        <v>507</v>
      </c>
      <c r="H20" s="130"/>
      <c r="I20" s="130"/>
      <c r="J20" s="256">
        <f>CHOOSE(year_selection, L20,M20,N20,O20,P20,Q20,R20,S20)</f>
        <v>3942.5</v>
      </c>
      <c r="K20" s="257"/>
      <c r="L20" s="332">
        <v>3957</v>
      </c>
      <c r="M20" s="332">
        <v>3945.5</v>
      </c>
      <c r="N20" s="332">
        <v>3942.5</v>
      </c>
      <c r="O20" s="332">
        <v>3942.5</v>
      </c>
      <c r="P20" s="332">
        <v>3933</v>
      </c>
      <c r="Q20" s="332">
        <v>3942.5</v>
      </c>
      <c r="R20" s="332">
        <v>3945.5</v>
      </c>
      <c r="S20" s="332">
        <v>3945.5</v>
      </c>
      <c r="T20" s="92"/>
      <c r="U20" s="92"/>
    </row>
    <row r="21" spans="3:21" x14ac:dyDescent="0.25">
      <c r="E21" s="195"/>
      <c r="F21" s="125" t="s">
        <v>86</v>
      </c>
      <c r="G21" s="131" t="s">
        <v>507</v>
      </c>
      <c r="H21" s="131"/>
      <c r="I21" s="131"/>
      <c r="J21" s="258">
        <f>CHOOSE(year_selection, L21,M21,N21,O21,P21,Q21,R21,S21)</f>
        <v>4559.5</v>
      </c>
      <c r="K21" s="259"/>
      <c r="L21" s="333">
        <v>4569</v>
      </c>
      <c r="M21" s="333">
        <v>4559.5</v>
      </c>
      <c r="N21" s="333">
        <v>4559.5</v>
      </c>
      <c r="O21" s="333">
        <v>4559.5</v>
      </c>
      <c r="P21" s="333">
        <v>4590</v>
      </c>
      <c r="Q21" s="333">
        <v>4559.5</v>
      </c>
      <c r="R21" s="333">
        <v>4559.5</v>
      </c>
      <c r="S21" s="333">
        <v>4559.5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2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814</v>
      </c>
    </row>
    <row r="24" spans="3:21" x14ac:dyDescent="0.25">
      <c r="E24" s="195"/>
      <c r="F24" s="91" t="s">
        <v>84</v>
      </c>
      <c r="G24" s="129" t="s">
        <v>507</v>
      </c>
      <c r="H24" s="129"/>
      <c r="I24" s="129"/>
      <c r="J24" s="254">
        <f>CHOOSE(year_selection, L24,M24,N24,O24,P24,Q24,R24,S24)</f>
        <v>783</v>
      </c>
      <c r="K24" s="255"/>
      <c r="L24" s="331">
        <v>786</v>
      </c>
      <c r="M24" s="331">
        <v>783</v>
      </c>
      <c r="N24" s="331">
        <v>783</v>
      </c>
      <c r="O24" s="331">
        <v>783</v>
      </c>
      <c r="P24" s="331">
        <v>780</v>
      </c>
      <c r="Q24" s="331">
        <v>783</v>
      </c>
      <c r="R24" s="331">
        <v>783</v>
      </c>
      <c r="S24" s="331">
        <v>783</v>
      </c>
    </row>
    <row r="25" spans="3:21" x14ac:dyDescent="0.25">
      <c r="E25" s="195"/>
      <c r="F25" s="196" t="s">
        <v>85</v>
      </c>
      <c r="G25" s="130" t="s">
        <v>507</v>
      </c>
      <c r="H25" s="130"/>
      <c r="I25" s="130"/>
      <c r="J25" s="256">
        <f>CHOOSE(year_selection, L25,M25,N25,O25,P25,Q25,R25,S25)</f>
        <v>3417.5</v>
      </c>
      <c r="K25" s="257"/>
      <c r="L25" s="332">
        <v>3429</v>
      </c>
      <c r="M25" s="332">
        <v>3417.5</v>
      </c>
      <c r="N25" s="332">
        <v>3417.5</v>
      </c>
      <c r="O25" s="332">
        <v>3417.5</v>
      </c>
      <c r="P25" s="332">
        <v>3414</v>
      </c>
      <c r="Q25" s="332">
        <v>3417.5</v>
      </c>
      <c r="R25" s="332">
        <v>3417.5</v>
      </c>
      <c r="S25" s="332">
        <v>3417.5</v>
      </c>
    </row>
    <row r="26" spans="3:21" x14ac:dyDescent="0.25">
      <c r="E26" s="195"/>
      <c r="F26" s="93" t="s">
        <v>86</v>
      </c>
      <c r="G26" s="131" t="s">
        <v>507</v>
      </c>
      <c r="H26" s="131"/>
      <c r="I26" s="131"/>
      <c r="J26" s="258">
        <f>CHOOSE(year_selection, L26,M26,N26,O26,P26,Q26,R26,S26)</f>
        <v>4559.5</v>
      </c>
      <c r="K26" s="259"/>
      <c r="L26" s="333">
        <v>4569</v>
      </c>
      <c r="M26" s="333">
        <v>4559.5</v>
      </c>
      <c r="N26" s="333">
        <v>4559.5</v>
      </c>
      <c r="O26" s="333">
        <v>4559.5</v>
      </c>
      <c r="P26" s="333">
        <v>4590</v>
      </c>
      <c r="Q26" s="333">
        <v>4559.5</v>
      </c>
      <c r="R26" s="333">
        <v>4559.5</v>
      </c>
      <c r="S26" s="333">
        <v>4559.5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25">
      <c r="D30" s="82" t="s">
        <v>197</v>
      </c>
      <c r="G30" s="108"/>
    </row>
    <row r="31" spans="3:21" s="293" customFormat="1" x14ac:dyDescent="0.25">
      <c r="G31" s="108"/>
    </row>
    <row r="32" spans="3:21" x14ac:dyDescent="0.2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694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0.37965428939083246</v>
      </c>
      <c r="K33" s="40"/>
      <c r="L33" s="322">
        <v>0.37709059063353234</v>
      </c>
      <c r="M33" s="322">
        <v>0.37935734699932822</v>
      </c>
      <c r="N33" s="322">
        <v>0.38002274557606974</v>
      </c>
      <c r="O33" s="322">
        <v>0.37965428939083246</v>
      </c>
      <c r="P33" s="322">
        <v>0.37965428939083246</v>
      </c>
      <c r="Q33" s="322">
        <v>0.37965428939083246</v>
      </c>
      <c r="R33" s="322">
        <v>0.37965428939083246</v>
      </c>
      <c r="S33" s="322">
        <v>0.37965428939083246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0.54896300131614539</v>
      </c>
      <c r="K34" s="39"/>
      <c r="L34" s="323">
        <v>0.5967465787021935</v>
      </c>
      <c r="M34" s="323">
        <v>0.58482400628482056</v>
      </c>
      <c r="N34" s="323">
        <v>0.55710107807599307</v>
      </c>
      <c r="O34" s="323">
        <v>0.54896300131614539</v>
      </c>
      <c r="P34" s="323">
        <v>0.54896300131614539</v>
      </c>
      <c r="Q34" s="323">
        <v>0.54896300131614539</v>
      </c>
      <c r="R34" s="323">
        <v>0.54896300131614539</v>
      </c>
      <c r="S34" s="323">
        <v>0.54896300131614539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0.27129203207220204</v>
      </c>
      <c r="K35" s="39"/>
      <c r="L35" s="323">
        <v>0.35130474113833676</v>
      </c>
      <c r="M35" s="323">
        <v>0.32960816473192306</v>
      </c>
      <c r="N35" s="323">
        <v>0.28402147020999663</v>
      </c>
      <c r="O35" s="323">
        <v>0.27129203207220204</v>
      </c>
      <c r="P35" s="323">
        <v>0.27129203207220204</v>
      </c>
      <c r="Q35" s="323">
        <v>0.27129203207220204</v>
      </c>
      <c r="R35" s="323">
        <v>0.27129203207220204</v>
      </c>
      <c r="S35" s="323">
        <v>0.27129203207220204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0.17674798485106219</v>
      </c>
      <c r="K36" s="36"/>
      <c r="L36" s="324">
        <v>0.26661848199906246</v>
      </c>
      <c r="M36" s="324">
        <v>0.24276818560259777</v>
      </c>
      <c r="N36" s="324">
        <v>0.19097590599842459</v>
      </c>
      <c r="O36" s="324">
        <v>0.17674798485106219</v>
      </c>
      <c r="P36" s="324">
        <v>0.17674798485106219</v>
      </c>
      <c r="Q36" s="324">
        <v>0.17674798485106219</v>
      </c>
      <c r="R36" s="324">
        <v>0.17674798485106219</v>
      </c>
      <c r="S36" s="324">
        <v>0.17674798485106219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25">
      <c r="D40" s="82" t="s">
        <v>783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695</v>
      </c>
    </row>
    <row r="41" spans="3:38" s="195" customFormat="1" x14ac:dyDescent="0.25">
      <c r="D41" s="82" t="s">
        <v>924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6">
        <f t="shared" ref="J43:J48" si="0">CHOOSE(year_selection, L43,M43,N43,O43,P43,Q43,R43,S43)</f>
        <v>310900000</v>
      </c>
      <c r="K43" s="262"/>
      <c r="L43" s="332">
        <v>310900000</v>
      </c>
      <c r="M43" s="332">
        <v>310900000</v>
      </c>
      <c r="N43" s="332">
        <v>310900000</v>
      </c>
      <c r="O43" s="332">
        <v>310900000</v>
      </c>
      <c r="P43" s="332">
        <v>310900000</v>
      </c>
      <c r="Q43" s="332">
        <v>310900000</v>
      </c>
      <c r="R43" s="332">
        <v>310900000</v>
      </c>
      <c r="S43" s="332">
        <v>310900000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6">
        <f t="shared" si="0"/>
        <v>-23000000</v>
      </c>
      <c r="K44" s="262"/>
      <c r="L44" s="332">
        <v>-7766000</v>
      </c>
      <c r="M44" s="332">
        <v>-10200011.061069915</v>
      </c>
      <c r="N44" s="332">
        <v>533025.1711633309</v>
      </c>
      <c r="O44" s="332">
        <v>-23000000</v>
      </c>
      <c r="P44" s="332">
        <v>6000000</v>
      </c>
      <c r="Q44" s="332">
        <v>2100000</v>
      </c>
      <c r="R44" s="332">
        <v>0</v>
      </c>
      <c r="S44" s="332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6">
        <f t="shared" si="0"/>
        <v>-2513814.361501331</v>
      </c>
      <c r="K45" s="262"/>
      <c r="L45" s="332">
        <v>218000</v>
      </c>
      <c r="M45" s="332">
        <v>819865.54050030548</v>
      </c>
      <c r="N45" s="332">
        <v>-2355921.994959096</v>
      </c>
      <c r="O45" s="332">
        <v>-2513814.361501331</v>
      </c>
      <c r="P45" s="332">
        <v>70956.929835610325</v>
      </c>
      <c r="Q45" s="332">
        <v>66253.726940023669</v>
      </c>
      <c r="R45" s="332">
        <v>0</v>
      </c>
      <c r="S45" s="332">
        <v>0</v>
      </c>
    </row>
    <row r="46" spans="3:38" x14ac:dyDescent="0.25">
      <c r="E46" s="93" t="s">
        <v>3</v>
      </c>
      <c r="F46" s="93"/>
      <c r="G46" s="93" t="s">
        <v>428</v>
      </c>
      <c r="H46" s="93"/>
      <c r="I46" s="93"/>
      <c r="J46" s="258">
        <f t="shared" si="0"/>
        <v>1.2769999999999999</v>
      </c>
      <c r="K46" s="263"/>
      <c r="L46" s="333">
        <v>1.196</v>
      </c>
      <c r="M46" s="333">
        <v>1.2370000000000001</v>
      </c>
      <c r="N46" s="333">
        <v>1.2609999999999999</v>
      </c>
      <c r="O46" s="333">
        <v>1.2769999999999999</v>
      </c>
      <c r="P46" s="333">
        <v>1.3040931848370287</v>
      </c>
      <c r="Q46" s="333">
        <v>1.3311535710636557</v>
      </c>
      <c r="R46" s="333">
        <v>1.3577766424849289</v>
      </c>
      <c r="S46" s="333">
        <v>1.384931030959436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6">
        <f t="shared" si="0"/>
        <v>285386185.63849866</v>
      </c>
      <c r="K47" s="262"/>
      <c r="L47" s="264">
        <f t="shared" ref="L47:O47" si="1">SUM(L43:L45)</f>
        <v>303352000</v>
      </c>
      <c r="M47" s="264">
        <f t="shared" si="1"/>
        <v>301519854.47943038</v>
      </c>
      <c r="N47" s="264">
        <f t="shared" si="1"/>
        <v>309077103.1762042</v>
      </c>
      <c r="O47" s="264">
        <f t="shared" si="1"/>
        <v>285386185.63849866</v>
      </c>
      <c r="P47" s="264">
        <f t="shared" ref="P47:S47" si="2">SUM(P43:P45)</f>
        <v>316970956.92983562</v>
      </c>
      <c r="Q47" s="264">
        <f t="shared" si="2"/>
        <v>313066253.72694004</v>
      </c>
      <c r="R47" s="264">
        <f t="shared" si="2"/>
        <v>310900000</v>
      </c>
      <c r="S47" s="264">
        <f t="shared" si="2"/>
        <v>310900000</v>
      </c>
    </row>
    <row r="48" spans="3:38" x14ac:dyDescent="0.25">
      <c r="E48" s="81" t="s">
        <v>438</v>
      </c>
      <c r="F48" s="81"/>
      <c r="G48" s="92" t="s">
        <v>107</v>
      </c>
      <c r="H48" s="92"/>
      <c r="I48" s="92"/>
      <c r="J48" s="256">
        <f t="shared" si="0"/>
        <v>79051973.421864107</v>
      </c>
      <c r="K48" s="262"/>
      <c r="L48" s="264">
        <f t="shared" ref="L48:O48" si="3">L47 * (L46 - 1)</f>
        <v>59456991.999999985</v>
      </c>
      <c r="M48" s="264">
        <f t="shared" si="3"/>
        <v>71460205.511625037</v>
      </c>
      <c r="N48" s="264">
        <f t="shared" si="3"/>
        <v>80669123.928989261</v>
      </c>
      <c r="O48" s="264">
        <f t="shared" si="3"/>
        <v>79051973.421864107</v>
      </c>
      <c r="P48" s="264">
        <f t="shared" ref="P48:S48" si="4">P47 * (P46 - 1)</f>
        <v>96388707.793634385</v>
      </c>
      <c r="Q48" s="264">
        <f t="shared" si="4"/>
        <v>103673007.90119672</v>
      </c>
      <c r="R48" s="264">
        <f t="shared" si="4"/>
        <v>111232758.1485644</v>
      </c>
      <c r="S48" s="264">
        <f t="shared" si="4"/>
        <v>119675057.52528867</v>
      </c>
    </row>
    <row r="49" spans="5:19" x14ac:dyDescent="0.2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5:19" x14ac:dyDescent="0.25">
      <c r="E50" s="196" t="s">
        <v>5</v>
      </c>
      <c r="F50" s="196"/>
      <c r="G50" s="92" t="s">
        <v>107</v>
      </c>
      <c r="H50" s="92"/>
      <c r="I50" s="92"/>
      <c r="J50" s="256">
        <f t="shared" ref="J50:J59" si="5">CHOOSE(year_selection, L50,M50,N50,O50,P50,Q50,R50,S50)</f>
        <v>352247.83535246336</v>
      </c>
      <c r="K50" s="262"/>
      <c r="L50" s="332">
        <v>269000</v>
      </c>
      <c r="M50" s="332">
        <v>194845.94919103882</v>
      </c>
      <c r="N50" s="332">
        <v>362400.22189845564</v>
      </c>
      <c r="O50" s="332">
        <v>352247.83535246336</v>
      </c>
      <c r="P50" s="332">
        <v>352567.74600604567</v>
      </c>
      <c r="Q50" s="332">
        <v>359407.09751375124</v>
      </c>
      <c r="R50" s="332">
        <v>0</v>
      </c>
      <c r="S50" s="332">
        <v>0</v>
      </c>
    </row>
    <row r="51" spans="5:19" x14ac:dyDescent="0.25">
      <c r="E51" s="196" t="s">
        <v>6</v>
      </c>
      <c r="F51" s="196"/>
      <c r="G51" s="92" t="s">
        <v>107</v>
      </c>
      <c r="H51" s="92"/>
      <c r="I51" s="92"/>
      <c r="J51" s="256">
        <f t="shared" si="5"/>
        <v>6808700.5949292379</v>
      </c>
      <c r="K51" s="262"/>
      <c r="L51" s="332">
        <v>6038000</v>
      </c>
      <c r="M51" s="332">
        <v>6631134.1703504445</v>
      </c>
      <c r="N51" s="332">
        <v>6721889.8556509735</v>
      </c>
      <c r="O51" s="332">
        <v>6808700.5949292379</v>
      </c>
      <c r="P51" s="332">
        <v>6965433.2325175498</v>
      </c>
      <c r="Q51" s="332">
        <v>7187484.0399828898</v>
      </c>
      <c r="R51" s="332">
        <v>0</v>
      </c>
      <c r="S51" s="332">
        <v>0</v>
      </c>
    </row>
    <row r="52" spans="5:19" x14ac:dyDescent="0.25">
      <c r="E52" s="196" t="s">
        <v>7</v>
      </c>
      <c r="F52" s="196"/>
      <c r="G52" s="92" t="s">
        <v>107</v>
      </c>
      <c r="H52" s="92"/>
      <c r="I52" s="92"/>
      <c r="J52" s="256">
        <f t="shared" si="5"/>
        <v>394234.72144877579</v>
      </c>
      <c r="K52" s="262"/>
      <c r="L52" s="332">
        <v>-1979000</v>
      </c>
      <c r="M52" s="332">
        <v>-1831935.8336353651</v>
      </c>
      <c r="N52" s="332">
        <v>-121325.85780384066</v>
      </c>
      <c r="O52" s="332">
        <v>394234.72144877579</v>
      </c>
      <c r="P52" s="332">
        <v>-4107852.7609878695</v>
      </c>
      <c r="Q52" s="332">
        <v>-3767124.3106471314</v>
      </c>
      <c r="R52" s="332">
        <v>0</v>
      </c>
      <c r="S52" s="332">
        <v>0</v>
      </c>
    </row>
    <row r="53" spans="5:19" x14ac:dyDescent="0.25">
      <c r="E53" s="196" t="s">
        <v>8</v>
      </c>
      <c r="F53" s="196"/>
      <c r="G53" s="92" t="s">
        <v>107</v>
      </c>
      <c r="H53" s="92"/>
      <c r="I53" s="92"/>
      <c r="J53" s="256">
        <f t="shared" si="5"/>
        <v>1719916.6154441901</v>
      </c>
      <c r="K53" s="262"/>
      <c r="L53" s="332">
        <v>788000</v>
      </c>
      <c r="M53" s="332">
        <v>1174060.8002525589</v>
      </c>
      <c r="N53" s="332">
        <v>1497149.5618575285</v>
      </c>
      <c r="O53" s="332">
        <v>1719916.6154441901</v>
      </c>
      <c r="P53" s="332">
        <v>1835949.8427148622</v>
      </c>
      <c r="Q53" s="332">
        <v>1571019.6148918699</v>
      </c>
      <c r="R53" s="332">
        <v>0</v>
      </c>
      <c r="S53" s="332">
        <v>0</v>
      </c>
    </row>
    <row r="54" spans="5:19" x14ac:dyDescent="0.25">
      <c r="E54" s="196" t="s">
        <v>9</v>
      </c>
      <c r="F54" s="196"/>
      <c r="G54" s="92" t="s">
        <v>107</v>
      </c>
      <c r="H54" s="92"/>
      <c r="I54" s="92"/>
      <c r="J54" s="256">
        <f t="shared" si="5"/>
        <v>0</v>
      </c>
      <c r="K54" s="262"/>
      <c r="L54" s="332">
        <v>64000</v>
      </c>
      <c r="M54" s="332">
        <v>1388934.8613928726</v>
      </c>
      <c r="N54" s="332">
        <v>70277.085039683006</v>
      </c>
      <c r="O54" s="332">
        <v>0</v>
      </c>
      <c r="P54" s="332">
        <v>0</v>
      </c>
      <c r="Q54" s="332">
        <v>0</v>
      </c>
      <c r="R54" s="332">
        <v>0</v>
      </c>
      <c r="S54" s="332">
        <v>0</v>
      </c>
    </row>
    <row r="55" spans="5:19" x14ac:dyDescent="0.25">
      <c r="E55" s="196" t="s">
        <v>10</v>
      </c>
      <c r="F55" s="196"/>
      <c r="G55" s="92" t="s">
        <v>107</v>
      </c>
      <c r="H55" s="92"/>
      <c r="I55" s="92"/>
      <c r="J55" s="256">
        <f t="shared" si="5"/>
        <v>0</v>
      </c>
      <c r="K55" s="262"/>
      <c r="L55" s="332">
        <v>0</v>
      </c>
      <c r="M55" s="332">
        <v>0</v>
      </c>
      <c r="N55" s="332">
        <v>0</v>
      </c>
      <c r="O55" s="332">
        <v>0</v>
      </c>
      <c r="P55" s="332">
        <v>0</v>
      </c>
      <c r="Q55" s="332">
        <v>0</v>
      </c>
      <c r="R55" s="332">
        <v>0</v>
      </c>
      <c r="S55" s="332">
        <v>0</v>
      </c>
    </row>
    <row r="56" spans="5:19" s="293" customFormat="1" x14ac:dyDescent="0.25">
      <c r="E56" s="293" t="s">
        <v>960</v>
      </c>
      <c r="G56" s="293" t="s">
        <v>107</v>
      </c>
      <c r="H56" s="196"/>
      <c r="I56" s="196"/>
      <c r="J56" s="256">
        <f t="shared" si="5"/>
        <v>431905.06499620422</v>
      </c>
      <c r="K56" s="262"/>
      <c r="L56" s="332"/>
      <c r="M56" s="332"/>
      <c r="N56" s="332">
        <v>35542.579269051414</v>
      </c>
      <c r="O56" s="332">
        <v>431905.06499620422</v>
      </c>
      <c r="P56" s="332">
        <v>0</v>
      </c>
      <c r="Q56" s="332">
        <v>0</v>
      </c>
      <c r="R56" s="332">
        <v>0</v>
      </c>
      <c r="S56" s="332">
        <v>0</v>
      </c>
    </row>
    <row r="57" spans="5:19" s="293" customFormat="1" x14ac:dyDescent="0.25">
      <c r="E57" s="293" t="s">
        <v>961</v>
      </c>
      <c r="G57" s="293" t="s">
        <v>107</v>
      </c>
      <c r="H57" s="196"/>
      <c r="I57" s="196"/>
      <c r="J57" s="256">
        <f t="shared" si="5"/>
        <v>380045.24439727812</v>
      </c>
      <c r="K57" s="262"/>
      <c r="L57" s="332"/>
      <c r="M57" s="332"/>
      <c r="N57" s="332">
        <v>1428543.453235823</v>
      </c>
      <c r="O57" s="332">
        <v>380045.24439727812</v>
      </c>
      <c r="P57" s="332">
        <v>0</v>
      </c>
      <c r="Q57" s="332">
        <v>0</v>
      </c>
      <c r="R57" s="332">
        <v>0</v>
      </c>
      <c r="S57" s="332">
        <v>0</v>
      </c>
    </row>
    <row r="58" spans="5:19" x14ac:dyDescent="0.25">
      <c r="E58" s="93" t="s">
        <v>11</v>
      </c>
      <c r="F58" s="93"/>
      <c r="G58" s="93" t="s">
        <v>107</v>
      </c>
      <c r="H58" s="93"/>
      <c r="I58" s="93"/>
      <c r="J58" s="258">
        <f t="shared" si="5"/>
        <v>0</v>
      </c>
      <c r="K58" s="263"/>
      <c r="L58" s="333">
        <v>0</v>
      </c>
      <c r="M58" s="333">
        <v>0</v>
      </c>
      <c r="N58" s="333">
        <v>0</v>
      </c>
      <c r="O58" s="333">
        <v>0</v>
      </c>
      <c r="P58" s="333">
        <v>0</v>
      </c>
      <c r="Q58" s="333">
        <v>0</v>
      </c>
      <c r="R58" s="333">
        <v>0</v>
      </c>
      <c r="S58" s="333">
        <v>0</v>
      </c>
    </row>
    <row r="59" spans="5:19" x14ac:dyDescent="0.25">
      <c r="E59" s="196" t="s">
        <v>12</v>
      </c>
      <c r="F59" s="196"/>
      <c r="G59" s="92" t="s">
        <v>107</v>
      </c>
      <c r="H59" s="92"/>
      <c r="I59" s="92"/>
      <c r="J59" s="256">
        <f t="shared" si="5"/>
        <v>10087050.076568149</v>
      </c>
      <c r="K59" s="262"/>
      <c r="L59" s="304">
        <f t="shared" ref="L59:O59" si="6">SUM(L50:L58)</f>
        <v>5180000</v>
      </c>
      <c r="M59" s="304">
        <f t="shared" si="6"/>
        <v>7557039.9475515485</v>
      </c>
      <c r="N59" s="304">
        <f t="shared" si="6"/>
        <v>9994476.8991476763</v>
      </c>
      <c r="O59" s="304">
        <f t="shared" si="6"/>
        <v>10087050.076568149</v>
      </c>
      <c r="P59" s="304">
        <f t="shared" ref="P59:S59" si="7">SUM(P50:P58)</f>
        <v>5046098.0602505878</v>
      </c>
      <c r="Q59" s="304">
        <f t="shared" si="7"/>
        <v>5350786.441741379</v>
      </c>
      <c r="R59" s="304">
        <f t="shared" si="7"/>
        <v>0</v>
      </c>
      <c r="S59" s="304">
        <f t="shared" si="7"/>
        <v>0</v>
      </c>
    </row>
    <row r="60" spans="5:19" x14ac:dyDescent="0.25">
      <c r="E60" s="196"/>
      <c r="F60" s="196"/>
      <c r="G60" s="92"/>
      <c r="H60" s="92"/>
      <c r="I60" s="92"/>
      <c r="J60" s="265"/>
      <c r="K60" s="262"/>
      <c r="L60" s="262"/>
      <c r="M60" s="262"/>
      <c r="N60" s="262"/>
      <c r="O60" s="262"/>
      <c r="P60" s="262"/>
      <c r="Q60" s="262"/>
      <c r="R60" s="262"/>
      <c r="S60" s="262"/>
    </row>
    <row r="61" spans="5:19" x14ac:dyDescent="0.25">
      <c r="E61" s="196" t="s">
        <v>13</v>
      </c>
      <c r="F61" s="196"/>
      <c r="G61" s="92" t="s">
        <v>107</v>
      </c>
      <c r="H61" s="92"/>
      <c r="I61" s="92"/>
      <c r="J61" s="256">
        <f t="shared" ref="J61:J72" si="8">CHOOSE(year_selection, L61,M61,N61,O61,P61,Q61,R61,S61)</f>
        <v>4107410.8715643194</v>
      </c>
      <c r="K61" s="262"/>
      <c r="L61" s="332">
        <v>3477000</v>
      </c>
      <c r="M61" s="332">
        <v>3834751.718401962</v>
      </c>
      <c r="N61" s="332">
        <v>4163072.2344266209</v>
      </c>
      <c r="O61" s="332">
        <v>4107410.8715643194</v>
      </c>
      <c r="P61" s="332">
        <v>4210094.2066005915</v>
      </c>
      <c r="Q61" s="332">
        <v>4342717.4823745787</v>
      </c>
      <c r="R61" s="332">
        <v>0</v>
      </c>
      <c r="S61" s="332">
        <v>0</v>
      </c>
    </row>
    <row r="62" spans="5:19" x14ac:dyDescent="0.25">
      <c r="E62" s="196" t="s">
        <v>14</v>
      </c>
      <c r="F62" s="196"/>
      <c r="G62" s="92" t="s">
        <v>107</v>
      </c>
      <c r="H62" s="92"/>
      <c r="I62" s="92"/>
      <c r="J62" s="256">
        <f t="shared" si="8"/>
        <v>3526359.1281636665</v>
      </c>
      <c r="K62" s="262"/>
      <c r="L62" s="332">
        <v>4487000</v>
      </c>
      <c r="M62" s="332">
        <v>4629782.8713095766</v>
      </c>
      <c r="N62" s="332">
        <v>4710478.7801506864</v>
      </c>
      <c r="O62" s="332">
        <v>3526359.1281636665</v>
      </c>
      <c r="P62" s="332">
        <v>3080472.5794767695</v>
      </c>
      <c r="Q62" s="332">
        <v>2791328.0950604202</v>
      </c>
      <c r="R62" s="332">
        <v>0</v>
      </c>
      <c r="S62" s="332">
        <v>0</v>
      </c>
    </row>
    <row r="63" spans="5:19" x14ac:dyDescent="0.25">
      <c r="E63" s="196" t="s">
        <v>15</v>
      </c>
      <c r="F63" s="196"/>
      <c r="G63" s="92" t="s">
        <v>107</v>
      </c>
      <c r="H63" s="92"/>
      <c r="I63" s="92"/>
      <c r="J63" s="256">
        <f t="shared" si="8"/>
        <v>0</v>
      </c>
      <c r="K63" s="262"/>
      <c r="L63" s="332">
        <v>0</v>
      </c>
      <c r="M63" s="332">
        <v>0</v>
      </c>
      <c r="N63" s="332">
        <v>0</v>
      </c>
      <c r="O63" s="332">
        <v>0</v>
      </c>
      <c r="P63" s="332">
        <v>0</v>
      </c>
      <c r="Q63" s="332">
        <v>0</v>
      </c>
      <c r="R63" s="332">
        <v>0</v>
      </c>
      <c r="S63" s="332">
        <v>0</v>
      </c>
    </row>
    <row r="64" spans="5:19" x14ac:dyDescent="0.25">
      <c r="E64" s="196" t="s">
        <v>16</v>
      </c>
      <c r="F64" s="196"/>
      <c r="G64" s="92" t="s">
        <v>107</v>
      </c>
      <c r="H64" s="92"/>
      <c r="I64" s="92"/>
      <c r="J64" s="256">
        <f t="shared" si="8"/>
        <v>724837.21262899763</v>
      </c>
      <c r="K64" s="262"/>
      <c r="L64" s="332">
        <v>785000</v>
      </c>
      <c r="M64" s="332">
        <v>348613.79258199653</v>
      </c>
      <c r="N64" s="332">
        <v>713669.52590170642</v>
      </c>
      <c r="O64" s="332">
        <v>724837.21262899763</v>
      </c>
      <c r="P64" s="332">
        <v>742957.8011648102</v>
      </c>
      <c r="Q64" s="332">
        <v>766361.9086543374</v>
      </c>
      <c r="R64" s="332">
        <v>0</v>
      </c>
      <c r="S64" s="332">
        <v>0</v>
      </c>
    </row>
    <row r="65" spans="5:19" x14ac:dyDescent="0.25">
      <c r="E65" s="196" t="s">
        <v>17</v>
      </c>
      <c r="F65" s="196"/>
      <c r="G65" s="92" t="s">
        <v>107</v>
      </c>
      <c r="H65" s="92"/>
      <c r="I65" s="92"/>
      <c r="J65" s="256">
        <f t="shared" si="8"/>
        <v>0</v>
      </c>
      <c r="K65" s="262"/>
      <c r="L65" s="332">
        <v>478000</v>
      </c>
      <c r="M65" s="332">
        <v>0</v>
      </c>
      <c r="N65" s="332">
        <v>735162.99999999988</v>
      </c>
      <c r="O65" s="332">
        <v>0</v>
      </c>
      <c r="P65" s="332">
        <v>0</v>
      </c>
      <c r="Q65" s="332">
        <v>0</v>
      </c>
      <c r="R65" s="332">
        <v>0</v>
      </c>
      <c r="S65" s="332">
        <v>0</v>
      </c>
    </row>
    <row r="66" spans="5:19" x14ac:dyDescent="0.25">
      <c r="E66" s="196" t="s">
        <v>18</v>
      </c>
      <c r="F66" s="196"/>
      <c r="G66" s="92" t="s">
        <v>107</v>
      </c>
      <c r="H66" s="92"/>
      <c r="I66" s="92"/>
      <c r="J66" s="256">
        <f t="shared" si="8"/>
        <v>1360800</v>
      </c>
      <c r="K66" s="262"/>
      <c r="L66" s="332">
        <v>1260000</v>
      </c>
      <c r="M66" s="332">
        <v>1260000</v>
      </c>
      <c r="N66" s="332">
        <v>1364836.5360000003</v>
      </c>
      <c r="O66" s="332">
        <v>1360800</v>
      </c>
      <c r="P66" s="332">
        <v>0</v>
      </c>
      <c r="Q66" s="332">
        <v>0</v>
      </c>
      <c r="R66" s="332">
        <v>0</v>
      </c>
      <c r="S66" s="332">
        <v>0</v>
      </c>
    </row>
    <row r="67" spans="5:19" x14ac:dyDescent="0.25">
      <c r="E67" s="196" t="s">
        <v>19</v>
      </c>
      <c r="F67" s="196"/>
      <c r="G67" s="92" t="s">
        <v>107</v>
      </c>
      <c r="H67" s="92"/>
      <c r="I67" s="92"/>
      <c r="J67" s="256">
        <f t="shared" si="8"/>
        <v>0</v>
      </c>
      <c r="K67" s="262"/>
      <c r="L67" s="332">
        <v>0</v>
      </c>
      <c r="M67" s="332">
        <v>0</v>
      </c>
      <c r="N67" s="332">
        <v>0</v>
      </c>
      <c r="O67" s="332">
        <v>0</v>
      </c>
      <c r="P67" s="332">
        <v>0</v>
      </c>
      <c r="Q67" s="332">
        <v>0</v>
      </c>
      <c r="R67" s="332">
        <v>0</v>
      </c>
      <c r="S67" s="332">
        <v>0</v>
      </c>
    </row>
    <row r="68" spans="5:19" x14ac:dyDescent="0.25">
      <c r="E68" s="196" t="s">
        <v>20</v>
      </c>
      <c r="F68" s="196"/>
      <c r="G68" s="92" t="s">
        <v>107</v>
      </c>
      <c r="H68" s="92"/>
      <c r="I68" s="92"/>
      <c r="J68" s="256">
        <f t="shared" si="8"/>
        <v>0</v>
      </c>
      <c r="K68" s="262"/>
      <c r="L68" s="332">
        <v>0</v>
      </c>
      <c r="M68" s="332">
        <v>0</v>
      </c>
      <c r="N68" s="332">
        <v>0</v>
      </c>
      <c r="O68" s="332">
        <v>0</v>
      </c>
      <c r="P68" s="332">
        <v>0</v>
      </c>
      <c r="Q68" s="332">
        <v>0</v>
      </c>
      <c r="R68" s="332">
        <v>0</v>
      </c>
      <c r="S68" s="332">
        <v>0</v>
      </c>
    </row>
    <row r="69" spans="5:19" x14ac:dyDescent="0.25">
      <c r="E69" s="196" t="s">
        <v>21</v>
      </c>
      <c r="F69" s="196"/>
      <c r="G69" s="92" t="s">
        <v>107</v>
      </c>
      <c r="H69" s="92"/>
      <c r="I69" s="92"/>
      <c r="J69" s="256">
        <f t="shared" si="8"/>
        <v>0</v>
      </c>
      <c r="K69" s="262"/>
      <c r="L69" s="332">
        <v>0</v>
      </c>
      <c r="M69" s="332">
        <v>0</v>
      </c>
      <c r="N69" s="332">
        <v>0</v>
      </c>
      <c r="O69" s="332">
        <v>0</v>
      </c>
      <c r="P69" s="332">
        <v>0</v>
      </c>
      <c r="Q69" s="332">
        <v>0</v>
      </c>
      <c r="R69" s="332">
        <v>0</v>
      </c>
      <c r="S69" s="332">
        <v>0</v>
      </c>
    </row>
    <row r="70" spans="5:19" x14ac:dyDescent="0.25">
      <c r="E70" s="196" t="s">
        <v>22</v>
      </c>
      <c r="F70" s="196"/>
      <c r="G70" s="92" t="s">
        <v>107</v>
      </c>
      <c r="H70" s="92"/>
      <c r="I70" s="92"/>
      <c r="J70" s="256">
        <f t="shared" si="8"/>
        <v>0</v>
      </c>
      <c r="K70" s="262"/>
      <c r="L70" s="332">
        <v>0</v>
      </c>
      <c r="M70" s="332">
        <v>0</v>
      </c>
      <c r="N70" s="332">
        <v>0</v>
      </c>
      <c r="O70" s="332">
        <v>0</v>
      </c>
      <c r="P70" s="332">
        <v>0</v>
      </c>
      <c r="Q70" s="332">
        <v>0</v>
      </c>
      <c r="R70" s="332">
        <v>0</v>
      </c>
      <c r="S70" s="332">
        <v>0</v>
      </c>
    </row>
    <row r="71" spans="5:19" x14ac:dyDescent="0.25">
      <c r="E71" s="93" t="s">
        <v>23</v>
      </c>
      <c r="F71" s="93"/>
      <c r="G71" s="93" t="s">
        <v>107</v>
      </c>
      <c r="H71" s="93"/>
      <c r="I71" s="93"/>
      <c r="J71" s="258">
        <f t="shared" si="8"/>
        <v>0</v>
      </c>
      <c r="K71" s="263"/>
      <c r="L71" s="333">
        <v>0</v>
      </c>
      <c r="M71" s="333">
        <v>0</v>
      </c>
      <c r="N71" s="333">
        <v>0</v>
      </c>
      <c r="O71" s="333">
        <v>0</v>
      </c>
      <c r="P71" s="333">
        <v>0</v>
      </c>
      <c r="Q71" s="333">
        <v>0</v>
      </c>
      <c r="R71" s="333">
        <v>0</v>
      </c>
      <c r="S71" s="333">
        <v>0</v>
      </c>
    </row>
    <row r="72" spans="5:19" x14ac:dyDescent="0.25">
      <c r="E72" s="196" t="s">
        <v>24</v>
      </c>
      <c r="F72" s="196"/>
      <c r="G72" s="92" t="s">
        <v>107</v>
      </c>
      <c r="H72" s="92"/>
      <c r="I72" s="92"/>
      <c r="J72" s="256">
        <f t="shared" si="8"/>
        <v>9719407.2123569846</v>
      </c>
      <c r="K72" s="262"/>
      <c r="L72" s="304">
        <f t="shared" ref="L72:O72" si="9">SUM(L61:L71)</f>
        <v>10487000</v>
      </c>
      <c r="M72" s="304">
        <f t="shared" si="9"/>
        <v>10073148.382293535</v>
      </c>
      <c r="N72" s="304">
        <f t="shared" si="9"/>
        <v>11687220.076479014</v>
      </c>
      <c r="O72" s="304">
        <f t="shared" si="9"/>
        <v>9719407.2123569846</v>
      </c>
      <c r="P72" s="304">
        <f t="shared" ref="P72:S72" si="10">SUM(P61:P71)</f>
        <v>8033524.5872421721</v>
      </c>
      <c r="Q72" s="304">
        <f t="shared" si="10"/>
        <v>7900407.4860893367</v>
      </c>
      <c r="R72" s="304">
        <f t="shared" si="10"/>
        <v>0</v>
      </c>
      <c r="S72" s="304">
        <f t="shared" si="10"/>
        <v>0</v>
      </c>
    </row>
    <row r="73" spans="5:19" x14ac:dyDescent="0.25">
      <c r="E73" s="196"/>
      <c r="F73" s="196"/>
      <c r="G73" s="92"/>
      <c r="H73" s="92"/>
      <c r="I73" s="92"/>
      <c r="J73" s="265"/>
      <c r="K73" s="262"/>
      <c r="L73" s="262"/>
      <c r="M73" s="262"/>
      <c r="N73" s="262"/>
      <c r="O73" s="262"/>
      <c r="P73" s="262"/>
      <c r="Q73" s="262"/>
      <c r="R73" s="262"/>
      <c r="S73" s="262"/>
    </row>
    <row r="74" spans="5:19" x14ac:dyDescent="0.25">
      <c r="E74" s="93" t="s">
        <v>25</v>
      </c>
      <c r="F74" s="93"/>
      <c r="G74" s="93" t="s">
        <v>107</v>
      </c>
      <c r="H74" s="93"/>
      <c r="I74" s="93"/>
      <c r="J74" s="258">
        <f>CHOOSE(year_selection, L74,M74,N74,O74,P74,Q74,R74,S74)</f>
        <v>18724950.055402152</v>
      </c>
      <c r="K74" s="263"/>
      <c r="L74" s="333">
        <v>3669000</v>
      </c>
      <c r="M74" s="333">
        <v>9333808.5794630256</v>
      </c>
      <c r="N74" s="333">
        <v>-17629263.193433948</v>
      </c>
      <c r="O74" s="333">
        <v>18724950.055402152</v>
      </c>
      <c r="P74" s="333">
        <v>-5769963.2362822462</v>
      </c>
      <c r="Q74" s="333">
        <v>0</v>
      </c>
      <c r="R74" s="333">
        <v>0</v>
      </c>
      <c r="S74" s="333">
        <v>0</v>
      </c>
    </row>
    <row r="75" spans="5:19" x14ac:dyDescent="0.25">
      <c r="E75" s="196" t="s">
        <v>26</v>
      </c>
      <c r="F75" s="196"/>
      <c r="G75" s="92" t="s">
        <v>107</v>
      </c>
      <c r="H75" s="92"/>
      <c r="I75" s="92"/>
      <c r="J75" s="256">
        <f>CHOOSE(year_selection, L75,M75,N75,O75,P75,Q75,R75,S75)</f>
        <v>402969566.40469003</v>
      </c>
      <c r="K75" s="262"/>
      <c r="L75" s="264">
        <f t="shared" ref="L75:O75" si="11">L74 + L72 + L59 + L48 + L47</f>
        <v>382144992</v>
      </c>
      <c r="M75" s="264">
        <f t="shared" si="11"/>
        <v>399944056.9003635</v>
      </c>
      <c r="N75" s="264">
        <f t="shared" si="11"/>
        <v>393798660.8873862</v>
      </c>
      <c r="O75" s="264">
        <f t="shared" si="11"/>
        <v>402969566.40469003</v>
      </c>
      <c r="P75" s="264">
        <f t="shared" ref="P75:S75" si="12">P74 + P72 + P59 + P48 + P47</f>
        <v>420669324.13468051</v>
      </c>
      <c r="Q75" s="264">
        <f t="shared" si="12"/>
        <v>429990455.55596745</v>
      </c>
      <c r="R75" s="264">
        <f t="shared" si="12"/>
        <v>422132758.1485644</v>
      </c>
      <c r="S75" s="264">
        <f t="shared" si="12"/>
        <v>430575057.5252887</v>
      </c>
    </row>
    <row r="76" spans="5:19" x14ac:dyDescent="0.25">
      <c r="E76" s="196"/>
      <c r="F76" s="196"/>
      <c r="G76" s="92"/>
      <c r="H76" s="92"/>
      <c r="I76" s="92"/>
      <c r="J76" s="265"/>
      <c r="K76" s="262"/>
      <c r="L76" s="262"/>
      <c r="M76" s="262"/>
      <c r="N76" s="262"/>
      <c r="O76" s="262"/>
      <c r="P76" s="262"/>
      <c r="Q76" s="262"/>
      <c r="R76" s="262"/>
      <c r="S76" s="262"/>
    </row>
    <row r="77" spans="5:19" x14ac:dyDescent="0.25">
      <c r="E77" s="196" t="s">
        <v>27</v>
      </c>
      <c r="F77" s="196"/>
      <c r="G77" s="92" t="s">
        <v>107</v>
      </c>
      <c r="H77" s="92"/>
      <c r="I77" s="92"/>
      <c r="J77" s="256">
        <f t="shared" ref="J77:J83" si="13">CHOOSE(year_selection, L77,M77,N77,O77,P77,Q77,R77,S77)</f>
        <v>0</v>
      </c>
      <c r="K77" s="262"/>
      <c r="L77" s="332">
        <v>0</v>
      </c>
      <c r="M77" s="332">
        <v>0</v>
      </c>
      <c r="N77" s="332">
        <v>0</v>
      </c>
      <c r="O77" s="332">
        <v>0</v>
      </c>
      <c r="P77" s="332">
        <v>0</v>
      </c>
      <c r="Q77" s="332">
        <v>0</v>
      </c>
      <c r="R77" s="332">
        <v>0</v>
      </c>
      <c r="S77" s="332">
        <v>0</v>
      </c>
    </row>
    <row r="78" spans="5:19" x14ac:dyDescent="0.25">
      <c r="E78" s="196" t="s">
        <v>28</v>
      </c>
      <c r="F78" s="196"/>
      <c r="G78" s="92" t="s">
        <v>107</v>
      </c>
      <c r="H78" s="92"/>
      <c r="I78" s="92"/>
      <c r="J78" s="256">
        <f t="shared" si="13"/>
        <v>560220.93844053103</v>
      </c>
      <c r="K78" s="262"/>
      <c r="L78" s="332">
        <v>500000</v>
      </c>
      <c r="M78" s="332">
        <v>533092.96507416666</v>
      </c>
      <c r="N78" s="332">
        <v>550076.828243747</v>
      </c>
      <c r="O78" s="332">
        <v>560220.93844053103</v>
      </c>
      <c r="P78" s="332">
        <v>571985.87213667843</v>
      </c>
      <c r="Q78" s="332">
        <v>583854.77751565014</v>
      </c>
      <c r="R78" s="332">
        <v>595531.87306596327</v>
      </c>
      <c r="S78" s="332">
        <v>607442.00859502063</v>
      </c>
    </row>
    <row r="79" spans="5:19" x14ac:dyDescent="0.25">
      <c r="E79" s="196" t="s">
        <v>29</v>
      </c>
      <c r="F79" s="196"/>
      <c r="G79" s="92" t="s">
        <v>107</v>
      </c>
      <c r="H79" s="92"/>
      <c r="I79" s="92"/>
      <c r="J79" s="256">
        <f t="shared" si="13"/>
        <v>0</v>
      </c>
      <c r="K79" s="262"/>
      <c r="L79" s="332">
        <v>0</v>
      </c>
      <c r="M79" s="332">
        <v>0</v>
      </c>
      <c r="N79" s="332">
        <v>0</v>
      </c>
      <c r="O79" s="332">
        <v>0</v>
      </c>
      <c r="P79" s="332">
        <v>0</v>
      </c>
      <c r="Q79" s="332">
        <v>0</v>
      </c>
      <c r="R79" s="332">
        <v>0</v>
      </c>
      <c r="S79" s="332">
        <v>0</v>
      </c>
    </row>
    <row r="80" spans="5:19" x14ac:dyDescent="0.25">
      <c r="E80" s="196" t="s">
        <v>30</v>
      </c>
      <c r="F80" s="196"/>
      <c r="G80" s="92" t="s">
        <v>107</v>
      </c>
      <c r="H80" s="92"/>
      <c r="I80" s="92"/>
      <c r="J80" s="256">
        <f t="shared" si="13"/>
        <v>0</v>
      </c>
      <c r="K80" s="262"/>
      <c r="L80" s="332">
        <v>0</v>
      </c>
      <c r="M80" s="332">
        <v>0</v>
      </c>
      <c r="N80" s="332">
        <v>0</v>
      </c>
      <c r="O80" s="332">
        <v>0</v>
      </c>
      <c r="P80" s="332">
        <v>0</v>
      </c>
      <c r="Q80" s="332">
        <v>0</v>
      </c>
      <c r="R80" s="332">
        <v>0</v>
      </c>
      <c r="S80" s="332">
        <v>0</v>
      </c>
    </row>
    <row r="81" spans="5:19" x14ac:dyDescent="0.25">
      <c r="E81" s="93" t="s">
        <v>31</v>
      </c>
      <c r="F81" s="93"/>
      <c r="G81" s="93" t="s">
        <v>107</v>
      </c>
      <c r="H81" s="93"/>
      <c r="I81" s="93"/>
      <c r="J81" s="258">
        <f t="shared" si="13"/>
        <v>0</v>
      </c>
      <c r="K81" s="263"/>
      <c r="L81" s="333">
        <v>0</v>
      </c>
      <c r="M81" s="333">
        <v>0</v>
      </c>
      <c r="N81" s="333">
        <v>0</v>
      </c>
      <c r="O81" s="333">
        <v>0</v>
      </c>
      <c r="P81" s="333">
        <v>0</v>
      </c>
      <c r="Q81" s="333">
        <v>0</v>
      </c>
      <c r="R81" s="333">
        <v>0</v>
      </c>
      <c r="S81" s="333">
        <v>0</v>
      </c>
    </row>
    <row r="82" spans="5:19" x14ac:dyDescent="0.25">
      <c r="E82" s="196" t="s">
        <v>32</v>
      </c>
      <c r="F82" s="196"/>
      <c r="G82" s="196" t="s">
        <v>107</v>
      </c>
      <c r="H82" s="196"/>
      <c r="I82" s="92"/>
      <c r="J82" s="256">
        <f t="shared" si="13"/>
        <v>560220.93844053103</v>
      </c>
      <c r="K82" s="262"/>
      <c r="L82" s="304">
        <f t="shared" ref="L82:O82" si="14">SUM(L77:L81)</f>
        <v>500000</v>
      </c>
      <c r="M82" s="304">
        <f t="shared" si="14"/>
        <v>533092.96507416666</v>
      </c>
      <c r="N82" s="304">
        <f t="shared" si="14"/>
        <v>550076.828243747</v>
      </c>
      <c r="O82" s="304">
        <f t="shared" si="14"/>
        <v>560220.93844053103</v>
      </c>
      <c r="P82" s="304">
        <f t="shared" ref="P82:S82" si="15">SUM(P77:P81)</f>
        <v>571985.87213667843</v>
      </c>
      <c r="Q82" s="304">
        <f t="shared" si="15"/>
        <v>583854.77751565014</v>
      </c>
      <c r="R82" s="304">
        <f t="shared" si="15"/>
        <v>595531.87306596327</v>
      </c>
      <c r="S82" s="304">
        <f t="shared" si="15"/>
        <v>607442.00859502063</v>
      </c>
    </row>
    <row r="83" spans="5:19" x14ac:dyDescent="0.25">
      <c r="E83" s="91" t="s">
        <v>33</v>
      </c>
      <c r="F83" s="91"/>
      <c r="G83" s="91" t="s">
        <v>107</v>
      </c>
      <c r="H83" s="91"/>
      <c r="I83" s="91"/>
      <c r="J83" s="254">
        <f t="shared" si="13"/>
        <v>403529787.34313053</v>
      </c>
      <c r="K83" s="266"/>
      <c r="L83" s="303">
        <f t="shared" ref="L83:O83" si="16">L75+L82</f>
        <v>382644992</v>
      </c>
      <c r="M83" s="303">
        <f t="shared" si="16"/>
        <v>400477149.86543769</v>
      </c>
      <c r="N83" s="303">
        <f t="shared" si="16"/>
        <v>394348737.71562994</v>
      </c>
      <c r="O83" s="303">
        <f t="shared" si="16"/>
        <v>403529787.34313053</v>
      </c>
      <c r="P83" s="303">
        <f t="shared" ref="P83:S83" si="17">P75+P82</f>
        <v>421241310.00681716</v>
      </c>
      <c r="Q83" s="303">
        <f t="shared" si="17"/>
        <v>430574310.3334831</v>
      </c>
      <c r="R83" s="303">
        <f t="shared" si="17"/>
        <v>422728290.02163035</v>
      </c>
      <c r="S83" s="303">
        <f t="shared" si="17"/>
        <v>431182499.53388375</v>
      </c>
    </row>
    <row r="84" spans="5:19" x14ac:dyDescent="0.25">
      <c r="E84" s="196"/>
      <c r="F84" s="196"/>
      <c r="G84" s="92"/>
      <c r="H84" s="92"/>
      <c r="I84" s="92"/>
      <c r="J84" s="265"/>
      <c r="K84" s="262"/>
      <c r="L84" s="262"/>
      <c r="M84" s="262"/>
      <c r="N84" s="262"/>
      <c r="O84" s="262"/>
      <c r="P84" s="262"/>
      <c r="Q84" s="262"/>
      <c r="R84" s="262"/>
      <c r="S84" s="262"/>
    </row>
    <row r="85" spans="5:19" x14ac:dyDescent="0.25">
      <c r="E85" s="196" t="s">
        <v>34</v>
      </c>
      <c r="F85" s="196"/>
      <c r="G85" s="92" t="s">
        <v>107</v>
      </c>
      <c r="H85" s="92"/>
      <c r="I85" s="92"/>
      <c r="J85" s="256">
        <f t="shared" ref="J85:J90" si="18">CHOOSE(year_selection, L85,M85,N85,O85,P85,Q85,R85,S85)</f>
        <v>31470144.177364249</v>
      </c>
      <c r="K85" s="262"/>
      <c r="L85" s="332">
        <v>33141967.863484729</v>
      </c>
      <c r="M85" s="332">
        <v>32006147.037609816</v>
      </c>
      <c r="N85" s="332">
        <v>32062587.726600684</v>
      </c>
      <c r="O85" s="332">
        <v>31470144.177364249</v>
      </c>
      <c r="P85" s="332">
        <v>0</v>
      </c>
      <c r="Q85" s="332">
        <v>0</v>
      </c>
      <c r="R85" s="332">
        <v>0</v>
      </c>
      <c r="S85" s="332">
        <v>0</v>
      </c>
    </row>
    <row r="86" spans="5:19" x14ac:dyDescent="0.25">
      <c r="E86" s="196" t="s">
        <v>35</v>
      </c>
      <c r="F86" s="196"/>
      <c r="G86" s="92" t="s">
        <v>107</v>
      </c>
      <c r="H86" s="92"/>
      <c r="I86" s="92"/>
      <c r="J86" s="256">
        <f t="shared" si="18"/>
        <v>0</v>
      </c>
      <c r="K86" s="262"/>
      <c r="L86" s="332">
        <v>0</v>
      </c>
      <c r="M86" s="332">
        <v>0</v>
      </c>
      <c r="N86" s="332">
        <v>0</v>
      </c>
      <c r="O86" s="332">
        <v>0</v>
      </c>
      <c r="P86" s="332">
        <v>0</v>
      </c>
      <c r="Q86" s="332">
        <v>0</v>
      </c>
      <c r="R86" s="332">
        <v>0</v>
      </c>
      <c r="S86" s="332">
        <v>0</v>
      </c>
    </row>
    <row r="87" spans="5:19" x14ac:dyDescent="0.25">
      <c r="E87" s="196" t="s">
        <v>36</v>
      </c>
      <c r="F87" s="196"/>
      <c r="G87" s="92" t="s">
        <v>107</v>
      </c>
      <c r="H87" s="92"/>
      <c r="I87" s="92"/>
      <c r="J87" s="256">
        <f t="shared" si="18"/>
        <v>0</v>
      </c>
      <c r="K87" s="262"/>
      <c r="L87" s="332">
        <v>0</v>
      </c>
      <c r="M87" s="332">
        <v>0</v>
      </c>
      <c r="N87" s="332">
        <v>0</v>
      </c>
      <c r="O87" s="332">
        <v>0</v>
      </c>
      <c r="P87" s="332">
        <v>0</v>
      </c>
      <c r="Q87" s="332">
        <v>0</v>
      </c>
      <c r="R87" s="332">
        <v>0</v>
      </c>
      <c r="S87" s="332">
        <v>0</v>
      </c>
    </row>
    <row r="88" spans="5:19" x14ac:dyDescent="0.25">
      <c r="E88" s="93" t="s">
        <v>37</v>
      </c>
      <c r="F88" s="93"/>
      <c r="G88" s="93" t="s">
        <v>107</v>
      </c>
      <c r="H88" s="93"/>
      <c r="I88" s="93"/>
      <c r="J88" s="258">
        <f t="shared" si="18"/>
        <v>0</v>
      </c>
      <c r="K88" s="263"/>
      <c r="L88" s="333">
        <v>0</v>
      </c>
      <c r="M88" s="333">
        <v>0</v>
      </c>
      <c r="N88" s="333">
        <v>0</v>
      </c>
      <c r="O88" s="333">
        <v>0</v>
      </c>
      <c r="P88" s="333">
        <v>0</v>
      </c>
      <c r="Q88" s="333">
        <v>0</v>
      </c>
      <c r="R88" s="333">
        <v>0</v>
      </c>
      <c r="S88" s="333">
        <v>0</v>
      </c>
    </row>
    <row r="89" spans="5:19" x14ac:dyDescent="0.25">
      <c r="E89" s="93" t="s">
        <v>38</v>
      </c>
      <c r="F89" s="93"/>
      <c r="G89" s="93" t="s">
        <v>107</v>
      </c>
      <c r="H89" s="93"/>
      <c r="I89" s="93"/>
      <c r="J89" s="264">
        <f t="shared" si="18"/>
        <v>31470144.177364249</v>
      </c>
      <c r="K89" s="268">
        <f t="shared" ref="K89:O89" si="19">SUM(K85:K88)</f>
        <v>0</v>
      </c>
      <c r="L89" s="268">
        <f t="shared" si="19"/>
        <v>33141967.863484729</v>
      </c>
      <c r="M89" s="268">
        <f t="shared" si="19"/>
        <v>32006147.037609816</v>
      </c>
      <c r="N89" s="268">
        <f t="shared" si="19"/>
        <v>32062587.726600684</v>
      </c>
      <c r="O89" s="268">
        <f t="shared" si="19"/>
        <v>31470144.177364249</v>
      </c>
      <c r="P89" s="268">
        <f t="shared" ref="P89:S89" si="20">SUM(P85:P88)</f>
        <v>0</v>
      </c>
      <c r="Q89" s="268">
        <f t="shared" si="20"/>
        <v>0</v>
      </c>
      <c r="R89" s="268">
        <f t="shared" si="20"/>
        <v>0</v>
      </c>
      <c r="S89" s="268">
        <f t="shared" si="20"/>
        <v>0</v>
      </c>
    </row>
    <row r="90" spans="5:19" x14ac:dyDescent="0.25">
      <c r="E90" s="196" t="s">
        <v>39</v>
      </c>
      <c r="F90" s="196"/>
      <c r="G90" s="196" t="s">
        <v>107</v>
      </c>
      <c r="H90" s="196"/>
      <c r="I90" s="196"/>
      <c r="J90" s="267">
        <f t="shared" si="18"/>
        <v>372059643.1657663</v>
      </c>
      <c r="K90" s="302">
        <f t="shared" ref="K90:O90" si="21">K83-K89</f>
        <v>0</v>
      </c>
      <c r="L90" s="302">
        <f t="shared" si="21"/>
        <v>349503024.13651526</v>
      </c>
      <c r="M90" s="302">
        <f t="shared" si="21"/>
        <v>368471002.82782787</v>
      </c>
      <c r="N90" s="302">
        <f t="shared" si="21"/>
        <v>362286149.98902923</v>
      </c>
      <c r="O90" s="302">
        <f t="shared" si="21"/>
        <v>372059643.1657663</v>
      </c>
      <c r="P90" s="302">
        <f t="shared" ref="P90:S90" si="22">P83-P89</f>
        <v>421241310.00681716</v>
      </c>
      <c r="Q90" s="302">
        <f t="shared" si="22"/>
        <v>430574310.3334831</v>
      </c>
      <c r="R90" s="302">
        <f t="shared" si="22"/>
        <v>422728290.02163035</v>
      </c>
      <c r="S90" s="302">
        <f t="shared" si="22"/>
        <v>431182499.53388375</v>
      </c>
    </row>
    <row r="91" spans="5:19" s="195" customFormat="1" x14ac:dyDescent="0.25">
      <c r="E91" s="91" t="s">
        <v>621</v>
      </c>
      <c r="F91" s="91"/>
      <c r="G91" s="91" t="s">
        <v>107</v>
      </c>
      <c r="H91" s="91"/>
      <c r="I91" s="91"/>
      <c r="J91" s="267">
        <f t="shared" ref="J91" si="23">CHOOSE(year_selection, L91,M91,N91,O91,P91,Q91,R91,S91)</f>
        <v>372059643.1657663</v>
      </c>
      <c r="K91" s="303">
        <f t="shared" ref="K91:O91" si="24">K90</f>
        <v>0</v>
      </c>
      <c r="L91" s="303">
        <f t="shared" si="24"/>
        <v>349503024.13651526</v>
      </c>
      <c r="M91" s="303">
        <f t="shared" si="24"/>
        <v>368471002.82782787</v>
      </c>
      <c r="N91" s="303">
        <f t="shared" si="24"/>
        <v>362286149.98902923</v>
      </c>
      <c r="O91" s="303">
        <f t="shared" si="24"/>
        <v>372059643.1657663</v>
      </c>
      <c r="P91" s="303">
        <f t="shared" ref="P91:S91" si="25">P90</f>
        <v>421241310.00681716</v>
      </c>
      <c r="Q91" s="303">
        <f t="shared" si="25"/>
        <v>430574310.3334831</v>
      </c>
      <c r="R91" s="303">
        <f t="shared" si="25"/>
        <v>422728290.02163035</v>
      </c>
      <c r="S91" s="303">
        <f t="shared" si="25"/>
        <v>431182499.53388375</v>
      </c>
    </row>
    <row r="92" spans="5:19" s="195" customFormat="1" x14ac:dyDescent="0.25">
      <c r="E92" s="196"/>
      <c r="F92" s="196"/>
      <c r="G92" s="196"/>
      <c r="H92" s="196"/>
      <c r="I92" s="196"/>
      <c r="J92" s="264"/>
      <c r="K92" s="262"/>
      <c r="L92" s="262"/>
      <c r="M92" s="262"/>
      <c r="N92" s="262"/>
      <c r="O92" s="262"/>
      <c r="P92" s="262"/>
      <c r="Q92" s="262"/>
      <c r="R92" s="262"/>
      <c r="S92" s="262"/>
    </row>
    <row r="93" spans="5:19" s="195" customFormat="1" x14ac:dyDescent="0.25">
      <c r="E93" s="196" t="s">
        <v>617</v>
      </c>
      <c r="F93" s="196"/>
      <c r="G93" s="196" t="s">
        <v>107</v>
      </c>
      <c r="H93" s="196"/>
      <c r="I93" s="196"/>
      <c r="J93" s="538">
        <f>CHOOSE(year_selection, L93,M93,N93,O93,P93,Q93,R93,S93)</f>
        <v>403529787.34313053</v>
      </c>
      <c r="K93" s="539">
        <f t="shared" ref="K93:N93" si="26">K83</f>
        <v>0</v>
      </c>
      <c r="L93" s="539">
        <f t="shared" si="26"/>
        <v>382644992</v>
      </c>
      <c r="M93" s="539">
        <f t="shared" si="26"/>
        <v>400477149.86543769</v>
      </c>
      <c r="N93" s="539">
        <f t="shared" si="26"/>
        <v>394348737.71562994</v>
      </c>
      <c r="O93" s="539">
        <f>O83</f>
        <v>403529787.34313053</v>
      </c>
      <c r="P93" s="539">
        <f>P83</f>
        <v>421241310.00681716</v>
      </c>
      <c r="Q93" s="539">
        <f t="shared" ref="Q93:S93" si="27">Q83</f>
        <v>430574310.3334831</v>
      </c>
      <c r="R93" s="539">
        <f t="shared" si="27"/>
        <v>422728290.02163035</v>
      </c>
      <c r="S93" s="539">
        <f t="shared" si="27"/>
        <v>431182499.53388375</v>
      </c>
    </row>
    <row r="94" spans="5:19" s="195" customFormat="1" x14ac:dyDescent="0.25">
      <c r="E94" s="91" t="s">
        <v>620</v>
      </c>
      <c r="F94" s="91"/>
      <c r="G94" s="91" t="s">
        <v>107</v>
      </c>
      <c r="H94" s="91"/>
      <c r="I94" s="91"/>
      <c r="J94" s="267">
        <f>CHOOSE(year_selection, L94,M94,N94,O94,P94,Q94,R94,S94)</f>
        <v>0</v>
      </c>
      <c r="K94" s="266"/>
      <c r="L94" s="300">
        <f t="shared" ref="L94:O94" si="28">L93 - L82 - L75 + L86</f>
        <v>0</v>
      </c>
      <c r="M94" s="300">
        <f t="shared" si="28"/>
        <v>0</v>
      </c>
      <c r="N94" s="300">
        <f t="shared" si="28"/>
        <v>0</v>
      </c>
      <c r="O94" s="300">
        <f t="shared" si="28"/>
        <v>0</v>
      </c>
      <c r="P94" s="300">
        <f t="shared" ref="P94:S94" si="29">P93 - P82 - P75 + P86</f>
        <v>0</v>
      </c>
      <c r="Q94" s="300">
        <f t="shared" si="29"/>
        <v>0</v>
      </c>
      <c r="R94" s="300">
        <f t="shared" si="29"/>
        <v>0</v>
      </c>
      <c r="S94" s="300">
        <f t="shared" si="29"/>
        <v>0</v>
      </c>
    </row>
    <row r="95" spans="5:19" s="195" customFormat="1" x14ac:dyDescent="0.25">
      <c r="E95" s="91" t="s">
        <v>619</v>
      </c>
      <c r="F95" s="91"/>
      <c r="G95" s="91" t="s">
        <v>94</v>
      </c>
      <c r="H95" s="91"/>
      <c r="I95" s="91"/>
      <c r="J95" s="212">
        <f>CHOOSE(year_selection, L95,M95,N95,O95,P95,Q95,R95,S95)</f>
        <v>2.328831057129066E-2</v>
      </c>
      <c r="K95" s="150"/>
      <c r="L95" s="212">
        <f t="shared" ref="L95" si="30">IF( K75 &lt;&gt; 0, L75 / K75 - 1, 0)</f>
        <v>0</v>
      </c>
      <c r="M95" s="212">
        <f t="shared" ref="M95" si="31">IF( L75 &lt;&gt; 0, M75 / L75 - 1, 0)</f>
        <v>4.6576732059760984E-2</v>
      </c>
      <c r="N95" s="212">
        <f t="shared" ref="N95" si="32">IF( M75 &lt;&gt; 0, N75 / M75 - 1, 0)</f>
        <v>-1.5365639036132195E-2</v>
      </c>
      <c r="O95" s="212">
        <f t="shared" ref="O95" si="33">IF( N75 &lt;&gt; 0, O75 / N75 - 1, 0)</f>
        <v>2.328831057129066E-2</v>
      </c>
      <c r="P95" s="212">
        <f t="shared" ref="P95:S95" si="34">IF( O75 &lt;&gt; 0, P75 / O75 - 1, 0)</f>
        <v>4.3923311350552829E-2</v>
      </c>
      <c r="Q95" s="212">
        <f t="shared" si="34"/>
        <v>2.2157858646956408E-2</v>
      </c>
      <c r="R95" s="212">
        <f t="shared" si="34"/>
        <v>-1.8274120520287429E-2</v>
      </c>
      <c r="S95" s="212">
        <f t="shared" si="34"/>
        <v>1.9999157169776183E-2</v>
      </c>
    </row>
    <row r="96" spans="5:19" s="195" customFormat="1" x14ac:dyDescent="0.25">
      <c r="E96" s="91" t="s">
        <v>618</v>
      </c>
      <c r="F96" s="91"/>
      <c r="G96" s="91" t="s">
        <v>94</v>
      </c>
      <c r="H96" s="91"/>
      <c r="I96" s="91"/>
      <c r="J96" s="212">
        <f>CHOOSE(year_selection, L96,M96,N96,O96,P96,Q96,R96,S96)</f>
        <v>2.3281549424208237E-2</v>
      </c>
      <c r="K96" s="150"/>
      <c r="L96" s="212">
        <f t="shared" ref="L96" si="35">IF( K93 &lt;&gt; 0, L93 / K93 - 1, 0)</f>
        <v>0</v>
      </c>
      <c r="M96" s="212">
        <f t="shared" ref="M96" si="36">IF( L93 &lt;&gt; 0, M93 / L93 - 1, 0)</f>
        <v>4.6602355285594976E-2</v>
      </c>
      <c r="N96" s="212">
        <f t="shared" ref="N96" si="37">IF( M93 &lt;&gt; 0, N93 / M93 - 1, 0)</f>
        <v>-1.5302776080650116E-2</v>
      </c>
      <c r="O96" s="212">
        <f t="shared" ref="O96" si="38">IF( N93 &lt;&gt; 0, O93 / N93 - 1, 0)</f>
        <v>2.3281549424208237E-2</v>
      </c>
      <c r="P96" s="212">
        <f t="shared" ref="P96:S96" si="39">IF( O93 &lt;&gt; 0, P93 / O93 - 1, 0)</f>
        <v>4.3891487615574931E-2</v>
      </c>
      <c r="Q96" s="212">
        <f t="shared" si="39"/>
        <v>2.215594744616789E-2</v>
      </c>
      <c r="R96" s="212">
        <f t="shared" si="39"/>
        <v>-1.8222221167296215E-2</v>
      </c>
      <c r="S96" s="212">
        <f t="shared" si="39"/>
        <v>1.9999157169776405E-2</v>
      </c>
    </row>
    <row r="97" spans="2:21" x14ac:dyDescent="0.25">
      <c r="E97" s="195"/>
      <c r="F97" s="195"/>
      <c r="J97" s="152"/>
      <c r="K97" s="195"/>
      <c r="L97" s="293"/>
      <c r="M97" s="293"/>
      <c r="N97" s="293"/>
      <c r="O97" s="195"/>
      <c r="P97" s="293"/>
      <c r="Q97" s="293"/>
      <c r="R97" s="293"/>
      <c r="S97" s="293"/>
    </row>
    <row r="98" spans="2:21" s="195" customFormat="1" x14ac:dyDescent="0.2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2:21" s="195" customFormat="1" x14ac:dyDescent="0.25">
      <c r="G99" s="108"/>
      <c r="L99" s="293"/>
      <c r="M99" s="293"/>
      <c r="N99" s="293"/>
      <c r="P99" s="293"/>
      <c r="Q99" s="293"/>
      <c r="R99" s="293"/>
      <c r="S99" s="293"/>
    </row>
    <row r="100" spans="2:21" x14ac:dyDescent="0.25">
      <c r="E100" s="76" t="s">
        <v>315</v>
      </c>
      <c r="G100" s="196" t="s">
        <v>94</v>
      </c>
      <c r="H100" s="196"/>
      <c r="I100" s="196" t="s">
        <v>359</v>
      </c>
      <c r="J100" s="301">
        <f>CHOOSE(year_selection, L100,M100,N100,O100,P100,Q100,R100,S100)</f>
        <v>3.6499999999999998E-2</v>
      </c>
      <c r="K100" s="196"/>
      <c r="L100" s="334">
        <v>4.02E-2</v>
      </c>
      <c r="M100" s="334">
        <v>3.7900000000000003E-2</v>
      </c>
      <c r="N100" s="334">
        <v>3.6900000000000002E-2</v>
      </c>
      <c r="O100" s="334">
        <v>3.6499999999999998E-2</v>
      </c>
      <c r="P100" s="334">
        <v>3.6499999999999998E-2</v>
      </c>
      <c r="Q100" s="334">
        <v>3.6499999999999998E-2</v>
      </c>
      <c r="R100" s="334">
        <v>3.6499999999999998E-2</v>
      </c>
      <c r="S100" s="334">
        <v>3.6499999999999998E-2</v>
      </c>
      <c r="U100" s="85" t="s">
        <v>697</v>
      </c>
    </row>
    <row r="101" spans="2:21" x14ac:dyDescent="0.25">
      <c r="E101" s="76" t="s">
        <v>41</v>
      </c>
      <c r="G101" s="76" t="s">
        <v>505</v>
      </c>
      <c r="H101" s="76"/>
      <c r="I101" s="76"/>
      <c r="J101" s="153">
        <f>CHOOSE(year_selection, L101,M101,N101,O101,P101,Q101,R101,S101)</f>
        <v>365</v>
      </c>
      <c r="K101" s="76"/>
      <c r="L101" s="315">
        <v>366</v>
      </c>
      <c r="M101" s="315">
        <v>365</v>
      </c>
      <c r="N101" s="315">
        <v>365</v>
      </c>
      <c r="O101" s="315">
        <v>365</v>
      </c>
      <c r="P101" s="315">
        <v>366</v>
      </c>
      <c r="Q101" s="315">
        <v>365</v>
      </c>
      <c r="R101" s="315">
        <v>365</v>
      </c>
      <c r="S101" s="315">
        <v>365</v>
      </c>
    </row>
    <row r="102" spans="2:21" x14ac:dyDescent="0.25">
      <c r="E102" s="195"/>
      <c r="F102" s="195"/>
      <c r="J102" s="152"/>
      <c r="K102" s="195"/>
      <c r="L102" s="293"/>
      <c r="M102" s="293"/>
      <c r="N102" s="293"/>
      <c r="O102" s="195"/>
      <c r="P102" s="293"/>
      <c r="Q102" s="293"/>
      <c r="R102" s="293"/>
      <c r="S102" s="293"/>
    </row>
    <row r="103" spans="2:21" s="195" customFormat="1" x14ac:dyDescent="0.2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2:21" s="195" customFormat="1" x14ac:dyDescent="0.25">
      <c r="G104" s="108"/>
      <c r="L104" s="293"/>
      <c r="M104" s="293"/>
      <c r="N104" s="293"/>
      <c r="P104" s="293"/>
      <c r="Q104" s="293"/>
      <c r="R104" s="293"/>
      <c r="S104" s="293"/>
    </row>
    <row r="105" spans="2:21" x14ac:dyDescent="0.25">
      <c r="B105" s="536" t="s">
        <v>1259</v>
      </c>
      <c r="E105" s="76" t="s">
        <v>117</v>
      </c>
      <c r="G105" s="92" t="s">
        <v>506</v>
      </c>
      <c r="H105" s="92"/>
      <c r="I105" s="85" t="s">
        <v>359</v>
      </c>
      <c r="J105" s="256">
        <f>CHOOSE(year_selection, L105,M105,N105,O105,P105,Q105,R105,S105)</f>
        <v>21592434.721448775</v>
      </c>
      <c r="K105" s="262"/>
      <c r="L105" s="332">
        <v>17754949.081704218</v>
      </c>
      <c r="M105" s="332">
        <v>19197064.166364636</v>
      </c>
      <c r="N105" s="332">
        <v>21063474.14219616</v>
      </c>
      <c r="O105" s="332">
        <v>21592434.721448775</v>
      </c>
      <c r="P105" s="332">
        <v>22050545.78252136</v>
      </c>
      <c r="Q105" s="332">
        <v>22508102.261092726</v>
      </c>
      <c r="R105" s="332">
        <v>22958264.30631458</v>
      </c>
      <c r="S105" s="332">
        <v>23417410.242521826</v>
      </c>
      <c r="U105" s="85" t="s">
        <v>698</v>
      </c>
    </row>
    <row r="106" spans="2:21" x14ac:dyDescent="0.25">
      <c r="B106" s="293"/>
      <c r="E106" s="195"/>
      <c r="F106" s="195"/>
      <c r="J106" s="256"/>
      <c r="K106" s="252"/>
      <c r="L106" s="252"/>
      <c r="M106" s="252"/>
      <c r="N106" s="252"/>
      <c r="O106" s="252"/>
      <c r="P106" s="252"/>
      <c r="Q106" s="252"/>
      <c r="R106" s="252"/>
      <c r="S106" s="252"/>
    </row>
    <row r="107" spans="2:21" s="195" customFormat="1" x14ac:dyDescent="0.25">
      <c r="B107" s="293"/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2"/>
      <c r="K107" s="242"/>
      <c r="L107" s="242"/>
      <c r="M107" s="242"/>
      <c r="N107" s="242"/>
      <c r="O107" s="242"/>
      <c r="P107" s="242"/>
      <c r="Q107" s="242"/>
      <c r="R107" s="242"/>
      <c r="S107" s="242"/>
      <c r="T107" s="7"/>
      <c r="U107" s="7"/>
    </row>
    <row r="108" spans="2:21" s="195" customFormat="1" x14ac:dyDescent="0.25">
      <c r="B108" s="293"/>
      <c r="G108" s="108"/>
      <c r="J108" s="252"/>
      <c r="K108" s="252"/>
      <c r="L108" s="252"/>
      <c r="M108" s="252"/>
      <c r="N108" s="252"/>
      <c r="O108" s="252"/>
      <c r="P108" s="252"/>
      <c r="Q108" s="252"/>
      <c r="R108" s="252"/>
      <c r="S108" s="252"/>
    </row>
    <row r="109" spans="2:21" x14ac:dyDescent="0.25">
      <c r="B109" s="293"/>
      <c r="D109" s="96"/>
      <c r="E109" s="96" t="s">
        <v>79</v>
      </c>
      <c r="F109" s="96"/>
      <c r="I109" s="85" t="s">
        <v>359</v>
      </c>
      <c r="J109" s="256"/>
      <c r="K109" s="252"/>
      <c r="L109" s="252"/>
      <c r="M109" s="252"/>
      <c r="N109" s="252"/>
      <c r="O109" s="252"/>
      <c r="P109" s="252"/>
      <c r="Q109" s="252"/>
      <c r="R109" s="252"/>
      <c r="S109" s="252"/>
      <c r="U109" s="85" t="s">
        <v>699</v>
      </c>
    </row>
    <row r="110" spans="2:21" x14ac:dyDescent="0.25">
      <c r="B110" s="536" t="s">
        <v>1259</v>
      </c>
      <c r="E110" s="195"/>
      <c r="F110" s="16" t="s">
        <v>128</v>
      </c>
      <c r="G110" s="91" t="s">
        <v>506</v>
      </c>
      <c r="H110" s="91"/>
      <c r="I110" s="91"/>
      <c r="J110" s="254">
        <f>CHOOSE(year_selection, L110,M110,N110,O110,P110,Q110,R110,S110)</f>
        <v>29914542.570803028</v>
      </c>
      <c r="K110" s="266"/>
      <c r="L110" s="331">
        <v>25697639.881539505</v>
      </c>
      <c r="M110" s="331">
        <v>26111025.138164353</v>
      </c>
      <c r="N110" s="331">
        <v>27148683.067078464</v>
      </c>
      <c r="O110" s="331">
        <v>29914542.570803028</v>
      </c>
      <c r="P110" s="331">
        <v>30549217.771418482</v>
      </c>
      <c r="Q110" s="331">
        <v>31183124.643586695</v>
      </c>
      <c r="R110" s="331">
        <v>31806787.13645843</v>
      </c>
      <c r="S110" s="331">
        <v>32442896.071466077</v>
      </c>
    </row>
    <row r="111" spans="2:21" x14ac:dyDescent="0.25">
      <c r="B111" s="536" t="s">
        <v>1259</v>
      </c>
      <c r="E111" s="195"/>
      <c r="F111" s="76" t="s">
        <v>129</v>
      </c>
      <c r="G111" s="92" t="s">
        <v>506</v>
      </c>
      <c r="H111" s="92"/>
      <c r="I111" s="92"/>
      <c r="J111" s="256">
        <f>CHOOSE(year_selection, L111,M111,N111,O111,P111,Q111,R111,S111)</f>
        <v>106888436.15186968</v>
      </c>
      <c r="K111" s="262"/>
      <c r="L111" s="332">
        <v>79907134.021677881</v>
      </c>
      <c r="M111" s="332">
        <v>61684476.30993893</v>
      </c>
      <c r="N111" s="332">
        <v>65878403.730445035</v>
      </c>
      <c r="O111" s="332">
        <v>106888436.15186968</v>
      </c>
      <c r="P111" s="332">
        <v>109156210.74670412</v>
      </c>
      <c r="Q111" s="332">
        <v>111421240.00702499</v>
      </c>
      <c r="R111" s="332">
        <v>113649664.80716549</v>
      </c>
      <c r="S111" s="332">
        <v>115922562.31593637</v>
      </c>
    </row>
    <row r="112" spans="2:21" x14ac:dyDescent="0.25">
      <c r="B112" s="536" t="s">
        <v>1259</v>
      </c>
      <c r="E112" s="195"/>
      <c r="F112" s="15" t="s">
        <v>130</v>
      </c>
      <c r="G112" s="93" t="s">
        <v>506</v>
      </c>
      <c r="H112" s="93"/>
      <c r="I112" s="93"/>
      <c r="J112" s="258">
        <f>CHOOSE(year_selection, L112,M112,N112,O112,P112,Q112,R112,S112)</f>
        <v>25325200.594929237</v>
      </c>
      <c r="K112" s="263"/>
      <c r="L112" s="333">
        <v>23380042.811866403</v>
      </c>
      <c r="M112" s="333">
        <v>24567634.170350444</v>
      </c>
      <c r="N112" s="333">
        <v>25006389.855650973</v>
      </c>
      <c r="O112" s="333">
        <v>25325200.594929237</v>
      </c>
      <c r="P112" s="333">
        <v>25862507.048142433</v>
      </c>
      <c r="Q112" s="333">
        <v>26399163.046079464</v>
      </c>
      <c r="R112" s="333">
        <v>26927146.307001054</v>
      </c>
      <c r="S112" s="333">
        <v>27465666.538128328</v>
      </c>
    </row>
    <row r="113" spans="2:22" x14ac:dyDescent="0.25">
      <c r="E113" s="195"/>
      <c r="F113" s="195"/>
      <c r="H113" s="130"/>
      <c r="J113" s="153"/>
    </row>
    <row r="114" spans="2:22" x14ac:dyDescent="0.2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2" x14ac:dyDescent="0.25">
      <c r="E115" s="195"/>
      <c r="F115" s="195"/>
    </row>
    <row r="116" spans="2:22" s="293" customFormat="1" x14ac:dyDescent="0.25">
      <c r="C116" s="82" t="s">
        <v>757</v>
      </c>
      <c r="D116" s="96"/>
    </row>
    <row r="117" spans="2:22" s="293" customFormat="1" x14ac:dyDescent="0.25">
      <c r="D117" s="96"/>
      <c r="E117" s="96"/>
    </row>
    <row r="118" spans="2:22" x14ac:dyDescent="0.25">
      <c r="E118" s="195" t="s">
        <v>416</v>
      </c>
      <c r="F118" s="195"/>
      <c r="G118" s="60" t="s">
        <v>589</v>
      </c>
      <c r="H118" s="178">
        <f t="array" ref="H118">SUM(IF(ISERROR(H15:S113), 1))</f>
        <v>0</v>
      </c>
    </row>
    <row r="119" spans="2:22" x14ac:dyDescent="0.25">
      <c r="E119" s="195"/>
      <c r="F119" s="195"/>
    </row>
    <row r="120" spans="2:22" x14ac:dyDescent="0.25">
      <c r="E120" s="96" t="s">
        <v>784</v>
      </c>
      <c r="F120" s="195"/>
    </row>
    <row r="121" spans="2:22" x14ac:dyDescent="0.25">
      <c r="E121" s="195"/>
      <c r="F121" s="91" t="s">
        <v>441</v>
      </c>
      <c r="G121" s="58" t="s">
        <v>589</v>
      </c>
      <c r="H121" s="177">
        <f>SUM(L121:S121)</f>
        <v>0</v>
      </c>
      <c r="I121" s="91"/>
      <c r="J121" s="91"/>
      <c r="K121" s="91"/>
      <c r="L121" s="106"/>
      <c r="M121" s="177">
        <f t="shared" ref="M121:S121" si="40">IF(SUM(M19:M21) = M$101 * hours_in_day, 0, 1)</f>
        <v>0</v>
      </c>
      <c r="N121" s="177">
        <f t="shared" si="40"/>
        <v>0</v>
      </c>
      <c r="O121" s="177">
        <f t="shared" si="40"/>
        <v>0</v>
      </c>
      <c r="P121" s="177">
        <f>IF(SUM(P19:P21) = P$101 * hours_in_day, 0, 1)</f>
        <v>0</v>
      </c>
      <c r="Q121" s="177">
        <f t="shared" si="40"/>
        <v>0</v>
      </c>
      <c r="R121" s="177">
        <f t="shared" si="40"/>
        <v>0</v>
      </c>
      <c r="S121" s="177">
        <f t="shared" si="40"/>
        <v>0</v>
      </c>
    </row>
    <row r="122" spans="2:22" x14ac:dyDescent="0.25">
      <c r="E122" s="195"/>
      <c r="F122" s="93" t="s">
        <v>442</v>
      </c>
      <c r="G122" s="61" t="s">
        <v>589</v>
      </c>
      <c r="H122" s="179">
        <f>SUM(L122:S122)</f>
        <v>0</v>
      </c>
      <c r="I122" s="93"/>
      <c r="J122" s="93"/>
      <c r="K122" s="93"/>
      <c r="L122" s="102"/>
      <c r="M122" s="179">
        <f t="shared" ref="M122:S122" si="41">IF(SUM(M24:M26) = M$101 * hours_in_day, 0, 1)</f>
        <v>0</v>
      </c>
      <c r="N122" s="179">
        <f t="shared" si="41"/>
        <v>0</v>
      </c>
      <c r="O122" s="179">
        <f t="shared" si="41"/>
        <v>0</v>
      </c>
      <c r="P122" s="179">
        <f t="shared" si="41"/>
        <v>0</v>
      </c>
      <c r="Q122" s="179">
        <f t="shared" si="41"/>
        <v>0</v>
      </c>
      <c r="R122" s="179">
        <f t="shared" si="41"/>
        <v>0</v>
      </c>
      <c r="S122" s="179">
        <f t="shared" si="41"/>
        <v>0</v>
      </c>
    </row>
    <row r="124" spans="2:22" x14ac:dyDescent="0.25">
      <c r="E124" s="195" t="s">
        <v>374</v>
      </c>
      <c r="F124" s="195"/>
      <c r="G124" s="60" t="s">
        <v>589</v>
      </c>
      <c r="H124" s="310">
        <f>SUM(H118, H121:H122)</f>
        <v>0</v>
      </c>
    </row>
    <row r="125" spans="2:22" x14ac:dyDescent="0.25">
      <c r="E125" s="195"/>
      <c r="F125" s="195"/>
    </row>
    <row r="126" spans="2:22" x14ac:dyDescent="0.2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310"/>
    </row>
  </sheetData>
  <sheetProtection formatCells="0" formatColumns="0" formatRows="0" sort="0" autoFilter="0"/>
  <conditionalFormatting sqref="H118">
    <cfRule type="cellIs" dxfId="232" priority="7" operator="greaterThan">
      <formula>0</formula>
    </cfRule>
  </conditionalFormatting>
  <conditionalFormatting sqref="H121:H122">
    <cfRule type="cellIs" dxfId="231" priority="6" operator="greaterThan">
      <formula>0</formula>
    </cfRule>
  </conditionalFormatting>
  <conditionalFormatting sqref="L121:S122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6">
    <cfRule type="cellIs" dxfId="228" priority="2" operator="greaterThan">
      <formula>0</formula>
    </cfRule>
  </conditionalFormatting>
  <conditionalFormatting sqref="H124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>
    <tabColor theme="5" tint="0.59999389629810485"/>
  </sheetPr>
  <dimension ref="A1:AR20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Fixed inputs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H196 &amp; IF(H196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211</v>
      </c>
    </row>
    <row r="11" spans="1:43" x14ac:dyDescent="0.25">
      <c r="B11" s="95" t="s">
        <v>429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2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25">
      <c r="E15" s="14" t="s">
        <v>133</v>
      </c>
      <c r="G15" s="293" t="s">
        <v>210</v>
      </c>
      <c r="H15" s="338">
        <v>24</v>
      </c>
    </row>
    <row r="16" spans="1:43" x14ac:dyDescent="0.25">
      <c r="E16" s="14" t="s">
        <v>281</v>
      </c>
      <c r="G16" s="293" t="s">
        <v>427</v>
      </c>
      <c r="H16" s="338">
        <v>10</v>
      </c>
    </row>
    <row r="17" spans="3:43" x14ac:dyDescent="0.25">
      <c r="E17" s="14" t="s">
        <v>137</v>
      </c>
      <c r="G17" s="293" t="s">
        <v>427</v>
      </c>
      <c r="H17" s="338">
        <v>100</v>
      </c>
    </row>
    <row r="18" spans="3:43" x14ac:dyDescent="0.25">
      <c r="E18" s="14" t="s">
        <v>138</v>
      </c>
      <c r="G18" s="293" t="s">
        <v>427</v>
      </c>
      <c r="H18" s="338">
        <v>1000</v>
      </c>
    </row>
    <row r="20" spans="3:43" x14ac:dyDescent="0.2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25">
      <c r="D22" s="82" t="s">
        <v>701</v>
      </c>
    </row>
    <row r="23" spans="3:43" x14ac:dyDescent="0.25">
      <c r="E23" s="96"/>
    </row>
    <row r="24" spans="3:43" x14ac:dyDescent="0.25">
      <c r="E24" s="96" t="s">
        <v>259</v>
      </c>
      <c r="F24" s="82"/>
      <c r="I24" s="293" t="s">
        <v>359</v>
      </c>
      <c r="AQ24" s="293" t="s">
        <v>700</v>
      </c>
    </row>
    <row r="25" spans="3:43" x14ac:dyDescent="0.25">
      <c r="F25" s="91" t="s">
        <v>134</v>
      </c>
      <c r="G25" s="91" t="s">
        <v>427</v>
      </c>
      <c r="H25" s="335">
        <v>3</v>
      </c>
    </row>
    <row r="26" spans="3:43" x14ac:dyDescent="0.25">
      <c r="F26" s="293" t="s">
        <v>135</v>
      </c>
      <c r="G26" s="293" t="s">
        <v>427</v>
      </c>
      <c r="H26" s="338">
        <v>3</v>
      </c>
    </row>
    <row r="27" spans="3:43" x14ac:dyDescent="0.25">
      <c r="F27" s="293" t="s">
        <v>136</v>
      </c>
      <c r="G27" s="293" t="s">
        <v>427</v>
      </c>
      <c r="H27" s="338">
        <v>3</v>
      </c>
    </row>
    <row r="28" spans="3:43" x14ac:dyDescent="0.25">
      <c r="F28" s="293" t="s">
        <v>254</v>
      </c>
      <c r="G28" s="293" t="s">
        <v>427</v>
      </c>
      <c r="H28" s="338">
        <v>2</v>
      </c>
    </row>
    <row r="29" spans="3:43" x14ac:dyDescent="0.25">
      <c r="F29" s="293" t="s">
        <v>255</v>
      </c>
      <c r="G29" s="293" t="s">
        <v>427</v>
      </c>
      <c r="H29" s="338">
        <v>2</v>
      </c>
    </row>
    <row r="30" spans="3:43" x14ac:dyDescent="0.25">
      <c r="F30" s="293" t="s">
        <v>256</v>
      </c>
      <c r="G30" s="293" t="s">
        <v>427</v>
      </c>
      <c r="H30" s="338">
        <v>2</v>
      </c>
    </row>
    <row r="31" spans="3:43" x14ac:dyDescent="0.25">
      <c r="F31" s="93" t="s">
        <v>257</v>
      </c>
      <c r="G31" s="93" t="s">
        <v>427</v>
      </c>
      <c r="H31" s="336">
        <v>3</v>
      </c>
    </row>
    <row r="33" spans="3:43" x14ac:dyDescent="0.2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25">
      <c r="E35" s="14" t="s">
        <v>95</v>
      </c>
      <c r="G35" s="293" t="s">
        <v>96</v>
      </c>
      <c r="H35" s="338">
        <v>40</v>
      </c>
      <c r="I35" s="293" t="s">
        <v>359</v>
      </c>
      <c r="AQ35" s="88" t="s">
        <v>697</v>
      </c>
    </row>
    <row r="37" spans="3:43" x14ac:dyDescent="0.25">
      <c r="E37" s="14" t="s">
        <v>40</v>
      </c>
      <c r="G37" s="293" t="s">
        <v>94</v>
      </c>
      <c r="H37" s="338">
        <v>0.95</v>
      </c>
      <c r="I37" s="293" t="s">
        <v>359</v>
      </c>
      <c r="AQ37" s="293" t="s">
        <v>815</v>
      </c>
    </row>
    <row r="39" spans="3:43" x14ac:dyDescent="0.25">
      <c r="E39" s="14" t="s">
        <v>78</v>
      </c>
      <c r="G39" s="293" t="s">
        <v>94</v>
      </c>
      <c r="H39" s="368">
        <v>0.6</v>
      </c>
      <c r="I39" s="293" t="s">
        <v>359</v>
      </c>
      <c r="AQ39" s="88" t="s">
        <v>699</v>
      </c>
    </row>
    <row r="41" spans="3:43" x14ac:dyDescent="0.25">
      <c r="E41" s="14" t="s">
        <v>101</v>
      </c>
      <c r="G41" s="14" t="s">
        <v>102</v>
      </c>
      <c r="H41" s="338">
        <v>500</v>
      </c>
      <c r="I41" s="293" t="s">
        <v>359</v>
      </c>
      <c r="AQ41" s="90" t="s">
        <v>702</v>
      </c>
    </row>
    <row r="43" spans="3:43" x14ac:dyDescent="0.2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25">
      <c r="E45" s="96" t="s">
        <v>443</v>
      </c>
    </row>
    <row r="46" spans="3:43" x14ac:dyDescent="0.25">
      <c r="F46" s="16" t="s">
        <v>66</v>
      </c>
      <c r="G46" s="91" t="s">
        <v>132</v>
      </c>
      <c r="H46" s="91"/>
      <c r="I46" s="91"/>
      <c r="J46" s="335">
        <v>1</v>
      </c>
      <c r="K46" s="335">
        <v>1</v>
      </c>
      <c r="L46" s="335">
        <v>1</v>
      </c>
      <c r="M46" s="335">
        <v>1</v>
      </c>
      <c r="N46" s="335">
        <v>1</v>
      </c>
      <c r="O46" s="335">
        <v>0</v>
      </c>
      <c r="P46" s="335">
        <v>0</v>
      </c>
      <c r="Q46" s="335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25">
      <c r="F47" s="14" t="s">
        <v>67</v>
      </c>
      <c r="G47" s="293" t="s">
        <v>132</v>
      </c>
      <c r="J47" s="338">
        <v>1</v>
      </c>
      <c r="K47" s="338">
        <v>1</v>
      </c>
      <c r="L47" s="338">
        <v>1</v>
      </c>
      <c r="M47" s="338">
        <v>1</v>
      </c>
      <c r="N47" s="338">
        <v>1</v>
      </c>
      <c r="O47" s="338">
        <v>0</v>
      </c>
      <c r="P47" s="338">
        <v>0</v>
      </c>
      <c r="Q47" s="338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25">
      <c r="F48" s="14" t="s">
        <v>68</v>
      </c>
      <c r="G48" s="293" t="s">
        <v>132</v>
      </c>
      <c r="J48" s="338">
        <v>0</v>
      </c>
      <c r="K48" s="338">
        <v>0</v>
      </c>
      <c r="L48" s="338">
        <v>0</v>
      </c>
      <c r="M48" s="338">
        <v>0</v>
      </c>
      <c r="N48" s="338">
        <v>0</v>
      </c>
      <c r="O48" s="338">
        <v>1</v>
      </c>
      <c r="P48" s="338">
        <v>0</v>
      </c>
      <c r="Q48" s="338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25">
      <c r="F49" s="15" t="s">
        <v>69</v>
      </c>
      <c r="G49" s="93" t="s">
        <v>132</v>
      </c>
      <c r="H49" s="93"/>
      <c r="I49" s="93"/>
      <c r="J49" s="336">
        <v>0</v>
      </c>
      <c r="K49" s="336">
        <v>0</v>
      </c>
      <c r="L49" s="336">
        <v>0</v>
      </c>
      <c r="M49" s="336">
        <v>0</v>
      </c>
      <c r="N49" s="336">
        <v>0</v>
      </c>
      <c r="O49" s="336">
        <v>0</v>
      </c>
      <c r="P49" s="336">
        <v>1</v>
      </c>
      <c r="Q49" s="336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25">
      <c r="E51" s="96" t="s">
        <v>153</v>
      </c>
      <c r="I51" s="293" t="s">
        <v>359</v>
      </c>
      <c r="AQ51" s="88" t="s">
        <v>703</v>
      </c>
    </row>
    <row r="52" spans="5:43" x14ac:dyDescent="0.25">
      <c r="E52" s="82" t="s">
        <v>191</v>
      </c>
    </row>
    <row r="53" spans="5:43" x14ac:dyDescent="0.25">
      <c r="F53" s="16" t="s">
        <v>83</v>
      </c>
      <c r="G53" s="91" t="s">
        <v>132</v>
      </c>
      <c r="H53" s="94"/>
      <c r="I53" s="94"/>
      <c r="J53" s="335">
        <v>0</v>
      </c>
      <c r="K53" s="335">
        <v>0</v>
      </c>
      <c r="L53" s="335">
        <v>0</v>
      </c>
      <c r="M53" s="335">
        <v>0</v>
      </c>
      <c r="N53" s="335">
        <v>0</v>
      </c>
      <c r="O53" s="335">
        <v>0</v>
      </c>
      <c r="P53" s="335">
        <v>0</v>
      </c>
      <c r="Q53" s="335">
        <v>0</v>
      </c>
      <c r="R53" s="335">
        <v>0</v>
      </c>
      <c r="S53" s="335">
        <v>0</v>
      </c>
      <c r="T53" s="335">
        <v>0</v>
      </c>
      <c r="U53" s="335">
        <v>0</v>
      </c>
      <c r="V53" s="335">
        <v>0</v>
      </c>
      <c r="W53" s="335">
        <v>0</v>
      </c>
      <c r="X53" s="335">
        <v>0</v>
      </c>
      <c r="Y53" s="335">
        <v>0</v>
      </c>
    </row>
    <row r="54" spans="5:43" x14ac:dyDescent="0.25">
      <c r="F54" s="14" t="s">
        <v>82</v>
      </c>
      <c r="G54" s="293" t="s">
        <v>132</v>
      </c>
      <c r="J54" s="338">
        <v>0</v>
      </c>
      <c r="K54" s="338">
        <v>0</v>
      </c>
      <c r="L54" s="338">
        <v>0</v>
      </c>
      <c r="M54" s="338">
        <v>0</v>
      </c>
      <c r="N54" s="338">
        <v>0</v>
      </c>
      <c r="O54" s="338">
        <v>0</v>
      </c>
      <c r="P54" s="338">
        <v>1</v>
      </c>
      <c r="Q54" s="338">
        <v>0</v>
      </c>
      <c r="R54" s="338">
        <v>0</v>
      </c>
      <c r="S54" s="338">
        <v>0</v>
      </c>
      <c r="T54" s="338">
        <v>0</v>
      </c>
      <c r="U54" s="338">
        <v>0</v>
      </c>
      <c r="V54" s="338">
        <v>0</v>
      </c>
      <c r="W54" s="338">
        <v>0</v>
      </c>
      <c r="X54" s="338">
        <v>1</v>
      </c>
      <c r="Y54" s="338">
        <v>1</v>
      </c>
    </row>
    <row r="55" spans="5:43" x14ac:dyDescent="0.25">
      <c r="F55" s="14" t="s">
        <v>81</v>
      </c>
      <c r="G55" s="293" t="s">
        <v>132</v>
      </c>
      <c r="J55" s="338"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1</v>
      </c>
      <c r="P55" s="338">
        <v>0</v>
      </c>
      <c r="Q55" s="338">
        <v>0</v>
      </c>
      <c r="R55" s="338">
        <v>0</v>
      </c>
      <c r="S55" s="338">
        <v>1</v>
      </c>
      <c r="T55" s="338">
        <v>0</v>
      </c>
      <c r="U55" s="338">
        <v>0</v>
      </c>
      <c r="V55" s="338">
        <v>1</v>
      </c>
      <c r="W55" s="338">
        <v>1</v>
      </c>
      <c r="X55" s="338">
        <v>0</v>
      </c>
      <c r="Y55" s="338">
        <v>0</v>
      </c>
    </row>
    <row r="56" spans="5:43" x14ac:dyDescent="0.25">
      <c r="F56" s="15" t="s">
        <v>80</v>
      </c>
      <c r="G56" s="93" t="s">
        <v>132</v>
      </c>
      <c r="H56" s="93"/>
      <c r="I56" s="93"/>
      <c r="J56" s="336">
        <v>1</v>
      </c>
      <c r="K56" s="336">
        <v>1</v>
      </c>
      <c r="L56" s="336">
        <v>1</v>
      </c>
      <c r="M56" s="336">
        <v>1</v>
      </c>
      <c r="N56" s="336">
        <v>1</v>
      </c>
      <c r="O56" s="336">
        <v>0</v>
      </c>
      <c r="P56" s="336">
        <v>0</v>
      </c>
      <c r="Q56" s="336">
        <v>1</v>
      </c>
      <c r="R56" s="336">
        <v>1</v>
      </c>
      <c r="S56" s="336">
        <v>0</v>
      </c>
      <c r="T56" s="336">
        <v>1</v>
      </c>
      <c r="U56" s="336">
        <v>1</v>
      </c>
      <c r="V56" s="336">
        <v>0</v>
      </c>
      <c r="W56" s="336">
        <v>0</v>
      </c>
      <c r="X56" s="336">
        <v>0</v>
      </c>
      <c r="Y56" s="336">
        <v>0</v>
      </c>
    </row>
    <row r="57" spans="5:43" x14ac:dyDescent="0.25">
      <c r="H57" s="88"/>
      <c r="I57" s="88"/>
    </row>
    <row r="58" spans="5:43" x14ac:dyDescent="0.25">
      <c r="E58" s="96" t="s">
        <v>331</v>
      </c>
    </row>
    <row r="59" spans="5:43" x14ac:dyDescent="0.25">
      <c r="E59" s="82" t="s">
        <v>332</v>
      </c>
    </row>
    <row r="60" spans="5:43" x14ac:dyDescent="0.25">
      <c r="F60" s="91" t="s">
        <v>267</v>
      </c>
      <c r="G60" s="91" t="s">
        <v>141</v>
      </c>
      <c r="H60" s="91"/>
      <c r="I60" s="91"/>
      <c r="J60" s="335">
        <v>1</v>
      </c>
      <c r="K60" s="335">
        <v>1</v>
      </c>
      <c r="L60" s="335">
        <v>1</v>
      </c>
      <c r="M60" s="335">
        <v>1</v>
      </c>
      <c r="N60" s="335">
        <v>1</v>
      </c>
      <c r="O60" s="335">
        <v>1</v>
      </c>
      <c r="P60" s="335">
        <v>1</v>
      </c>
      <c r="Q60" s="335">
        <v>1</v>
      </c>
      <c r="R60" s="335">
        <v>-1</v>
      </c>
      <c r="S60" s="335">
        <v>-1</v>
      </c>
      <c r="T60" s="335">
        <v>-1</v>
      </c>
      <c r="U60" s="335">
        <v>-1</v>
      </c>
      <c r="V60" s="335">
        <v>-1</v>
      </c>
      <c r="W60" s="335">
        <v>-1</v>
      </c>
      <c r="X60" s="335">
        <v>-1</v>
      </c>
      <c r="Y60" s="335">
        <v>-1</v>
      </c>
    </row>
    <row r="61" spans="5:43" x14ac:dyDescent="0.25">
      <c r="F61" s="293" t="s">
        <v>43</v>
      </c>
      <c r="G61" s="293" t="s">
        <v>141</v>
      </c>
      <c r="J61" s="338">
        <v>1</v>
      </c>
      <c r="K61" s="338">
        <v>1</v>
      </c>
      <c r="L61" s="338">
        <v>1</v>
      </c>
      <c r="M61" s="338">
        <v>1</v>
      </c>
      <c r="N61" s="338">
        <v>1</v>
      </c>
      <c r="O61" s="338">
        <v>1</v>
      </c>
      <c r="P61" s="338">
        <v>1</v>
      </c>
      <c r="Q61" s="338">
        <v>1</v>
      </c>
      <c r="R61" s="338">
        <v>-1</v>
      </c>
      <c r="S61" s="338">
        <v>-1</v>
      </c>
      <c r="T61" s="338">
        <v>-1</v>
      </c>
      <c r="U61" s="338">
        <v>-1</v>
      </c>
      <c r="V61" s="338">
        <v>-1</v>
      </c>
      <c r="W61" s="338">
        <v>-1</v>
      </c>
      <c r="X61" s="338">
        <v>-1</v>
      </c>
      <c r="Y61" s="338">
        <v>-1</v>
      </c>
    </row>
    <row r="62" spans="5:43" x14ac:dyDescent="0.25">
      <c r="F62" s="293" t="s">
        <v>44</v>
      </c>
      <c r="G62" s="293" t="s">
        <v>141</v>
      </c>
      <c r="J62" s="338">
        <v>1</v>
      </c>
      <c r="K62" s="338">
        <v>1</v>
      </c>
      <c r="L62" s="338">
        <v>1</v>
      </c>
      <c r="M62" s="338">
        <v>1</v>
      </c>
      <c r="N62" s="338">
        <v>1</v>
      </c>
      <c r="O62" s="338">
        <v>1</v>
      </c>
      <c r="P62" s="338">
        <v>1</v>
      </c>
      <c r="Q62" s="338">
        <v>1</v>
      </c>
      <c r="R62" s="338">
        <v>-1</v>
      </c>
      <c r="S62" s="338">
        <v>-1</v>
      </c>
      <c r="T62" s="338">
        <v>-1</v>
      </c>
      <c r="U62" s="338">
        <v>-1</v>
      </c>
      <c r="V62" s="338">
        <v>-1</v>
      </c>
      <c r="W62" s="338">
        <v>-1</v>
      </c>
      <c r="X62" s="338">
        <v>-1</v>
      </c>
      <c r="Y62" s="338">
        <v>-1</v>
      </c>
    </row>
    <row r="63" spans="5:43" x14ac:dyDescent="0.25">
      <c r="F63" s="293" t="s">
        <v>45</v>
      </c>
      <c r="G63" s="293" t="s">
        <v>141</v>
      </c>
      <c r="J63" s="338">
        <v>1</v>
      </c>
      <c r="K63" s="338">
        <v>1</v>
      </c>
      <c r="L63" s="338">
        <v>1</v>
      </c>
      <c r="M63" s="338">
        <v>1</v>
      </c>
      <c r="N63" s="338">
        <v>1</v>
      </c>
      <c r="O63" s="338">
        <v>1</v>
      </c>
      <c r="P63" s="338">
        <v>1</v>
      </c>
      <c r="Q63" s="338">
        <v>1</v>
      </c>
      <c r="R63" s="338">
        <v>-1</v>
      </c>
      <c r="S63" s="338">
        <v>-1</v>
      </c>
      <c r="T63" s="338">
        <v>-1</v>
      </c>
      <c r="U63" s="338">
        <v>-1</v>
      </c>
      <c r="V63" s="338">
        <v>-1</v>
      </c>
      <c r="W63" s="338">
        <v>-1</v>
      </c>
      <c r="X63" s="338">
        <v>-1</v>
      </c>
      <c r="Y63" s="338">
        <v>-1</v>
      </c>
    </row>
    <row r="64" spans="5:43" x14ac:dyDescent="0.25">
      <c r="F64" s="293" t="s">
        <v>46</v>
      </c>
      <c r="G64" s="293" t="s">
        <v>141</v>
      </c>
      <c r="J64" s="338">
        <v>1</v>
      </c>
      <c r="K64" s="338">
        <v>1</v>
      </c>
      <c r="L64" s="338">
        <v>1</v>
      </c>
      <c r="M64" s="338">
        <v>1</v>
      </c>
      <c r="N64" s="338">
        <v>1</v>
      </c>
      <c r="O64" s="338">
        <v>1</v>
      </c>
      <c r="P64" s="338">
        <v>1</v>
      </c>
      <c r="Q64" s="338">
        <v>1</v>
      </c>
      <c r="R64" s="338">
        <v>-1</v>
      </c>
      <c r="S64" s="338">
        <v>-1</v>
      </c>
      <c r="T64" s="338">
        <v>-1</v>
      </c>
      <c r="U64" s="338">
        <v>-1</v>
      </c>
      <c r="V64" s="338">
        <v>-1</v>
      </c>
      <c r="W64" s="338">
        <v>-1</v>
      </c>
      <c r="X64" s="338">
        <v>-1</v>
      </c>
      <c r="Y64" s="338">
        <v>-1</v>
      </c>
    </row>
    <row r="65" spans="5:43" x14ac:dyDescent="0.25">
      <c r="F65" s="293" t="s">
        <v>47</v>
      </c>
      <c r="G65" s="293" t="s">
        <v>141</v>
      </c>
      <c r="J65" s="338">
        <v>1</v>
      </c>
      <c r="K65" s="338">
        <v>1</v>
      </c>
      <c r="L65" s="338">
        <v>1</v>
      </c>
      <c r="M65" s="338">
        <v>1</v>
      </c>
      <c r="N65" s="338">
        <v>1</v>
      </c>
      <c r="O65" s="338">
        <v>1</v>
      </c>
      <c r="P65" s="338">
        <v>1</v>
      </c>
      <c r="Q65" s="338">
        <v>1</v>
      </c>
      <c r="R65" s="338">
        <v>-1</v>
      </c>
      <c r="S65" s="338">
        <v>-1</v>
      </c>
      <c r="T65" s="338">
        <v>-1</v>
      </c>
      <c r="U65" s="338">
        <v>-1</v>
      </c>
      <c r="V65" s="338">
        <v>-1</v>
      </c>
      <c r="W65" s="338">
        <v>-1</v>
      </c>
      <c r="X65" s="338">
        <v>-1</v>
      </c>
      <c r="Y65" s="338">
        <v>-1</v>
      </c>
    </row>
    <row r="66" spans="5:43" x14ac:dyDescent="0.25">
      <c r="F66" s="293" t="s">
        <v>51</v>
      </c>
      <c r="G66" s="293" t="s">
        <v>141</v>
      </c>
      <c r="J66" s="338">
        <v>1</v>
      </c>
      <c r="K66" s="338">
        <v>1</v>
      </c>
      <c r="L66" s="338">
        <v>1</v>
      </c>
      <c r="M66" s="338">
        <v>1</v>
      </c>
      <c r="N66" s="338">
        <v>1</v>
      </c>
      <c r="O66" s="338">
        <v>1</v>
      </c>
      <c r="P66" s="338">
        <v>1</v>
      </c>
      <c r="Q66" s="338">
        <v>1</v>
      </c>
      <c r="R66" s="338">
        <v>-1</v>
      </c>
      <c r="S66" s="338">
        <v>-1</v>
      </c>
      <c r="T66" s="338">
        <v>-1</v>
      </c>
      <c r="U66" s="338">
        <v>-1</v>
      </c>
      <c r="V66" s="338">
        <v>-1</v>
      </c>
      <c r="W66" s="338">
        <v>-1</v>
      </c>
      <c r="X66" s="338">
        <v>-1</v>
      </c>
      <c r="Y66" s="338">
        <v>-1</v>
      </c>
    </row>
    <row r="67" spans="5:43" x14ac:dyDescent="0.25">
      <c r="F67" s="293" t="s">
        <v>48</v>
      </c>
      <c r="G67" s="293" t="s">
        <v>141</v>
      </c>
      <c r="J67" s="338">
        <v>1</v>
      </c>
      <c r="K67" s="338">
        <v>1</v>
      </c>
      <c r="L67" s="338">
        <v>1</v>
      </c>
      <c r="M67" s="338">
        <v>1</v>
      </c>
      <c r="N67" s="338">
        <v>1</v>
      </c>
      <c r="O67" s="338">
        <v>1</v>
      </c>
      <c r="P67" s="338">
        <v>1</v>
      </c>
      <c r="Q67" s="338">
        <v>1</v>
      </c>
      <c r="R67" s="338">
        <v>-1</v>
      </c>
      <c r="S67" s="338">
        <v>-1</v>
      </c>
      <c r="T67" s="338">
        <v>-1</v>
      </c>
      <c r="U67" s="338">
        <v>-1</v>
      </c>
      <c r="V67" s="338">
        <v>-1</v>
      </c>
      <c r="W67" s="338">
        <v>-1</v>
      </c>
      <c r="X67" s="338">
        <v>-1</v>
      </c>
      <c r="Y67" s="338">
        <v>-1</v>
      </c>
    </row>
    <row r="68" spans="5:43" x14ac:dyDescent="0.25">
      <c r="F68" s="293" t="s">
        <v>49</v>
      </c>
      <c r="G68" s="293" t="s">
        <v>141</v>
      </c>
      <c r="J68" s="338">
        <v>1</v>
      </c>
      <c r="K68" s="338">
        <v>1</v>
      </c>
      <c r="L68" s="338">
        <v>1</v>
      </c>
      <c r="M68" s="338">
        <v>1</v>
      </c>
      <c r="N68" s="338">
        <v>1</v>
      </c>
      <c r="O68" s="338">
        <v>1</v>
      </c>
      <c r="P68" s="338">
        <v>0</v>
      </c>
      <c r="Q68" s="338">
        <v>1</v>
      </c>
      <c r="R68" s="338">
        <v>-1</v>
      </c>
      <c r="S68" s="338">
        <v>-1</v>
      </c>
      <c r="T68" s="338">
        <v>-1</v>
      </c>
      <c r="U68" s="338">
        <v>-1</v>
      </c>
      <c r="V68" s="338">
        <v>-1</v>
      </c>
      <c r="W68" s="338">
        <v>-1</v>
      </c>
      <c r="X68" s="338">
        <v>0</v>
      </c>
      <c r="Y68" s="338">
        <v>0</v>
      </c>
    </row>
    <row r="69" spans="5:43" x14ac:dyDescent="0.25">
      <c r="F69" s="93" t="s">
        <v>50</v>
      </c>
      <c r="G69" s="93" t="s">
        <v>141</v>
      </c>
      <c r="H69" s="93"/>
      <c r="I69" s="93"/>
      <c r="J69" s="336">
        <v>1</v>
      </c>
      <c r="K69" s="336">
        <v>1</v>
      </c>
      <c r="L69" s="336">
        <v>1</v>
      </c>
      <c r="M69" s="336">
        <v>1</v>
      </c>
      <c r="N69" s="336">
        <v>1</v>
      </c>
      <c r="O69" s="336">
        <v>0</v>
      </c>
      <c r="P69" s="336">
        <v>0</v>
      </c>
      <c r="Q69" s="336">
        <v>1</v>
      </c>
      <c r="R69" s="336">
        <v>-1</v>
      </c>
      <c r="S69" s="336">
        <v>0</v>
      </c>
      <c r="T69" s="336">
        <v>-1</v>
      </c>
      <c r="U69" s="336">
        <v>-1</v>
      </c>
      <c r="V69" s="336">
        <v>0</v>
      </c>
      <c r="W69" s="336">
        <v>0</v>
      </c>
      <c r="X69" s="336">
        <v>0</v>
      </c>
      <c r="Y69" s="336">
        <v>0</v>
      </c>
    </row>
    <row r="71" spans="5:43" x14ac:dyDescent="0.25">
      <c r="E71" s="96" t="s">
        <v>330</v>
      </c>
      <c r="I71" s="293" t="s">
        <v>359</v>
      </c>
      <c r="AQ71" s="88" t="s">
        <v>816</v>
      </c>
    </row>
    <row r="72" spans="5:43" x14ac:dyDescent="0.25">
      <c r="E72" s="82" t="s">
        <v>262</v>
      </c>
    </row>
    <row r="73" spans="5:43" x14ac:dyDescent="0.25">
      <c r="E73" s="82"/>
      <c r="F73" s="91" t="s">
        <v>267</v>
      </c>
      <c r="G73" s="91" t="s">
        <v>141</v>
      </c>
      <c r="H73" s="91"/>
      <c r="I73" s="91"/>
      <c r="J73" s="335">
        <v>1</v>
      </c>
      <c r="K73" s="335">
        <v>1</v>
      </c>
      <c r="L73" s="335">
        <v>1</v>
      </c>
      <c r="M73" s="335">
        <v>1</v>
      </c>
      <c r="N73" s="335">
        <v>1</v>
      </c>
      <c r="O73" s="335">
        <v>1</v>
      </c>
      <c r="P73" s="335">
        <v>1</v>
      </c>
      <c r="Q73" s="335">
        <v>1</v>
      </c>
      <c r="R73" s="335">
        <v>-1</v>
      </c>
      <c r="S73" s="335">
        <v>-1</v>
      </c>
      <c r="T73" s="335">
        <v>-1</v>
      </c>
      <c r="U73" s="335">
        <v>-1</v>
      </c>
      <c r="V73" s="335">
        <v>-1</v>
      </c>
      <c r="W73" s="335">
        <v>-1</v>
      </c>
      <c r="X73" s="335">
        <v>-1</v>
      </c>
      <c r="Y73" s="335">
        <v>-1</v>
      </c>
    </row>
    <row r="74" spans="5:43" x14ac:dyDescent="0.25">
      <c r="E74" s="82"/>
      <c r="F74" s="293" t="s">
        <v>43</v>
      </c>
      <c r="G74" s="293" t="s">
        <v>141</v>
      </c>
      <c r="J74" s="338">
        <v>1</v>
      </c>
      <c r="K74" s="338">
        <v>1</v>
      </c>
      <c r="L74" s="338">
        <v>1</v>
      </c>
      <c r="M74" s="338">
        <v>1</v>
      </c>
      <c r="N74" s="338">
        <v>1</v>
      </c>
      <c r="O74" s="338">
        <v>1</v>
      </c>
      <c r="P74" s="338">
        <v>1</v>
      </c>
      <c r="Q74" s="338">
        <v>1</v>
      </c>
      <c r="R74" s="338">
        <v>-1</v>
      </c>
      <c r="S74" s="338">
        <v>-1</v>
      </c>
      <c r="T74" s="338">
        <v>-1</v>
      </c>
      <c r="U74" s="338">
        <v>-1</v>
      </c>
      <c r="V74" s="338">
        <v>-1</v>
      </c>
      <c r="W74" s="338">
        <v>-1</v>
      </c>
      <c r="X74" s="338">
        <v>-1</v>
      </c>
      <c r="Y74" s="338">
        <v>-1</v>
      </c>
    </row>
    <row r="75" spans="5:43" x14ac:dyDescent="0.25">
      <c r="E75" s="82"/>
      <c r="F75" s="293" t="s">
        <v>44</v>
      </c>
      <c r="G75" s="293" t="s">
        <v>141</v>
      </c>
      <c r="J75" s="338">
        <v>1</v>
      </c>
      <c r="K75" s="338">
        <v>1</v>
      </c>
      <c r="L75" s="338">
        <v>1</v>
      </c>
      <c r="M75" s="338">
        <v>1</v>
      </c>
      <c r="N75" s="338">
        <v>1</v>
      </c>
      <c r="O75" s="338">
        <v>1</v>
      </c>
      <c r="P75" s="338">
        <v>1</v>
      </c>
      <c r="Q75" s="338">
        <v>1</v>
      </c>
      <c r="R75" s="338">
        <v>-1</v>
      </c>
      <c r="S75" s="338">
        <v>-1</v>
      </c>
      <c r="T75" s="338">
        <v>-1</v>
      </c>
      <c r="U75" s="338">
        <v>-1</v>
      </c>
      <c r="V75" s="338">
        <v>-1</v>
      </c>
      <c r="W75" s="338">
        <v>-1</v>
      </c>
      <c r="X75" s="338">
        <v>-1</v>
      </c>
      <c r="Y75" s="338">
        <v>-1</v>
      </c>
    </row>
    <row r="76" spans="5:43" x14ac:dyDescent="0.25">
      <c r="E76" s="82"/>
      <c r="F76" s="293" t="s">
        <v>45</v>
      </c>
      <c r="G76" s="293" t="s">
        <v>141</v>
      </c>
      <c r="J76" s="338">
        <v>1</v>
      </c>
      <c r="K76" s="338">
        <v>1</v>
      </c>
      <c r="L76" s="338">
        <v>1</v>
      </c>
      <c r="M76" s="338">
        <v>1</v>
      </c>
      <c r="N76" s="338">
        <v>1</v>
      </c>
      <c r="O76" s="338">
        <v>1</v>
      </c>
      <c r="P76" s="338">
        <v>1</v>
      </c>
      <c r="Q76" s="338">
        <v>1</v>
      </c>
      <c r="R76" s="338">
        <v>-1</v>
      </c>
      <c r="S76" s="338">
        <v>-1</v>
      </c>
      <c r="T76" s="338">
        <v>-1</v>
      </c>
      <c r="U76" s="338">
        <v>-1</v>
      </c>
      <c r="V76" s="338">
        <v>-1</v>
      </c>
      <c r="W76" s="338">
        <v>-1</v>
      </c>
      <c r="X76" s="338">
        <v>-1</v>
      </c>
      <c r="Y76" s="338">
        <v>-1</v>
      </c>
    </row>
    <row r="77" spans="5:43" x14ac:dyDescent="0.25">
      <c r="E77" s="82"/>
      <c r="F77" s="293" t="s">
        <v>46</v>
      </c>
      <c r="G77" s="293" t="s">
        <v>141</v>
      </c>
      <c r="J77" s="338">
        <v>1</v>
      </c>
      <c r="K77" s="338">
        <v>1</v>
      </c>
      <c r="L77" s="338">
        <v>1</v>
      </c>
      <c r="M77" s="338">
        <v>1</v>
      </c>
      <c r="N77" s="338">
        <v>1</v>
      </c>
      <c r="O77" s="338">
        <v>1</v>
      </c>
      <c r="P77" s="338">
        <v>1</v>
      </c>
      <c r="Q77" s="338">
        <v>1</v>
      </c>
      <c r="R77" s="338">
        <v>-1</v>
      </c>
      <c r="S77" s="338">
        <v>-1</v>
      </c>
      <c r="T77" s="338">
        <v>-1</v>
      </c>
      <c r="U77" s="338">
        <v>-1</v>
      </c>
      <c r="V77" s="338">
        <v>-1</v>
      </c>
      <c r="W77" s="338">
        <v>-1</v>
      </c>
      <c r="X77" s="338">
        <v>-1</v>
      </c>
      <c r="Y77" s="338">
        <v>-1</v>
      </c>
    </row>
    <row r="78" spans="5:43" x14ac:dyDescent="0.25">
      <c r="E78" s="82"/>
      <c r="F78" s="293" t="s">
        <v>47</v>
      </c>
      <c r="G78" s="293" t="s">
        <v>141</v>
      </c>
      <c r="J78" s="338">
        <v>1</v>
      </c>
      <c r="K78" s="338">
        <v>1</v>
      </c>
      <c r="L78" s="338">
        <v>1</v>
      </c>
      <c r="M78" s="338">
        <v>1</v>
      </c>
      <c r="N78" s="338">
        <v>1</v>
      </c>
      <c r="O78" s="338">
        <v>1</v>
      </c>
      <c r="P78" s="338">
        <v>1</v>
      </c>
      <c r="Q78" s="338">
        <v>1</v>
      </c>
      <c r="R78" s="338">
        <v>-1</v>
      </c>
      <c r="S78" s="338">
        <v>-1</v>
      </c>
      <c r="T78" s="338">
        <v>-1</v>
      </c>
      <c r="U78" s="338">
        <v>-1</v>
      </c>
      <c r="V78" s="338">
        <v>-1</v>
      </c>
      <c r="W78" s="338">
        <v>-1</v>
      </c>
      <c r="X78" s="338">
        <v>-1</v>
      </c>
      <c r="Y78" s="338">
        <v>-1</v>
      </c>
    </row>
    <row r="79" spans="5:43" x14ac:dyDescent="0.25">
      <c r="E79" s="82"/>
      <c r="F79" s="293" t="s">
        <v>51</v>
      </c>
      <c r="G79" s="293" t="s">
        <v>141</v>
      </c>
      <c r="J79" s="338">
        <v>1</v>
      </c>
      <c r="K79" s="338">
        <v>1</v>
      </c>
      <c r="L79" s="338">
        <v>1</v>
      </c>
      <c r="M79" s="338">
        <v>1</v>
      </c>
      <c r="N79" s="338">
        <v>1</v>
      </c>
      <c r="O79" s="338">
        <v>1</v>
      </c>
      <c r="P79" s="338">
        <v>1</v>
      </c>
      <c r="Q79" s="338">
        <v>1</v>
      </c>
      <c r="R79" s="338">
        <v>-1</v>
      </c>
      <c r="S79" s="338">
        <v>-1</v>
      </c>
      <c r="T79" s="338">
        <v>-1</v>
      </c>
      <c r="U79" s="338">
        <v>-1</v>
      </c>
      <c r="V79" s="338">
        <v>-1</v>
      </c>
      <c r="W79" s="338">
        <v>-1</v>
      </c>
      <c r="X79" s="338">
        <v>-1</v>
      </c>
      <c r="Y79" s="338">
        <v>-1</v>
      </c>
    </row>
    <row r="80" spans="5:43" x14ac:dyDescent="0.25">
      <c r="E80" s="82"/>
      <c r="F80" s="293" t="s">
        <v>48</v>
      </c>
      <c r="G80" s="293" t="s">
        <v>141</v>
      </c>
      <c r="J80" s="338">
        <v>1</v>
      </c>
      <c r="K80" s="338">
        <v>1</v>
      </c>
      <c r="L80" s="338">
        <v>1</v>
      </c>
      <c r="M80" s="338">
        <v>1</v>
      </c>
      <c r="N80" s="338">
        <v>1</v>
      </c>
      <c r="O80" s="338">
        <v>1</v>
      </c>
      <c r="P80" s="338">
        <v>1</v>
      </c>
      <c r="Q80" s="338">
        <v>1</v>
      </c>
      <c r="R80" s="338">
        <v>-1</v>
      </c>
      <c r="S80" s="338">
        <v>-1</v>
      </c>
      <c r="T80" s="338">
        <v>-1</v>
      </c>
      <c r="U80" s="338">
        <v>-1</v>
      </c>
      <c r="V80" s="338">
        <v>-1</v>
      </c>
      <c r="W80" s="338">
        <v>-1</v>
      </c>
      <c r="X80" s="338">
        <v>0</v>
      </c>
      <c r="Y80" s="338">
        <v>0</v>
      </c>
    </row>
    <row r="81" spans="3:43" x14ac:dyDescent="0.25">
      <c r="E81" s="82"/>
      <c r="F81" s="293" t="s">
        <v>49</v>
      </c>
      <c r="G81" s="293" t="s">
        <v>141</v>
      </c>
      <c r="J81" s="338">
        <v>1</v>
      </c>
      <c r="K81" s="338">
        <v>1</v>
      </c>
      <c r="L81" s="338">
        <v>1</v>
      </c>
      <c r="M81" s="338">
        <v>1</v>
      </c>
      <c r="N81" s="338">
        <v>1</v>
      </c>
      <c r="O81" s="338">
        <v>1</v>
      </c>
      <c r="P81" s="338">
        <v>0</v>
      </c>
      <c r="Q81" s="338">
        <v>1</v>
      </c>
      <c r="R81" s="338">
        <v>-1</v>
      </c>
      <c r="S81" s="338">
        <v>0</v>
      </c>
      <c r="T81" s="338">
        <v>-1</v>
      </c>
      <c r="U81" s="338">
        <v>-1</v>
      </c>
      <c r="V81" s="338">
        <v>0</v>
      </c>
      <c r="W81" s="338">
        <v>0</v>
      </c>
      <c r="X81" s="338">
        <v>0</v>
      </c>
      <c r="Y81" s="338">
        <v>0</v>
      </c>
    </row>
    <row r="82" spans="3:43" x14ac:dyDescent="0.25">
      <c r="E82" s="82"/>
      <c r="F82" s="93" t="s">
        <v>50</v>
      </c>
      <c r="G82" s="93" t="s">
        <v>141</v>
      </c>
      <c r="H82" s="93"/>
      <c r="I82" s="93"/>
      <c r="J82" s="336">
        <v>1</v>
      </c>
      <c r="K82" s="336">
        <v>1</v>
      </c>
      <c r="L82" s="336">
        <v>1</v>
      </c>
      <c r="M82" s="336">
        <v>1</v>
      </c>
      <c r="N82" s="336">
        <v>1</v>
      </c>
      <c r="O82" s="336">
        <v>0</v>
      </c>
      <c r="P82" s="336">
        <v>0</v>
      </c>
      <c r="Q82" s="336">
        <v>1</v>
      </c>
      <c r="R82" s="336">
        <v>0</v>
      </c>
      <c r="S82" s="336">
        <v>0</v>
      </c>
      <c r="T82" s="336">
        <v>0</v>
      </c>
      <c r="U82" s="336">
        <v>0</v>
      </c>
      <c r="V82" s="336">
        <v>0</v>
      </c>
      <c r="W82" s="336">
        <v>0</v>
      </c>
      <c r="X82" s="336">
        <v>0</v>
      </c>
      <c r="Y82" s="336">
        <v>0</v>
      </c>
    </row>
    <row r="84" spans="3:43" x14ac:dyDescent="0.2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25">
      <c r="E86" s="96" t="s">
        <v>263</v>
      </c>
      <c r="F86" s="96"/>
      <c r="I86" s="293" t="s">
        <v>359</v>
      </c>
      <c r="AQ86" s="293" t="s">
        <v>704</v>
      </c>
    </row>
    <row r="87" spans="3:43" x14ac:dyDescent="0.25">
      <c r="E87" s="82" t="s">
        <v>925</v>
      </c>
      <c r="F87" s="82"/>
    </row>
    <row r="88" spans="3:43" x14ac:dyDescent="0.2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2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25">
      <c r="E90" s="82"/>
      <c r="F90" s="293" t="s">
        <v>44</v>
      </c>
      <c r="G90" s="293" t="s">
        <v>94</v>
      </c>
      <c r="J90" s="369"/>
      <c r="K90" s="369"/>
      <c r="L90" s="369"/>
      <c r="M90" s="369"/>
      <c r="N90" s="369"/>
      <c r="O90" s="369"/>
      <c r="P90" s="369"/>
      <c r="Q90" s="369"/>
      <c r="R90" s="79"/>
      <c r="S90" s="79"/>
      <c r="T90" s="79"/>
      <c r="U90" s="79"/>
      <c r="V90" s="79"/>
      <c r="W90" s="79"/>
      <c r="X90" s="79"/>
      <c r="Y90" s="79"/>
    </row>
    <row r="91" spans="3:43" x14ac:dyDescent="0.25">
      <c r="E91" s="82"/>
      <c r="F91" s="293" t="s">
        <v>45</v>
      </c>
      <c r="G91" s="293" t="s">
        <v>94</v>
      </c>
      <c r="J91" s="369"/>
      <c r="K91" s="369"/>
      <c r="L91" s="369"/>
      <c r="M91" s="369"/>
      <c r="N91" s="369"/>
      <c r="O91" s="369"/>
      <c r="P91" s="369"/>
      <c r="Q91" s="369"/>
      <c r="R91" s="79"/>
      <c r="S91" s="79"/>
      <c r="T91" s="79"/>
      <c r="U91" s="79"/>
      <c r="V91" s="79"/>
      <c r="W91" s="79"/>
      <c r="X91" s="79"/>
      <c r="Y91" s="79"/>
    </row>
    <row r="92" spans="3:43" x14ac:dyDescent="0.25">
      <c r="E92" s="82"/>
      <c r="F92" s="293" t="s">
        <v>46</v>
      </c>
      <c r="G92" s="293" t="s">
        <v>94</v>
      </c>
      <c r="J92" s="369"/>
      <c r="K92" s="369"/>
      <c r="L92" s="369"/>
      <c r="M92" s="369"/>
      <c r="N92" s="369"/>
      <c r="O92" s="369"/>
      <c r="P92" s="368">
        <v>0.2</v>
      </c>
      <c r="Q92" s="369"/>
      <c r="R92" s="79"/>
      <c r="S92" s="79"/>
      <c r="T92" s="79"/>
      <c r="U92" s="79"/>
      <c r="V92" s="79"/>
      <c r="W92" s="79"/>
      <c r="X92" s="79"/>
      <c r="Y92" s="79"/>
    </row>
    <row r="93" spans="3:43" x14ac:dyDescent="0.25">
      <c r="E93" s="82"/>
      <c r="F93" s="293" t="s">
        <v>47</v>
      </c>
      <c r="G93" s="293" t="s">
        <v>94</v>
      </c>
      <c r="J93" s="369"/>
      <c r="K93" s="369"/>
      <c r="L93" s="369"/>
      <c r="M93" s="369"/>
      <c r="N93" s="369"/>
      <c r="O93" s="369"/>
      <c r="P93" s="368">
        <v>1</v>
      </c>
      <c r="Q93" s="369"/>
      <c r="R93" s="79"/>
      <c r="S93" s="79"/>
      <c r="T93" s="79"/>
      <c r="U93" s="79"/>
      <c r="V93" s="79"/>
      <c r="W93" s="79"/>
      <c r="X93" s="79"/>
      <c r="Y93" s="79"/>
    </row>
    <row r="94" spans="3:43" x14ac:dyDescent="0.25">
      <c r="E94" s="82"/>
      <c r="F94" s="293" t="s">
        <v>51</v>
      </c>
      <c r="G94" s="293" t="s">
        <v>94</v>
      </c>
      <c r="J94" s="369"/>
      <c r="K94" s="369"/>
      <c r="L94" s="369"/>
      <c r="M94" s="369"/>
      <c r="N94" s="369"/>
      <c r="O94" s="369"/>
      <c r="P94" s="369"/>
      <c r="Q94" s="369"/>
      <c r="R94" s="79"/>
      <c r="S94" s="79"/>
      <c r="T94" s="79"/>
      <c r="U94" s="79"/>
      <c r="V94" s="79"/>
      <c r="W94" s="79"/>
      <c r="X94" s="79"/>
      <c r="Y94" s="79"/>
    </row>
    <row r="95" spans="3:43" x14ac:dyDescent="0.25">
      <c r="E95" s="82"/>
      <c r="F95" s="293" t="s">
        <v>48</v>
      </c>
      <c r="G95" s="293" t="s">
        <v>94</v>
      </c>
      <c r="J95" s="369"/>
      <c r="K95" s="369"/>
      <c r="L95" s="369"/>
      <c r="M95" s="369"/>
      <c r="N95" s="368">
        <v>0.2</v>
      </c>
      <c r="O95" s="368">
        <v>1</v>
      </c>
      <c r="P95" s="368">
        <v>1</v>
      </c>
      <c r="Q95" s="369"/>
      <c r="R95" s="79"/>
      <c r="S95" s="79"/>
      <c r="T95" s="79"/>
      <c r="U95" s="79"/>
      <c r="V95" s="79"/>
      <c r="W95" s="79"/>
      <c r="X95" s="79"/>
      <c r="Y95" s="79"/>
    </row>
    <row r="96" spans="3:43" x14ac:dyDescent="0.25">
      <c r="E96" s="82"/>
      <c r="F96" s="293" t="s">
        <v>49</v>
      </c>
      <c r="G96" s="293" t="s">
        <v>94</v>
      </c>
      <c r="J96" s="369"/>
      <c r="K96" s="369"/>
      <c r="L96" s="369"/>
      <c r="M96" s="369"/>
      <c r="N96" s="368">
        <v>1</v>
      </c>
      <c r="O96" s="368">
        <v>1</v>
      </c>
      <c r="P96" s="369"/>
      <c r="Q96" s="369"/>
      <c r="R96" s="79"/>
      <c r="S96" s="79"/>
      <c r="T96" s="79"/>
      <c r="U96" s="79"/>
      <c r="V96" s="79"/>
      <c r="W96" s="79"/>
      <c r="X96" s="79"/>
      <c r="Y96" s="79"/>
    </row>
    <row r="97" spans="3:43" x14ac:dyDescent="0.25">
      <c r="E97" s="82"/>
      <c r="F97" s="93" t="s">
        <v>50</v>
      </c>
      <c r="G97" s="93" t="s">
        <v>94</v>
      </c>
      <c r="H97" s="93"/>
      <c r="I97" s="93"/>
      <c r="J97" s="337">
        <v>1</v>
      </c>
      <c r="K97" s="337">
        <v>1</v>
      </c>
      <c r="L97" s="337">
        <v>1</v>
      </c>
      <c r="M97" s="337">
        <v>1</v>
      </c>
      <c r="N97" s="337">
        <v>1</v>
      </c>
      <c r="O97" s="38"/>
      <c r="P97" s="38"/>
      <c r="Q97" s="337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2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25">
      <c r="D101" s="96" t="s">
        <v>173</v>
      </c>
      <c r="E101" s="96"/>
    </row>
    <row r="102" spans="3:43" x14ac:dyDescent="0.25">
      <c r="D102" s="82" t="s">
        <v>529</v>
      </c>
      <c r="E102" s="82"/>
    </row>
    <row r="103" spans="3:43" x14ac:dyDescent="0.25">
      <c r="D103" s="82" t="s">
        <v>530</v>
      </c>
      <c r="E103" s="82"/>
    </row>
    <row r="104" spans="3:43" x14ac:dyDescent="0.25">
      <c r="D104" s="82"/>
      <c r="E104" s="96" t="s">
        <v>120</v>
      </c>
    </row>
    <row r="105" spans="3:43" x14ac:dyDescent="0.25">
      <c r="D105" s="82"/>
      <c r="F105" s="14" t="s">
        <v>313</v>
      </c>
      <c r="G105" s="293" t="s">
        <v>174</v>
      </c>
      <c r="I105" s="293" t="s">
        <v>359</v>
      </c>
      <c r="J105" s="370" t="b">
        <v>0</v>
      </c>
      <c r="K105" s="370" t="b">
        <v>0</v>
      </c>
      <c r="L105" s="370" t="b">
        <v>0</v>
      </c>
      <c r="M105" s="370" t="b">
        <v>0</v>
      </c>
      <c r="N105" s="370" t="b">
        <v>0</v>
      </c>
      <c r="O105" s="370" t="b">
        <v>0</v>
      </c>
      <c r="P105" s="370" t="b">
        <v>0</v>
      </c>
      <c r="Q105" s="370" t="b">
        <v>0</v>
      </c>
      <c r="R105" s="370" t="b">
        <v>1</v>
      </c>
      <c r="S105" s="370" t="b">
        <v>1</v>
      </c>
      <c r="T105" s="370" t="b">
        <v>1</v>
      </c>
      <c r="U105" s="370" t="b">
        <v>1</v>
      </c>
      <c r="V105" s="370" t="b">
        <v>1</v>
      </c>
      <c r="W105" s="370" t="b">
        <v>1</v>
      </c>
      <c r="X105" s="370" t="b">
        <v>1</v>
      </c>
      <c r="Y105" s="370" t="b">
        <v>1</v>
      </c>
      <c r="AQ105" s="293" t="s">
        <v>705</v>
      </c>
    </row>
    <row r="106" spans="3:43" x14ac:dyDescent="0.25">
      <c r="D106" s="82"/>
      <c r="E106" s="14"/>
      <c r="F106" s="14" t="s">
        <v>314</v>
      </c>
      <c r="G106" s="293" t="s">
        <v>94</v>
      </c>
      <c r="J106" s="369"/>
      <c r="K106" s="369"/>
      <c r="L106" s="369"/>
      <c r="M106" s="369"/>
      <c r="N106" s="369"/>
      <c r="O106" s="369"/>
      <c r="P106" s="369"/>
      <c r="Q106" s="369"/>
      <c r="R106" s="371">
        <v>0</v>
      </c>
      <c r="S106" s="371">
        <v>0</v>
      </c>
      <c r="T106" s="371">
        <v>0</v>
      </c>
      <c r="U106" s="371">
        <v>0</v>
      </c>
      <c r="V106" s="371">
        <v>0</v>
      </c>
      <c r="W106" s="371">
        <v>0</v>
      </c>
      <c r="X106" s="371">
        <v>0</v>
      </c>
      <c r="Y106" s="371">
        <v>0</v>
      </c>
    </row>
    <row r="107" spans="3:43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25">
      <c r="D109" s="82"/>
      <c r="F109" s="14" t="s">
        <v>313</v>
      </c>
      <c r="G109" s="293" t="s">
        <v>174</v>
      </c>
      <c r="J109" s="370" t="b">
        <v>0</v>
      </c>
      <c r="K109" s="370" t="b">
        <v>0</v>
      </c>
      <c r="L109" s="370" t="b">
        <v>0</v>
      </c>
      <c r="M109" s="370" t="b">
        <v>0</v>
      </c>
      <c r="N109" s="370" t="b">
        <v>0</v>
      </c>
      <c r="O109" s="370" t="b">
        <v>0</v>
      </c>
      <c r="P109" s="370" t="b">
        <v>0</v>
      </c>
      <c r="Q109" s="370" t="b">
        <v>0</v>
      </c>
      <c r="R109" s="370" t="b">
        <v>1</v>
      </c>
      <c r="S109" s="370" t="b">
        <v>1</v>
      </c>
      <c r="T109" s="370" t="b">
        <v>1</v>
      </c>
      <c r="U109" s="370" t="b">
        <v>1</v>
      </c>
      <c r="V109" s="370" t="b">
        <v>1</v>
      </c>
      <c r="W109" s="370" t="b">
        <v>1</v>
      </c>
      <c r="X109" s="370" t="b">
        <v>1</v>
      </c>
      <c r="Y109" s="370" t="b">
        <v>1</v>
      </c>
    </row>
    <row r="110" spans="3:43" x14ac:dyDescent="0.25">
      <c r="D110" s="82"/>
      <c r="E110" s="14"/>
      <c r="F110" s="14" t="s">
        <v>314</v>
      </c>
      <c r="G110" s="293" t="s">
        <v>94</v>
      </c>
      <c r="J110" s="369"/>
      <c r="K110" s="369"/>
      <c r="L110" s="369"/>
      <c r="M110" s="369"/>
      <c r="N110" s="369"/>
      <c r="O110" s="369"/>
      <c r="P110" s="369"/>
      <c r="Q110" s="369"/>
      <c r="R110" s="371">
        <v>1</v>
      </c>
      <c r="S110" s="371">
        <v>1</v>
      </c>
      <c r="T110" s="371">
        <v>1</v>
      </c>
      <c r="U110" s="371">
        <v>1</v>
      </c>
      <c r="V110" s="371">
        <v>1</v>
      </c>
      <c r="W110" s="371">
        <v>1</v>
      </c>
      <c r="X110" s="371">
        <v>1</v>
      </c>
      <c r="Y110" s="371">
        <v>1</v>
      </c>
    </row>
    <row r="111" spans="3:43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313</v>
      </c>
      <c r="G113" s="293" t="s">
        <v>174</v>
      </c>
      <c r="J113" s="370" t="b">
        <v>0</v>
      </c>
      <c r="K113" s="370" t="b">
        <v>0</v>
      </c>
      <c r="L113" s="370" t="b">
        <v>0</v>
      </c>
      <c r="M113" s="370" t="b">
        <v>0</v>
      </c>
      <c r="N113" s="370" t="b">
        <v>0</v>
      </c>
      <c r="O113" s="370" t="b">
        <v>0</v>
      </c>
      <c r="P113" s="370" t="b">
        <v>0</v>
      </c>
      <c r="Q113" s="370" t="b">
        <v>0</v>
      </c>
      <c r="R113" s="370" t="b">
        <v>1</v>
      </c>
      <c r="S113" s="370" t="b">
        <v>1</v>
      </c>
      <c r="T113" s="370" t="b">
        <v>1</v>
      </c>
      <c r="U113" s="370" t="b">
        <v>1</v>
      </c>
      <c r="V113" s="370" t="b">
        <v>1</v>
      </c>
      <c r="W113" s="370" t="b">
        <v>1</v>
      </c>
      <c r="X113" s="370" t="b">
        <v>1</v>
      </c>
      <c r="Y113" s="370" t="b">
        <v>1</v>
      </c>
    </row>
    <row r="114" spans="4:25" x14ac:dyDescent="0.25">
      <c r="D114" s="82"/>
      <c r="E114" s="14"/>
      <c r="F114" s="14" t="s">
        <v>314</v>
      </c>
      <c r="G114" s="293" t="s">
        <v>94</v>
      </c>
      <c r="J114" s="369"/>
      <c r="K114" s="369"/>
      <c r="L114" s="369"/>
      <c r="M114" s="369"/>
      <c r="N114" s="369"/>
      <c r="O114" s="369"/>
      <c r="P114" s="369"/>
      <c r="Q114" s="369"/>
      <c r="R114" s="371">
        <v>0</v>
      </c>
      <c r="S114" s="371">
        <v>0</v>
      </c>
      <c r="T114" s="371">
        <v>0</v>
      </c>
      <c r="U114" s="371">
        <v>0</v>
      </c>
      <c r="V114" s="371">
        <v>0</v>
      </c>
      <c r="W114" s="371">
        <v>0</v>
      </c>
      <c r="X114" s="371">
        <v>0</v>
      </c>
      <c r="Y114" s="371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313</v>
      </c>
      <c r="G117" s="293" t="s">
        <v>174</v>
      </c>
      <c r="J117" s="370" t="b">
        <v>0</v>
      </c>
      <c r="K117" s="370" t="b">
        <v>0</v>
      </c>
      <c r="L117" s="370" t="b">
        <v>0</v>
      </c>
      <c r="M117" s="370" t="b">
        <v>0</v>
      </c>
      <c r="N117" s="370" t="b">
        <v>0</v>
      </c>
      <c r="O117" s="370" t="b">
        <v>0</v>
      </c>
      <c r="P117" s="370" t="b">
        <v>0</v>
      </c>
      <c r="Q117" s="370" t="b">
        <v>0</v>
      </c>
      <c r="R117" s="370" t="b">
        <v>1</v>
      </c>
      <c r="S117" s="370" t="b">
        <v>1</v>
      </c>
      <c r="T117" s="370" t="b">
        <v>1</v>
      </c>
      <c r="U117" s="370" t="b">
        <v>1</v>
      </c>
      <c r="V117" s="370" t="b">
        <v>1</v>
      </c>
      <c r="W117" s="370" t="b">
        <v>1</v>
      </c>
      <c r="X117" s="370" t="b">
        <v>1</v>
      </c>
      <c r="Y117" s="370" t="b">
        <v>1</v>
      </c>
    </row>
    <row r="118" spans="4:25" x14ac:dyDescent="0.25">
      <c r="D118" s="82"/>
      <c r="E118" s="14"/>
      <c r="F118" s="14" t="s">
        <v>314</v>
      </c>
      <c r="G118" s="293" t="s">
        <v>94</v>
      </c>
      <c r="J118" s="369"/>
      <c r="K118" s="369"/>
      <c r="L118" s="369"/>
      <c r="M118" s="369"/>
      <c r="N118" s="369"/>
      <c r="O118" s="369"/>
      <c r="P118" s="369"/>
      <c r="Q118" s="369"/>
      <c r="R118" s="371">
        <v>0</v>
      </c>
      <c r="S118" s="371">
        <v>0</v>
      </c>
      <c r="T118" s="371">
        <v>0</v>
      </c>
      <c r="U118" s="371">
        <v>0</v>
      </c>
      <c r="V118" s="371">
        <v>0</v>
      </c>
      <c r="W118" s="371">
        <v>0</v>
      </c>
      <c r="X118" s="371">
        <v>0</v>
      </c>
      <c r="Y118" s="371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313</v>
      </c>
      <c r="G121" s="293" t="s">
        <v>174</v>
      </c>
      <c r="J121" s="370" t="b">
        <v>0</v>
      </c>
      <c r="K121" s="370" t="b">
        <v>0</v>
      </c>
      <c r="L121" s="370" t="b">
        <v>0</v>
      </c>
      <c r="M121" s="370" t="b">
        <v>0</v>
      </c>
      <c r="N121" s="370" t="b">
        <v>0</v>
      </c>
      <c r="O121" s="370" t="b">
        <v>0</v>
      </c>
      <c r="P121" s="370" t="b">
        <v>0</v>
      </c>
      <c r="Q121" s="370" t="b">
        <v>0</v>
      </c>
      <c r="R121" s="370" t="b">
        <v>1</v>
      </c>
      <c r="S121" s="370" t="b">
        <v>1</v>
      </c>
      <c r="T121" s="370" t="b">
        <v>1</v>
      </c>
      <c r="U121" s="370" t="b">
        <v>1</v>
      </c>
      <c r="V121" s="370" t="b">
        <v>1</v>
      </c>
      <c r="W121" s="370" t="b">
        <v>1</v>
      </c>
      <c r="X121" s="370" t="b">
        <v>1</v>
      </c>
      <c r="Y121" s="370" t="b">
        <v>1</v>
      </c>
    </row>
    <row r="122" spans="4:25" x14ac:dyDescent="0.25">
      <c r="D122" s="82"/>
      <c r="E122" s="14"/>
      <c r="F122" s="14" t="s">
        <v>314</v>
      </c>
      <c r="G122" s="293" t="s">
        <v>94</v>
      </c>
      <c r="J122" s="369"/>
      <c r="K122" s="369"/>
      <c r="L122" s="369"/>
      <c r="M122" s="369"/>
      <c r="N122" s="369"/>
      <c r="O122" s="369"/>
      <c r="P122" s="369"/>
      <c r="Q122" s="369"/>
      <c r="R122" s="371">
        <v>0</v>
      </c>
      <c r="S122" s="371">
        <v>0</v>
      </c>
      <c r="T122" s="371">
        <v>0</v>
      </c>
      <c r="U122" s="371">
        <v>0</v>
      </c>
      <c r="V122" s="371">
        <v>0</v>
      </c>
      <c r="W122" s="371">
        <v>0</v>
      </c>
      <c r="X122" s="371">
        <v>0</v>
      </c>
      <c r="Y122" s="371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765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512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3" t="s">
        <v>242</v>
      </c>
      <c r="G127" s="293" t="s">
        <v>174</v>
      </c>
      <c r="J127" s="370" t="b">
        <v>0</v>
      </c>
      <c r="K127" s="370" t="b">
        <v>0</v>
      </c>
      <c r="L127" s="370" t="b">
        <v>0</v>
      </c>
      <c r="M127" s="370" t="b">
        <v>0</v>
      </c>
      <c r="N127" s="370" t="b">
        <v>0</v>
      </c>
      <c r="O127" s="370" t="b">
        <v>0</v>
      </c>
      <c r="P127" s="370" t="b">
        <v>0</v>
      </c>
      <c r="Q127" s="370" t="b">
        <v>1</v>
      </c>
      <c r="R127" s="370" t="b">
        <v>0</v>
      </c>
      <c r="S127" s="370" t="b">
        <v>0</v>
      </c>
      <c r="T127" s="370" t="b">
        <v>0</v>
      </c>
      <c r="U127" s="370" t="b">
        <v>0</v>
      </c>
      <c r="V127" s="370" t="b">
        <v>0</v>
      </c>
      <c r="W127" s="370" t="b">
        <v>0</v>
      </c>
      <c r="X127" s="370" t="b">
        <v>0</v>
      </c>
      <c r="Y127" s="370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25">
      <c r="E129" s="96" t="s">
        <v>541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2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25">
      <c r="E131" s="82"/>
      <c r="F131" s="293" t="s">
        <v>448</v>
      </c>
      <c r="G131" s="293" t="s">
        <v>174</v>
      </c>
      <c r="J131" s="370" t="b">
        <v>1</v>
      </c>
      <c r="K131" s="370" t="b">
        <v>0</v>
      </c>
      <c r="L131" s="370" t="b">
        <v>1</v>
      </c>
      <c r="M131" s="370" t="b">
        <v>0</v>
      </c>
      <c r="N131" s="370" t="b">
        <v>1</v>
      </c>
      <c r="O131" s="370" t="b">
        <v>1</v>
      </c>
      <c r="P131" s="370" t="b">
        <v>1</v>
      </c>
      <c r="Q131" s="370" t="b">
        <v>1</v>
      </c>
      <c r="R131" s="370" t="b">
        <v>1</v>
      </c>
      <c r="S131" s="370" t="b">
        <v>1</v>
      </c>
      <c r="T131" s="370" t="b">
        <v>1</v>
      </c>
      <c r="U131" s="370" t="b">
        <v>1</v>
      </c>
      <c r="V131" s="370" t="b">
        <v>1</v>
      </c>
      <c r="W131" s="370" t="b">
        <v>1</v>
      </c>
      <c r="X131" s="370" t="b">
        <v>1</v>
      </c>
      <c r="Y131" s="370" t="b">
        <v>1</v>
      </c>
    </row>
    <row r="132" spans="3:43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2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732</v>
      </c>
    </row>
    <row r="134" spans="3:43" x14ac:dyDescent="0.25">
      <c r="E134" s="82" t="s">
        <v>533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25">
      <c r="E135" s="82" t="s">
        <v>534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25">
      <c r="E136" s="82"/>
      <c r="F136" s="293" t="s">
        <v>255</v>
      </c>
      <c r="G136" s="293" t="s">
        <v>132</v>
      </c>
      <c r="J136" s="370">
        <v>0</v>
      </c>
      <c r="K136" s="370">
        <v>0</v>
      </c>
      <c r="L136" s="370">
        <v>0</v>
      </c>
      <c r="M136" s="370">
        <v>0</v>
      </c>
      <c r="N136" s="370">
        <v>1</v>
      </c>
      <c r="O136" s="370">
        <v>1</v>
      </c>
      <c r="P136" s="370">
        <v>1</v>
      </c>
      <c r="Q136" s="370">
        <v>0</v>
      </c>
      <c r="R136" s="370">
        <v>0</v>
      </c>
      <c r="S136" s="370">
        <v>0</v>
      </c>
      <c r="T136" s="370">
        <v>0</v>
      </c>
      <c r="U136" s="370">
        <v>0</v>
      </c>
      <c r="V136" s="370">
        <v>0</v>
      </c>
      <c r="W136" s="370">
        <v>0</v>
      </c>
      <c r="X136" s="370">
        <v>0</v>
      </c>
      <c r="Y136" s="370">
        <v>0</v>
      </c>
    </row>
    <row r="137" spans="3:43" x14ac:dyDescent="0.25">
      <c r="E137" s="82"/>
      <c r="F137" s="293" t="s">
        <v>256</v>
      </c>
      <c r="G137" s="293" t="s">
        <v>132</v>
      </c>
      <c r="J137" s="370">
        <v>0</v>
      </c>
      <c r="K137" s="370">
        <v>0</v>
      </c>
      <c r="L137" s="370">
        <v>0</v>
      </c>
      <c r="M137" s="370">
        <v>0</v>
      </c>
      <c r="N137" s="370">
        <v>1</v>
      </c>
      <c r="O137" s="370">
        <v>1</v>
      </c>
      <c r="P137" s="370">
        <v>1</v>
      </c>
      <c r="Q137" s="370">
        <v>0</v>
      </c>
      <c r="R137" s="370">
        <v>0</v>
      </c>
      <c r="S137" s="370">
        <v>0</v>
      </c>
      <c r="T137" s="370">
        <v>0</v>
      </c>
      <c r="U137" s="370">
        <v>0</v>
      </c>
      <c r="V137" s="370">
        <v>0</v>
      </c>
      <c r="W137" s="370">
        <v>0</v>
      </c>
      <c r="X137" s="370">
        <v>0</v>
      </c>
      <c r="Y137" s="370">
        <v>0</v>
      </c>
    </row>
    <row r="138" spans="3:43" x14ac:dyDescent="0.25">
      <c r="E138" s="82"/>
      <c r="F138" s="293" t="s">
        <v>304</v>
      </c>
      <c r="G138" s="293" t="s">
        <v>132</v>
      </c>
      <c r="J138" s="370">
        <v>0</v>
      </c>
      <c r="K138" s="370">
        <v>0</v>
      </c>
      <c r="L138" s="370">
        <v>0</v>
      </c>
      <c r="M138" s="370">
        <v>0</v>
      </c>
      <c r="N138" s="370">
        <v>1</v>
      </c>
      <c r="O138" s="370">
        <v>1</v>
      </c>
      <c r="P138" s="370">
        <v>1</v>
      </c>
      <c r="Q138" s="370">
        <v>0</v>
      </c>
      <c r="R138" s="370">
        <v>0</v>
      </c>
      <c r="S138" s="370">
        <v>0</v>
      </c>
      <c r="T138" s="370">
        <v>1</v>
      </c>
      <c r="U138" s="370">
        <v>0</v>
      </c>
      <c r="V138" s="370">
        <v>1</v>
      </c>
      <c r="W138" s="370">
        <v>0</v>
      </c>
      <c r="X138" s="370">
        <v>1</v>
      </c>
      <c r="Y138" s="370">
        <v>0</v>
      </c>
    </row>
    <row r="139" spans="3:43" x14ac:dyDescent="0.25">
      <c r="E139" s="82"/>
      <c r="F139" s="293" t="s">
        <v>308</v>
      </c>
      <c r="G139" s="293" t="s">
        <v>132</v>
      </c>
      <c r="J139" s="370">
        <v>1</v>
      </c>
      <c r="K139" s="370">
        <v>0</v>
      </c>
      <c r="L139" s="370">
        <v>1</v>
      </c>
      <c r="M139" s="370">
        <v>0</v>
      </c>
      <c r="N139" s="370">
        <v>0</v>
      </c>
      <c r="O139" s="370">
        <v>0</v>
      </c>
      <c r="P139" s="370">
        <v>0</v>
      </c>
      <c r="Q139" s="370">
        <v>0</v>
      </c>
      <c r="R139" s="370">
        <v>0</v>
      </c>
      <c r="S139" s="370">
        <v>0</v>
      </c>
      <c r="T139" s="370">
        <v>0</v>
      </c>
      <c r="U139" s="370">
        <v>0</v>
      </c>
      <c r="V139" s="370">
        <v>0</v>
      </c>
      <c r="W139" s="370">
        <v>0</v>
      </c>
      <c r="X139" s="370">
        <v>0</v>
      </c>
      <c r="Y139" s="370">
        <v>0</v>
      </c>
    </row>
    <row r="140" spans="3:43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2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25">
      <c r="E143" s="96" t="s">
        <v>309</v>
      </c>
      <c r="F143" s="96"/>
    </row>
    <row r="144" spans="3:43" x14ac:dyDescent="0.25">
      <c r="E144" s="82" t="s">
        <v>651</v>
      </c>
      <c r="F144" s="82"/>
      <c r="I144" s="293" t="s">
        <v>359</v>
      </c>
      <c r="AQ144" s="293" t="s">
        <v>997</v>
      </c>
    </row>
    <row r="145" spans="3:44" x14ac:dyDescent="0.25">
      <c r="E145" s="82"/>
      <c r="F145" s="14" t="s">
        <v>309</v>
      </c>
      <c r="G145" s="293" t="s">
        <v>427</v>
      </c>
      <c r="J145" s="338">
        <v>1</v>
      </c>
      <c r="K145" s="369"/>
      <c r="L145" s="338">
        <v>1</v>
      </c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</row>
    <row r="146" spans="3:44" x14ac:dyDescent="0.25">
      <c r="E146" s="82"/>
      <c r="F146" s="82"/>
    </row>
    <row r="147" spans="3:44" x14ac:dyDescent="0.25">
      <c r="E147" s="96" t="s">
        <v>944</v>
      </c>
      <c r="F147" s="96"/>
      <c r="I147" s="293" t="s">
        <v>359</v>
      </c>
      <c r="AQ147" s="293" t="s">
        <v>945</v>
      </c>
    </row>
    <row r="148" spans="3:44" x14ac:dyDescent="0.25">
      <c r="E148" s="82" t="s">
        <v>946</v>
      </c>
      <c r="F148" s="82"/>
    </row>
    <row r="149" spans="3:44" x14ac:dyDescent="0.25">
      <c r="E149" s="82"/>
      <c r="F149" s="14" t="s">
        <v>947</v>
      </c>
      <c r="G149" s="293" t="s">
        <v>427</v>
      </c>
      <c r="J149" s="338">
        <v>1</v>
      </c>
      <c r="K149" s="338">
        <v>1</v>
      </c>
      <c r="L149" s="338">
        <v>2</v>
      </c>
      <c r="M149" s="338">
        <v>2</v>
      </c>
      <c r="N149" s="338">
        <v>3</v>
      </c>
      <c r="O149" s="338">
        <v>4</v>
      </c>
      <c r="P149" s="338">
        <v>5</v>
      </c>
      <c r="Q149" s="369"/>
      <c r="R149" s="369"/>
      <c r="S149" s="369"/>
      <c r="T149" s="369"/>
      <c r="U149" s="369"/>
      <c r="V149" s="369"/>
      <c r="W149" s="369"/>
      <c r="X149" s="369"/>
      <c r="Y149" s="369"/>
    </row>
    <row r="150" spans="3:44" x14ac:dyDescent="0.25">
      <c r="E150" s="82"/>
      <c r="F150" s="82"/>
    </row>
    <row r="151" spans="3:44" x14ac:dyDescent="0.2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3:44" x14ac:dyDescent="0.25">
      <c r="E153" s="293" t="s">
        <v>538</v>
      </c>
      <c r="G153" s="293" t="s">
        <v>427</v>
      </c>
      <c r="H153" s="338">
        <v>3</v>
      </c>
    </row>
    <row r="155" spans="3:44" x14ac:dyDescent="0.2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25">
      <c r="C157" s="86"/>
      <c r="D157" s="98"/>
      <c r="E157" s="96" t="s">
        <v>972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992</v>
      </c>
      <c r="AR157" s="252"/>
    </row>
    <row r="158" spans="3:44" x14ac:dyDescent="0.25">
      <c r="C158" s="86"/>
      <c r="D158" s="98"/>
      <c r="F158" s="91" t="s">
        <v>960</v>
      </c>
      <c r="G158" s="91" t="s">
        <v>132</v>
      </c>
      <c r="H158" s="91"/>
      <c r="I158" s="91"/>
      <c r="J158" s="455">
        <v>1</v>
      </c>
      <c r="K158" s="455">
        <v>0</v>
      </c>
      <c r="L158" s="455">
        <v>0</v>
      </c>
      <c r="M158" s="455">
        <v>0</v>
      </c>
      <c r="N158" s="455">
        <v>0</v>
      </c>
      <c r="O158" s="455">
        <v>0</v>
      </c>
      <c r="P158" s="455">
        <v>0</v>
      </c>
      <c r="Q158" s="455">
        <v>0</v>
      </c>
      <c r="R158" s="455">
        <v>0</v>
      </c>
      <c r="S158" s="455">
        <v>0</v>
      </c>
      <c r="T158" s="455">
        <v>0</v>
      </c>
      <c r="U158" s="455">
        <v>0</v>
      </c>
      <c r="V158" s="455">
        <v>0</v>
      </c>
      <c r="W158" s="455">
        <v>0</v>
      </c>
      <c r="X158" s="455">
        <v>0</v>
      </c>
      <c r="Y158" s="455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3:44" x14ac:dyDescent="0.25">
      <c r="C159" s="86"/>
      <c r="D159" s="98"/>
      <c r="F159" s="93" t="s">
        <v>961</v>
      </c>
      <c r="G159" s="93" t="s">
        <v>132</v>
      </c>
      <c r="H159" s="93"/>
      <c r="I159" s="93"/>
      <c r="J159" s="456">
        <v>1</v>
      </c>
      <c r="K159" s="456">
        <v>0</v>
      </c>
      <c r="L159" s="456">
        <v>1</v>
      </c>
      <c r="M159" s="456">
        <v>0</v>
      </c>
      <c r="N159" s="456">
        <v>1</v>
      </c>
      <c r="O159" s="456">
        <v>1</v>
      </c>
      <c r="P159" s="456">
        <v>1</v>
      </c>
      <c r="Q159" s="456">
        <v>0</v>
      </c>
      <c r="R159" s="456">
        <v>0</v>
      </c>
      <c r="S159" s="456">
        <v>0</v>
      </c>
      <c r="T159" s="456">
        <v>0</v>
      </c>
      <c r="U159" s="456">
        <v>0</v>
      </c>
      <c r="V159" s="456">
        <v>0</v>
      </c>
      <c r="W159" s="456">
        <v>0</v>
      </c>
      <c r="X159" s="456">
        <v>0</v>
      </c>
      <c r="Y159" s="456">
        <v>0</v>
      </c>
      <c r="Z159" s="252"/>
      <c r="AA159" s="252"/>
      <c r="AB159" s="252"/>
      <c r="AC159" s="252"/>
      <c r="AD159" s="252"/>
      <c r="AE159" s="252"/>
      <c r="AF159" s="252"/>
      <c r="AG159" s="252"/>
      <c r="AH159" s="252"/>
      <c r="AI159" s="252"/>
      <c r="AJ159" s="252"/>
      <c r="AK159" s="252"/>
      <c r="AL159" s="252"/>
      <c r="AM159" s="252"/>
      <c r="AN159" s="252"/>
      <c r="AO159" s="252"/>
      <c r="AP159" s="252"/>
      <c r="AQ159" s="252"/>
      <c r="AR159" s="252"/>
    </row>
    <row r="160" spans="3:44" x14ac:dyDescent="0.25">
      <c r="C160" s="86"/>
      <c r="D160" s="98"/>
      <c r="AR160" s="252"/>
    </row>
    <row r="161" spans="3:44" x14ac:dyDescent="0.25">
      <c r="C161" s="7" t="str">
        <f ca="1">INDEX('Version control'!$H$34:$H$60,MATCH($A$1,'Version control'!$F$34:$F$60,0),1)&amp;"-J: Revenue matching inputs"</f>
        <v>Input 504-J: Revenue matching inputs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</row>
    <row r="162" spans="3:44" x14ac:dyDescent="0.25">
      <c r="C162" s="86"/>
      <c r="D162" s="98"/>
      <c r="AR162" s="252"/>
    </row>
    <row r="163" spans="3:44" ht="60" x14ac:dyDescent="0.25">
      <c r="C163" s="86"/>
      <c r="D163" s="98"/>
      <c r="E163" s="96" t="s">
        <v>1003</v>
      </c>
      <c r="J163" s="382" t="s">
        <v>1004</v>
      </c>
      <c r="K163" s="382" t="s">
        <v>929</v>
      </c>
      <c r="L163" s="382" t="s">
        <v>1005</v>
      </c>
      <c r="M163" s="382" t="s">
        <v>1006</v>
      </c>
      <c r="N163" s="382" t="s">
        <v>1007</v>
      </c>
      <c r="O163" s="382" t="s">
        <v>1008</v>
      </c>
      <c r="P163" s="382" t="s">
        <v>1009</v>
      </c>
      <c r="Q163" s="382" t="s">
        <v>931</v>
      </c>
      <c r="R163" s="382" t="s">
        <v>1010</v>
      </c>
      <c r="S163" s="382" t="s">
        <v>1011</v>
      </c>
      <c r="T163" s="382" t="s">
        <v>1012</v>
      </c>
      <c r="U163" s="382" t="s">
        <v>1013</v>
      </c>
      <c r="V163" s="382" t="s">
        <v>1014</v>
      </c>
      <c r="W163" s="382" t="s">
        <v>1015</v>
      </c>
      <c r="X163" s="382" t="s">
        <v>1016</v>
      </c>
      <c r="Y163" s="382" t="s">
        <v>1017</v>
      </c>
      <c r="Z163" s="382" t="s">
        <v>1018</v>
      </c>
      <c r="AA163" s="382" t="s">
        <v>1019</v>
      </c>
      <c r="AB163" s="382" t="s">
        <v>1020</v>
      </c>
      <c r="AC163" s="382" t="s">
        <v>1021</v>
      </c>
      <c r="AD163" s="382" t="s">
        <v>1022</v>
      </c>
      <c r="AE163" s="382" t="s">
        <v>1023</v>
      </c>
      <c r="AF163" s="382" t="s">
        <v>1024</v>
      </c>
      <c r="AG163" s="382" t="s">
        <v>935</v>
      </c>
      <c r="AH163" s="382" t="s">
        <v>936</v>
      </c>
      <c r="AI163" s="382" t="s">
        <v>937</v>
      </c>
      <c r="AJ163" s="382" t="s">
        <v>938</v>
      </c>
      <c r="AK163" s="382" t="s">
        <v>939</v>
      </c>
      <c r="AL163" s="382" t="s">
        <v>940</v>
      </c>
      <c r="AM163" s="382" t="s">
        <v>941</v>
      </c>
      <c r="AN163" s="382" t="s">
        <v>942</v>
      </c>
      <c r="AO163" s="382" t="s">
        <v>943</v>
      </c>
      <c r="AR163" s="252"/>
    </row>
    <row r="164" spans="3:44" x14ac:dyDescent="0.25">
      <c r="C164" s="86"/>
      <c r="D164" s="98"/>
      <c r="F164" s="91" t="s">
        <v>1025</v>
      </c>
      <c r="G164" s="91" t="s">
        <v>1026</v>
      </c>
      <c r="H164" s="91"/>
      <c r="I164" s="91"/>
      <c r="J164" s="466" t="b">
        <v>1</v>
      </c>
      <c r="K164" s="466" t="b">
        <v>0</v>
      </c>
      <c r="L164" s="466" t="b">
        <v>0</v>
      </c>
      <c r="M164" s="466" t="b">
        <v>1</v>
      </c>
      <c r="N164" s="466" t="b">
        <v>1</v>
      </c>
      <c r="O164" s="466" t="b">
        <v>1</v>
      </c>
      <c r="P164" s="466" t="b">
        <v>1</v>
      </c>
      <c r="Q164" s="466" t="b">
        <v>0</v>
      </c>
      <c r="R164" s="466" t="b">
        <v>0</v>
      </c>
      <c r="S164" s="466" t="b">
        <v>1</v>
      </c>
      <c r="T164" s="466" t="b">
        <v>1</v>
      </c>
      <c r="U164" s="466" t="b">
        <v>1</v>
      </c>
      <c r="V164" s="466" t="b">
        <v>1</v>
      </c>
      <c r="W164" s="466" t="b">
        <v>0</v>
      </c>
      <c r="X164" s="466" t="b">
        <v>1</v>
      </c>
      <c r="Y164" s="466" t="b">
        <v>1</v>
      </c>
      <c r="Z164" s="466" t="b">
        <v>1</v>
      </c>
      <c r="AA164" s="466" t="b">
        <v>1</v>
      </c>
      <c r="AB164" s="466" t="b">
        <v>0</v>
      </c>
      <c r="AC164" s="466" t="b">
        <v>1</v>
      </c>
      <c r="AD164" s="466" t="b">
        <v>1</v>
      </c>
      <c r="AE164" s="466" t="b">
        <v>1</v>
      </c>
      <c r="AF164" s="466" t="b">
        <v>1</v>
      </c>
      <c r="AG164" s="466" t="b">
        <v>1</v>
      </c>
      <c r="AH164" s="466" t="b">
        <v>0</v>
      </c>
      <c r="AI164" s="466" t="b">
        <v>0</v>
      </c>
      <c r="AJ164" s="466" t="b">
        <v>0</v>
      </c>
      <c r="AK164" s="466" t="b">
        <v>0</v>
      </c>
      <c r="AL164" s="466" t="b">
        <v>0</v>
      </c>
      <c r="AM164" s="466" t="b">
        <v>0</v>
      </c>
      <c r="AN164" s="466" t="b">
        <v>0</v>
      </c>
      <c r="AO164" s="466" t="b">
        <v>0</v>
      </c>
      <c r="AR164" s="252"/>
    </row>
    <row r="165" spans="3:44" x14ac:dyDescent="0.25">
      <c r="C165" s="86"/>
      <c r="D165" s="98"/>
      <c r="F165" s="293" t="s">
        <v>1027</v>
      </c>
      <c r="G165" s="293" t="s">
        <v>1026</v>
      </c>
      <c r="J165" s="467" t="b">
        <v>1</v>
      </c>
      <c r="K165" s="101"/>
      <c r="L165" s="101"/>
      <c r="M165" s="467" t="b">
        <v>1</v>
      </c>
      <c r="N165" s="467" t="b">
        <v>1</v>
      </c>
      <c r="O165" s="467" t="b">
        <v>1</v>
      </c>
      <c r="P165" s="467" t="b">
        <v>1</v>
      </c>
      <c r="Q165" s="101"/>
      <c r="R165" s="101"/>
      <c r="S165" s="467" t="b">
        <v>1</v>
      </c>
      <c r="T165" s="467" t="b">
        <v>1</v>
      </c>
      <c r="U165" s="467" t="b">
        <v>1</v>
      </c>
      <c r="V165" s="467" t="b">
        <v>1</v>
      </c>
      <c r="W165" s="101"/>
      <c r="X165" s="467" t="b">
        <v>1</v>
      </c>
      <c r="Y165" s="467" t="b">
        <v>1</v>
      </c>
      <c r="Z165" s="467" t="b">
        <v>1</v>
      </c>
      <c r="AA165" s="467" t="b">
        <v>1</v>
      </c>
      <c r="AB165" s="101"/>
      <c r="AC165" s="467" t="b">
        <v>1</v>
      </c>
      <c r="AD165" s="467" t="b">
        <v>1</v>
      </c>
      <c r="AE165" s="467" t="b">
        <v>1</v>
      </c>
      <c r="AF165" s="467" t="b">
        <v>1</v>
      </c>
      <c r="AG165" s="467" t="b">
        <v>0</v>
      </c>
      <c r="AH165" s="101"/>
      <c r="AI165" s="101"/>
      <c r="AJ165" s="101"/>
      <c r="AK165" s="101"/>
      <c r="AL165" s="101"/>
      <c r="AM165" s="101"/>
      <c r="AN165" s="101"/>
      <c r="AO165" s="101"/>
      <c r="AR165" s="252"/>
    </row>
    <row r="166" spans="3:44" x14ac:dyDescent="0.25">
      <c r="C166" s="86"/>
      <c r="D166" s="98"/>
      <c r="F166" s="293" t="s">
        <v>1028</v>
      </c>
      <c r="G166" s="293" t="s">
        <v>1026</v>
      </c>
      <c r="J166" s="467" t="b">
        <v>0</v>
      </c>
      <c r="K166" s="101"/>
      <c r="L166" s="101"/>
      <c r="M166" s="467" t="b">
        <v>0</v>
      </c>
      <c r="N166" s="467" t="b">
        <v>0</v>
      </c>
      <c r="O166" s="467" t="b">
        <v>0</v>
      </c>
      <c r="P166" s="467" t="b">
        <v>0</v>
      </c>
      <c r="Q166" s="101"/>
      <c r="R166" s="101"/>
      <c r="S166" s="467" t="b">
        <v>0</v>
      </c>
      <c r="T166" s="467" t="b">
        <v>0</v>
      </c>
      <c r="U166" s="467" t="b">
        <v>0</v>
      </c>
      <c r="V166" s="467" t="b">
        <v>0</v>
      </c>
      <c r="W166" s="101"/>
      <c r="X166" s="467" t="b">
        <v>0</v>
      </c>
      <c r="Y166" s="467" t="b">
        <v>0</v>
      </c>
      <c r="Z166" s="467" t="b">
        <v>0</v>
      </c>
      <c r="AA166" s="467" t="b">
        <v>0</v>
      </c>
      <c r="AB166" s="101"/>
      <c r="AC166" s="467" t="b">
        <v>0</v>
      </c>
      <c r="AD166" s="467" t="b">
        <v>0</v>
      </c>
      <c r="AE166" s="467" t="b">
        <v>0</v>
      </c>
      <c r="AF166" s="467" t="b">
        <v>0</v>
      </c>
      <c r="AG166" s="467" t="b">
        <v>1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25">
      <c r="C167" s="86"/>
      <c r="D167" s="98"/>
      <c r="F167" s="293" t="s">
        <v>1029</v>
      </c>
      <c r="G167" s="293" t="s">
        <v>427</v>
      </c>
      <c r="J167" s="467">
        <v>1</v>
      </c>
      <c r="K167" s="101"/>
      <c r="L167" s="101"/>
      <c r="M167" s="467">
        <v>2</v>
      </c>
      <c r="N167" s="467">
        <v>2</v>
      </c>
      <c r="O167" s="467">
        <v>2</v>
      </c>
      <c r="P167" s="467">
        <v>2</v>
      </c>
      <c r="Q167" s="101"/>
      <c r="R167" s="101"/>
      <c r="S167" s="467">
        <v>3</v>
      </c>
      <c r="T167" s="467">
        <v>3</v>
      </c>
      <c r="U167" s="467">
        <v>3</v>
      </c>
      <c r="V167" s="467">
        <v>3</v>
      </c>
      <c r="W167" s="101"/>
      <c r="X167" s="467">
        <v>3</v>
      </c>
      <c r="Y167" s="467">
        <v>3</v>
      </c>
      <c r="Z167" s="467">
        <v>3</v>
      </c>
      <c r="AA167" s="467">
        <v>3</v>
      </c>
      <c r="AB167" s="101"/>
      <c r="AC167" s="467">
        <v>4</v>
      </c>
      <c r="AD167" s="467">
        <v>4</v>
      </c>
      <c r="AE167" s="467">
        <v>4</v>
      </c>
      <c r="AF167" s="467">
        <v>4</v>
      </c>
      <c r="AG167" s="467">
        <v>5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25">
      <c r="C168" s="86"/>
      <c r="D168" s="98"/>
      <c r="F168" s="293" t="s">
        <v>1030</v>
      </c>
      <c r="G168" s="293" t="s">
        <v>427</v>
      </c>
      <c r="J168" s="467">
        <v>1</v>
      </c>
      <c r="K168" s="101"/>
      <c r="L168" s="101"/>
      <c r="M168" s="467">
        <v>1</v>
      </c>
      <c r="N168" s="467">
        <v>2</v>
      </c>
      <c r="O168" s="467">
        <v>3</v>
      </c>
      <c r="P168" s="467">
        <v>4</v>
      </c>
      <c r="Q168" s="101"/>
      <c r="R168" s="101"/>
      <c r="S168" s="467">
        <v>1</v>
      </c>
      <c r="T168" s="467">
        <v>2</v>
      </c>
      <c r="U168" s="467">
        <v>3</v>
      </c>
      <c r="V168" s="467">
        <v>4</v>
      </c>
      <c r="W168" s="101"/>
      <c r="X168" s="467">
        <v>1</v>
      </c>
      <c r="Y168" s="467">
        <v>2</v>
      </c>
      <c r="Z168" s="467">
        <v>3</v>
      </c>
      <c r="AA168" s="467">
        <v>4</v>
      </c>
      <c r="AB168" s="101"/>
      <c r="AC168" s="467">
        <v>1</v>
      </c>
      <c r="AD168" s="467">
        <v>2</v>
      </c>
      <c r="AE168" s="467">
        <v>3</v>
      </c>
      <c r="AF168" s="467">
        <v>4</v>
      </c>
      <c r="AG168" s="467">
        <v>1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25">
      <c r="C169" s="86"/>
      <c r="D169" s="98"/>
      <c r="F169" s="93" t="s">
        <v>1031</v>
      </c>
      <c r="G169" s="93" t="s">
        <v>427</v>
      </c>
      <c r="H169" s="93"/>
      <c r="I169" s="93"/>
      <c r="J169" s="468">
        <v>1</v>
      </c>
      <c r="K169" s="468">
        <v>2</v>
      </c>
      <c r="L169" s="468">
        <v>3</v>
      </c>
      <c r="M169" s="468">
        <v>3</v>
      </c>
      <c r="N169" s="468">
        <v>3</v>
      </c>
      <c r="O169" s="468">
        <v>3</v>
      </c>
      <c r="P169" s="468">
        <v>3</v>
      </c>
      <c r="Q169" s="468">
        <v>4</v>
      </c>
      <c r="R169" s="468">
        <v>5</v>
      </c>
      <c r="S169" s="468">
        <v>5</v>
      </c>
      <c r="T169" s="468">
        <v>5</v>
      </c>
      <c r="U169" s="468">
        <v>5</v>
      </c>
      <c r="V169" s="468">
        <v>5</v>
      </c>
      <c r="W169" s="468">
        <v>6</v>
      </c>
      <c r="X169" s="468">
        <v>6</v>
      </c>
      <c r="Y169" s="468">
        <v>6</v>
      </c>
      <c r="Z169" s="468">
        <v>6</v>
      </c>
      <c r="AA169" s="468">
        <v>6</v>
      </c>
      <c r="AB169" s="468">
        <v>7</v>
      </c>
      <c r="AC169" s="468">
        <v>7</v>
      </c>
      <c r="AD169" s="468">
        <v>7</v>
      </c>
      <c r="AE169" s="468">
        <v>7</v>
      </c>
      <c r="AF169" s="468">
        <v>7</v>
      </c>
      <c r="AG169" s="468">
        <v>8</v>
      </c>
      <c r="AH169" s="468">
        <v>9</v>
      </c>
      <c r="AI169" s="468">
        <v>10</v>
      </c>
      <c r="AJ169" s="468">
        <v>11</v>
      </c>
      <c r="AK169" s="468">
        <v>12</v>
      </c>
      <c r="AL169" s="468">
        <v>13</v>
      </c>
      <c r="AM169" s="468">
        <v>14</v>
      </c>
      <c r="AN169" s="468">
        <v>15</v>
      </c>
      <c r="AO169" s="468">
        <v>16</v>
      </c>
      <c r="AR169" s="252"/>
    </row>
    <row r="170" spans="3:44" x14ac:dyDescent="0.25">
      <c r="C170" s="86"/>
      <c r="D170" s="98"/>
      <c r="AR170" s="252"/>
    </row>
    <row r="171" spans="3:44" x14ac:dyDescent="0.25">
      <c r="C171" s="86"/>
      <c r="D171" s="98"/>
      <c r="E171" s="293" t="s">
        <v>1032</v>
      </c>
      <c r="G171" s="293" t="s">
        <v>427</v>
      </c>
      <c r="H171" s="469">
        <v>2</v>
      </c>
      <c r="AR171" s="252"/>
    </row>
    <row r="172" spans="3:44" x14ac:dyDescent="0.25">
      <c r="C172" s="86"/>
      <c r="D172" s="98"/>
      <c r="AR172" s="252"/>
    </row>
    <row r="173" spans="3:44" x14ac:dyDescent="0.25">
      <c r="C173" s="86"/>
      <c r="D173" s="98"/>
      <c r="E173" s="96" t="s">
        <v>1033</v>
      </c>
      <c r="AR173" s="252"/>
    </row>
    <row r="174" spans="3:44" x14ac:dyDescent="0.25">
      <c r="C174" s="86"/>
      <c r="D174" s="98"/>
      <c r="E174" s="96"/>
      <c r="F174" s="82" t="s">
        <v>1034</v>
      </c>
      <c r="AR174" s="252"/>
    </row>
    <row r="175" spans="3:44" ht="60" x14ac:dyDescent="0.25">
      <c r="C175" s="86"/>
      <c r="D175" s="98"/>
      <c r="E175" s="96"/>
      <c r="F175" s="470" t="s">
        <v>1035</v>
      </c>
      <c r="J175" s="382" t="s">
        <v>1004</v>
      </c>
      <c r="K175" s="382" t="s">
        <v>929</v>
      </c>
      <c r="L175" s="382" t="s">
        <v>1005</v>
      </c>
      <c r="M175" s="382" t="s">
        <v>1006</v>
      </c>
      <c r="N175" s="382" t="s">
        <v>1007</v>
      </c>
      <c r="O175" s="382" t="s">
        <v>1008</v>
      </c>
      <c r="P175" s="382" t="s">
        <v>1009</v>
      </c>
      <c r="Q175" s="382" t="s">
        <v>931</v>
      </c>
      <c r="R175" s="382" t="s">
        <v>1010</v>
      </c>
      <c r="S175" s="382" t="s">
        <v>1011</v>
      </c>
      <c r="T175" s="382" t="s">
        <v>1012</v>
      </c>
      <c r="U175" s="382" t="s">
        <v>1013</v>
      </c>
      <c r="V175" s="382" t="s">
        <v>1014</v>
      </c>
      <c r="W175" s="382" t="s">
        <v>1015</v>
      </c>
      <c r="X175" s="382" t="s">
        <v>1016</v>
      </c>
      <c r="Y175" s="382" t="s">
        <v>1017</v>
      </c>
      <c r="Z175" s="382" t="s">
        <v>1018</v>
      </c>
      <c r="AA175" s="382" t="s">
        <v>1019</v>
      </c>
      <c r="AB175" s="382" t="s">
        <v>1020</v>
      </c>
      <c r="AC175" s="382" t="s">
        <v>1021</v>
      </c>
      <c r="AD175" s="382" t="s">
        <v>1022</v>
      </c>
      <c r="AE175" s="382" t="s">
        <v>1023</v>
      </c>
      <c r="AF175" s="382" t="s">
        <v>1024</v>
      </c>
      <c r="AG175" s="382" t="s">
        <v>935</v>
      </c>
      <c r="AH175" s="382" t="s">
        <v>936</v>
      </c>
      <c r="AI175" s="382" t="s">
        <v>937</v>
      </c>
      <c r="AJ175" s="382" t="s">
        <v>938</v>
      </c>
      <c r="AK175" s="382" t="s">
        <v>939</v>
      </c>
      <c r="AL175" s="382" t="s">
        <v>940</v>
      </c>
      <c r="AM175" s="382" t="s">
        <v>941</v>
      </c>
      <c r="AN175" s="382" t="s">
        <v>942</v>
      </c>
      <c r="AO175" s="382" t="s">
        <v>943</v>
      </c>
      <c r="AR175" s="252"/>
    </row>
    <row r="176" spans="3:44" x14ac:dyDescent="0.25">
      <c r="C176" s="86"/>
      <c r="D176" s="98"/>
      <c r="F176" s="91" t="s">
        <v>1036</v>
      </c>
      <c r="G176" s="91" t="s">
        <v>427</v>
      </c>
      <c r="H176" s="91"/>
      <c r="I176" s="91"/>
      <c r="J176" s="455">
        <v>1</v>
      </c>
      <c r="K176" s="106"/>
      <c r="L176" s="106"/>
      <c r="M176" s="455">
        <v>1</v>
      </c>
      <c r="N176" s="455">
        <v>2</v>
      </c>
      <c r="O176" s="455">
        <v>3</v>
      </c>
      <c r="P176" s="455">
        <v>4</v>
      </c>
      <c r="Q176" s="106"/>
      <c r="R176" s="106"/>
      <c r="S176" s="455">
        <v>1</v>
      </c>
      <c r="T176" s="455">
        <v>2</v>
      </c>
      <c r="U176" s="455">
        <v>3</v>
      </c>
      <c r="V176" s="455">
        <v>4</v>
      </c>
      <c r="W176" s="106"/>
      <c r="X176" s="455">
        <v>1</v>
      </c>
      <c r="Y176" s="455">
        <v>2</v>
      </c>
      <c r="Z176" s="455">
        <v>3</v>
      </c>
      <c r="AA176" s="455">
        <v>4</v>
      </c>
      <c r="AB176" s="106"/>
      <c r="AC176" s="455">
        <v>1</v>
      </c>
      <c r="AD176" s="455">
        <v>2</v>
      </c>
      <c r="AE176" s="455">
        <v>3</v>
      </c>
      <c r="AF176" s="455">
        <v>4</v>
      </c>
      <c r="AG176" s="455">
        <v>1</v>
      </c>
      <c r="AH176" s="106"/>
      <c r="AI176" s="106"/>
      <c r="AJ176" s="106"/>
      <c r="AK176" s="106"/>
      <c r="AL176" s="106"/>
      <c r="AM176" s="106"/>
      <c r="AN176" s="106"/>
      <c r="AO176" s="106"/>
      <c r="AR176" s="252"/>
    </row>
    <row r="177" spans="2:44" x14ac:dyDescent="0.25">
      <c r="C177" s="86"/>
      <c r="D177" s="98"/>
      <c r="F177" s="293" t="s">
        <v>1037</v>
      </c>
      <c r="G177" s="293" t="s">
        <v>427</v>
      </c>
      <c r="J177" s="469">
        <v>1</v>
      </c>
      <c r="K177" s="101"/>
      <c r="L177" s="101"/>
      <c r="M177" s="469">
        <v>1</v>
      </c>
      <c r="N177" s="469">
        <v>1</v>
      </c>
      <c r="O177" s="469">
        <v>2</v>
      </c>
      <c r="P177" s="469">
        <v>3</v>
      </c>
      <c r="Q177" s="101"/>
      <c r="R177" s="101"/>
      <c r="S177" s="469">
        <v>1</v>
      </c>
      <c r="T177" s="469">
        <v>1</v>
      </c>
      <c r="U177" s="469">
        <v>2</v>
      </c>
      <c r="V177" s="469">
        <v>3</v>
      </c>
      <c r="W177" s="101"/>
      <c r="X177" s="469">
        <v>1</v>
      </c>
      <c r="Y177" s="469">
        <v>1</v>
      </c>
      <c r="Z177" s="469">
        <v>2</v>
      </c>
      <c r="AA177" s="469">
        <v>3</v>
      </c>
      <c r="AB177" s="101"/>
      <c r="AC177" s="469">
        <v>1</v>
      </c>
      <c r="AD177" s="469">
        <v>1</v>
      </c>
      <c r="AE177" s="469">
        <v>2</v>
      </c>
      <c r="AF177" s="469">
        <v>3</v>
      </c>
      <c r="AG177" s="469">
        <v>1</v>
      </c>
      <c r="AH177" s="101"/>
      <c r="AI177" s="101"/>
      <c r="AJ177" s="101"/>
      <c r="AK177" s="101"/>
      <c r="AL177" s="101"/>
      <c r="AM177" s="101"/>
      <c r="AN177" s="101"/>
      <c r="AO177" s="101"/>
      <c r="AR177" s="252"/>
    </row>
    <row r="178" spans="2:44" x14ac:dyDescent="0.25">
      <c r="C178" s="86"/>
      <c r="D178" s="98"/>
      <c r="F178" s="293" t="s">
        <v>1038</v>
      </c>
      <c r="G178" s="293" t="s">
        <v>427</v>
      </c>
      <c r="J178" s="469">
        <v>1</v>
      </c>
      <c r="K178" s="101"/>
      <c r="L178" s="101"/>
      <c r="M178" s="469">
        <v>1</v>
      </c>
      <c r="N178" s="469">
        <v>2</v>
      </c>
      <c r="O178" s="469">
        <v>2</v>
      </c>
      <c r="P178" s="469">
        <v>3</v>
      </c>
      <c r="Q178" s="101"/>
      <c r="R178" s="101"/>
      <c r="S178" s="469">
        <v>1</v>
      </c>
      <c r="T178" s="469">
        <v>2</v>
      </c>
      <c r="U178" s="469">
        <v>2</v>
      </c>
      <c r="V178" s="469">
        <v>3</v>
      </c>
      <c r="W178" s="101"/>
      <c r="X178" s="469">
        <v>1</v>
      </c>
      <c r="Y178" s="469">
        <v>2</v>
      </c>
      <c r="Z178" s="469">
        <v>2</v>
      </c>
      <c r="AA178" s="469">
        <v>3</v>
      </c>
      <c r="AB178" s="101"/>
      <c r="AC178" s="469">
        <v>1</v>
      </c>
      <c r="AD178" s="469">
        <v>2</v>
      </c>
      <c r="AE178" s="469">
        <v>2</v>
      </c>
      <c r="AF178" s="469">
        <v>3</v>
      </c>
      <c r="AG178" s="469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25">
      <c r="C179" s="86"/>
      <c r="D179" s="98"/>
      <c r="F179" s="293" t="s">
        <v>1039</v>
      </c>
      <c r="G179" s="293" t="s">
        <v>427</v>
      </c>
      <c r="J179" s="469">
        <v>1</v>
      </c>
      <c r="K179" s="101"/>
      <c r="L179" s="101"/>
      <c r="M179" s="469">
        <v>1</v>
      </c>
      <c r="N179" s="469">
        <v>2</v>
      </c>
      <c r="O179" s="469">
        <v>3</v>
      </c>
      <c r="P179" s="469">
        <v>3</v>
      </c>
      <c r="Q179" s="101"/>
      <c r="R179" s="101"/>
      <c r="S179" s="469">
        <v>1</v>
      </c>
      <c r="T179" s="469">
        <v>2</v>
      </c>
      <c r="U179" s="469">
        <v>3</v>
      </c>
      <c r="V179" s="469">
        <v>3</v>
      </c>
      <c r="W179" s="101"/>
      <c r="X179" s="469">
        <v>1</v>
      </c>
      <c r="Y179" s="469">
        <v>2</v>
      </c>
      <c r="Z179" s="469">
        <v>3</v>
      </c>
      <c r="AA179" s="469">
        <v>3</v>
      </c>
      <c r="AB179" s="101"/>
      <c r="AC179" s="469">
        <v>1</v>
      </c>
      <c r="AD179" s="469">
        <v>2</v>
      </c>
      <c r="AE179" s="469">
        <v>3</v>
      </c>
      <c r="AF179" s="469">
        <v>3</v>
      </c>
      <c r="AG179" s="469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25">
      <c r="C180" s="86"/>
      <c r="D180" s="98"/>
      <c r="F180" s="293" t="s">
        <v>1040</v>
      </c>
      <c r="G180" s="293" t="s">
        <v>427</v>
      </c>
      <c r="J180" s="469">
        <v>1</v>
      </c>
      <c r="K180" s="101"/>
      <c r="L180" s="101"/>
      <c r="M180" s="469">
        <v>1</v>
      </c>
      <c r="N180" s="469">
        <v>1</v>
      </c>
      <c r="O180" s="469">
        <v>2</v>
      </c>
      <c r="P180" s="469">
        <v>2</v>
      </c>
      <c r="Q180" s="101"/>
      <c r="R180" s="101"/>
      <c r="S180" s="469">
        <v>1</v>
      </c>
      <c r="T180" s="469">
        <v>1</v>
      </c>
      <c r="U180" s="469">
        <v>2</v>
      </c>
      <c r="V180" s="469">
        <v>2</v>
      </c>
      <c r="W180" s="101"/>
      <c r="X180" s="469">
        <v>1</v>
      </c>
      <c r="Y180" s="469">
        <v>1</v>
      </c>
      <c r="Z180" s="469">
        <v>2</v>
      </c>
      <c r="AA180" s="469">
        <v>2</v>
      </c>
      <c r="AB180" s="101"/>
      <c r="AC180" s="469">
        <v>1</v>
      </c>
      <c r="AD180" s="469">
        <v>1</v>
      </c>
      <c r="AE180" s="469">
        <v>2</v>
      </c>
      <c r="AF180" s="469">
        <v>2</v>
      </c>
      <c r="AG180" s="469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25">
      <c r="C181" s="86"/>
      <c r="D181" s="98"/>
      <c r="F181" s="293" t="s">
        <v>1041</v>
      </c>
      <c r="G181" s="293" t="s">
        <v>427</v>
      </c>
      <c r="J181" s="469">
        <v>1</v>
      </c>
      <c r="K181" s="101"/>
      <c r="L181" s="101"/>
      <c r="M181" s="469">
        <v>1</v>
      </c>
      <c r="N181" s="469">
        <v>1</v>
      </c>
      <c r="O181" s="469">
        <v>1</v>
      </c>
      <c r="P181" s="469">
        <v>2</v>
      </c>
      <c r="Q181" s="101"/>
      <c r="R181" s="101"/>
      <c r="S181" s="469">
        <v>1</v>
      </c>
      <c r="T181" s="469">
        <v>1</v>
      </c>
      <c r="U181" s="469">
        <v>1</v>
      </c>
      <c r="V181" s="469">
        <v>2</v>
      </c>
      <c r="W181" s="101"/>
      <c r="X181" s="469">
        <v>1</v>
      </c>
      <c r="Y181" s="469">
        <v>1</v>
      </c>
      <c r="Z181" s="469">
        <v>1</v>
      </c>
      <c r="AA181" s="469">
        <v>2</v>
      </c>
      <c r="AB181" s="101"/>
      <c r="AC181" s="469">
        <v>1</v>
      </c>
      <c r="AD181" s="469">
        <v>1</v>
      </c>
      <c r="AE181" s="469">
        <v>1</v>
      </c>
      <c r="AF181" s="469">
        <v>2</v>
      </c>
      <c r="AG181" s="469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25">
      <c r="C182" s="86"/>
      <c r="D182" s="98"/>
      <c r="F182" s="293" t="s">
        <v>1042</v>
      </c>
      <c r="G182" s="293" t="s">
        <v>427</v>
      </c>
      <c r="J182" s="469">
        <v>1</v>
      </c>
      <c r="K182" s="101"/>
      <c r="L182" s="101"/>
      <c r="M182" s="469">
        <v>1</v>
      </c>
      <c r="N182" s="469">
        <v>2</v>
      </c>
      <c r="O182" s="469">
        <v>2</v>
      </c>
      <c r="P182" s="469">
        <v>2</v>
      </c>
      <c r="Q182" s="101"/>
      <c r="R182" s="101"/>
      <c r="S182" s="469">
        <v>1</v>
      </c>
      <c r="T182" s="469">
        <v>2</v>
      </c>
      <c r="U182" s="469">
        <v>2</v>
      </c>
      <c r="V182" s="469">
        <v>2</v>
      </c>
      <c r="W182" s="101"/>
      <c r="X182" s="469">
        <v>1</v>
      </c>
      <c r="Y182" s="469">
        <v>2</v>
      </c>
      <c r="Z182" s="469">
        <v>2</v>
      </c>
      <c r="AA182" s="469">
        <v>2</v>
      </c>
      <c r="AB182" s="101"/>
      <c r="AC182" s="469">
        <v>1</v>
      </c>
      <c r="AD182" s="469">
        <v>2</v>
      </c>
      <c r="AE182" s="469">
        <v>2</v>
      </c>
      <c r="AF182" s="469">
        <v>2</v>
      </c>
      <c r="AG182" s="469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25">
      <c r="C183" s="86"/>
      <c r="D183" s="98"/>
      <c r="F183" s="93" t="s">
        <v>1043</v>
      </c>
      <c r="G183" s="93" t="s">
        <v>427</v>
      </c>
      <c r="H183" s="93"/>
      <c r="I183" s="93"/>
      <c r="J183" s="456">
        <v>1</v>
      </c>
      <c r="K183" s="102"/>
      <c r="L183" s="102"/>
      <c r="M183" s="456">
        <v>1</v>
      </c>
      <c r="N183" s="456">
        <v>1</v>
      </c>
      <c r="O183" s="456">
        <v>1</v>
      </c>
      <c r="P183" s="456">
        <v>1</v>
      </c>
      <c r="Q183" s="102"/>
      <c r="R183" s="102"/>
      <c r="S183" s="456">
        <v>1</v>
      </c>
      <c r="T183" s="456">
        <v>1</v>
      </c>
      <c r="U183" s="456">
        <v>1</v>
      </c>
      <c r="V183" s="456">
        <v>1</v>
      </c>
      <c r="W183" s="102"/>
      <c r="X183" s="456">
        <v>1</v>
      </c>
      <c r="Y183" s="456">
        <v>1</v>
      </c>
      <c r="Z183" s="456">
        <v>1</v>
      </c>
      <c r="AA183" s="456">
        <v>1</v>
      </c>
      <c r="AB183" s="102"/>
      <c r="AC183" s="456">
        <v>1</v>
      </c>
      <c r="AD183" s="456">
        <v>1</v>
      </c>
      <c r="AE183" s="456">
        <v>1</v>
      </c>
      <c r="AF183" s="456">
        <v>1</v>
      </c>
      <c r="AG183" s="456">
        <v>1</v>
      </c>
      <c r="AH183" s="102"/>
      <c r="AI183" s="102"/>
      <c r="AJ183" s="102"/>
      <c r="AK183" s="102"/>
      <c r="AL183" s="102"/>
      <c r="AM183" s="102"/>
      <c r="AN183" s="102"/>
      <c r="AO183" s="102"/>
      <c r="AR183" s="252"/>
    </row>
    <row r="184" spans="2:44" x14ac:dyDescent="0.25">
      <c r="C184" s="86"/>
      <c r="D184" s="98"/>
      <c r="E184" s="96"/>
      <c r="AR184" s="252"/>
    </row>
    <row r="185" spans="2:44" x14ac:dyDescent="0.25">
      <c r="B185" s="95" t="s">
        <v>109</v>
      </c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5"/>
      <c r="AE185" s="95"/>
      <c r="AF185" s="95"/>
      <c r="AG185" s="95"/>
      <c r="AH185" s="95"/>
      <c r="AI185" s="95"/>
      <c r="AJ185" s="95"/>
      <c r="AK185" s="95"/>
      <c r="AL185" s="95"/>
      <c r="AM185" s="95"/>
      <c r="AN185" s="95"/>
      <c r="AO185" s="95"/>
      <c r="AP185" s="95"/>
      <c r="AQ185" s="95"/>
    </row>
    <row r="186" spans="2:44" x14ac:dyDescent="0.25">
      <c r="F186" s="88"/>
      <c r="G186" s="88"/>
      <c r="H186" s="88"/>
      <c r="I186" s="88"/>
    </row>
    <row r="187" spans="2:44" x14ac:dyDescent="0.25">
      <c r="E187" s="293" t="s">
        <v>416</v>
      </c>
      <c r="G187" s="122" t="s">
        <v>589</v>
      </c>
      <c r="H187" s="372">
        <f t="array" ref="H187">SUM(IF(ISERROR(H15:Y146), 1))</f>
        <v>0</v>
      </c>
      <c r="I187" s="88"/>
    </row>
    <row r="188" spans="2:44" x14ac:dyDescent="0.25">
      <c r="I188" s="88"/>
    </row>
    <row r="189" spans="2:44" x14ac:dyDescent="0.25">
      <c r="E189" s="96" t="s">
        <v>547</v>
      </c>
      <c r="I189" s="88"/>
    </row>
    <row r="190" spans="2:44" x14ac:dyDescent="0.25">
      <c r="F190" s="91" t="s">
        <v>548</v>
      </c>
      <c r="G190" s="58" t="s">
        <v>589</v>
      </c>
      <c r="H190" s="177">
        <f>SUM(J190:Y190)</f>
        <v>0</v>
      </c>
      <c r="I190" s="94"/>
      <c r="J190" s="177">
        <f t="shared" ref="J190:Y190" si="0">IF( OR( AND(J105 = TRUE, NOT(ISBLANK(J106))), AND(J105 = FALSE, J106 = 0)), 0, 1)</f>
        <v>0</v>
      </c>
      <c r="K190" s="177">
        <f t="shared" si="0"/>
        <v>0</v>
      </c>
      <c r="L190" s="177">
        <f t="shared" si="0"/>
        <v>0</v>
      </c>
      <c r="M190" s="177">
        <f t="shared" si="0"/>
        <v>0</v>
      </c>
      <c r="N190" s="177">
        <f t="shared" si="0"/>
        <v>0</v>
      </c>
      <c r="O190" s="177">
        <f t="shared" si="0"/>
        <v>0</v>
      </c>
      <c r="P190" s="177">
        <f t="shared" si="0"/>
        <v>0</v>
      </c>
      <c r="Q190" s="177">
        <f t="shared" si="0"/>
        <v>0</v>
      </c>
      <c r="R190" s="177">
        <f t="shared" si="0"/>
        <v>0</v>
      </c>
      <c r="S190" s="177">
        <f t="shared" si="0"/>
        <v>0</v>
      </c>
      <c r="T190" s="177">
        <f t="shared" si="0"/>
        <v>0</v>
      </c>
      <c r="U190" s="177">
        <f t="shared" si="0"/>
        <v>0</v>
      </c>
      <c r="V190" s="177">
        <f t="shared" si="0"/>
        <v>0</v>
      </c>
      <c r="W190" s="177">
        <f t="shared" si="0"/>
        <v>0</v>
      </c>
      <c r="X190" s="177">
        <f t="shared" si="0"/>
        <v>0</v>
      </c>
      <c r="Y190" s="177">
        <f t="shared" si="0"/>
        <v>0</v>
      </c>
    </row>
    <row r="191" spans="2:44" x14ac:dyDescent="0.25">
      <c r="F191" s="293" t="s">
        <v>549</v>
      </c>
      <c r="G191" s="122" t="s">
        <v>589</v>
      </c>
      <c r="H191" s="372">
        <f>SUM(J191:Y191)</f>
        <v>0</v>
      </c>
      <c r="I191" s="88"/>
      <c r="J191" s="372">
        <f t="shared" ref="J191:Y191" si="1">IF( OR( AND(J109 = TRUE, NOT(ISBLANK(J110))), AND(J109 = FALSE, J110 = 0)), 0, 1)</f>
        <v>0</v>
      </c>
      <c r="K191" s="372">
        <f t="shared" si="1"/>
        <v>0</v>
      </c>
      <c r="L191" s="372">
        <f t="shared" si="1"/>
        <v>0</v>
      </c>
      <c r="M191" s="372">
        <f t="shared" si="1"/>
        <v>0</v>
      </c>
      <c r="N191" s="372">
        <f t="shared" si="1"/>
        <v>0</v>
      </c>
      <c r="O191" s="372">
        <f t="shared" si="1"/>
        <v>0</v>
      </c>
      <c r="P191" s="372">
        <f t="shared" si="1"/>
        <v>0</v>
      </c>
      <c r="Q191" s="372">
        <f t="shared" si="1"/>
        <v>0</v>
      </c>
      <c r="R191" s="372">
        <f t="shared" si="1"/>
        <v>0</v>
      </c>
      <c r="S191" s="372">
        <f t="shared" si="1"/>
        <v>0</v>
      </c>
      <c r="T191" s="372">
        <f t="shared" si="1"/>
        <v>0</v>
      </c>
      <c r="U191" s="372">
        <f t="shared" si="1"/>
        <v>0</v>
      </c>
      <c r="V191" s="372">
        <f t="shared" si="1"/>
        <v>0</v>
      </c>
      <c r="W191" s="372">
        <f t="shared" si="1"/>
        <v>0</v>
      </c>
      <c r="X191" s="372">
        <f t="shared" si="1"/>
        <v>0</v>
      </c>
      <c r="Y191" s="372">
        <f t="shared" si="1"/>
        <v>0</v>
      </c>
    </row>
    <row r="192" spans="2:44" x14ac:dyDescent="0.25">
      <c r="F192" s="293" t="s">
        <v>550</v>
      </c>
      <c r="G192" s="122" t="s">
        <v>589</v>
      </c>
      <c r="H192" s="372">
        <f>SUM(J192:Y192)</f>
        <v>0</v>
      </c>
      <c r="I192" s="88"/>
      <c r="J192" s="372">
        <f t="shared" ref="J192:Y192" si="2">IF( OR( AND(J113 = TRUE, NOT(ISBLANK(J114))), AND(J113 = FALSE, J114 = 0)), 0, 1)</f>
        <v>0</v>
      </c>
      <c r="K192" s="372">
        <f t="shared" si="2"/>
        <v>0</v>
      </c>
      <c r="L192" s="372">
        <f t="shared" si="2"/>
        <v>0</v>
      </c>
      <c r="M192" s="372">
        <f t="shared" si="2"/>
        <v>0</v>
      </c>
      <c r="N192" s="372">
        <f t="shared" si="2"/>
        <v>0</v>
      </c>
      <c r="O192" s="372">
        <f t="shared" si="2"/>
        <v>0</v>
      </c>
      <c r="P192" s="372">
        <f t="shared" si="2"/>
        <v>0</v>
      </c>
      <c r="Q192" s="372">
        <f t="shared" si="2"/>
        <v>0</v>
      </c>
      <c r="R192" s="372">
        <f t="shared" si="2"/>
        <v>0</v>
      </c>
      <c r="S192" s="372">
        <f t="shared" si="2"/>
        <v>0</v>
      </c>
      <c r="T192" s="372">
        <f t="shared" si="2"/>
        <v>0</v>
      </c>
      <c r="U192" s="372">
        <f t="shared" si="2"/>
        <v>0</v>
      </c>
      <c r="V192" s="372">
        <f t="shared" si="2"/>
        <v>0</v>
      </c>
      <c r="W192" s="372">
        <f t="shared" si="2"/>
        <v>0</v>
      </c>
      <c r="X192" s="372">
        <f t="shared" si="2"/>
        <v>0</v>
      </c>
      <c r="Y192" s="372">
        <f t="shared" si="2"/>
        <v>0</v>
      </c>
    </row>
    <row r="193" spans="2:43" x14ac:dyDescent="0.25">
      <c r="F193" s="293" t="s">
        <v>551</v>
      </c>
      <c r="G193" s="122" t="s">
        <v>589</v>
      </c>
      <c r="H193" s="372">
        <f>SUM(J193:Y193)</f>
        <v>0</v>
      </c>
      <c r="I193" s="88"/>
      <c r="J193" s="372">
        <f t="shared" ref="J193:Y193" si="3">IF( OR( AND(J117 = TRUE, NOT(ISBLANK(J118))), AND(J117 = FALSE, J118 = 0)), 0, 1)</f>
        <v>0</v>
      </c>
      <c r="K193" s="372">
        <f t="shared" si="3"/>
        <v>0</v>
      </c>
      <c r="L193" s="372">
        <f t="shared" si="3"/>
        <v>0</v>
      </c>
      <c r="M193" s="372">
        <f t="shared" si="3"/>
        <v>0</v>
      </c>
      <c r="N193" s="372">
        <f t="shared" si="3"/>
        <v>0</v>
      </c>
      <c r="O193" s="372">
        <f t="shared" si="3"/>
        <v>0</v>
      </c>
      <c r="P193" s="372">
        <f t="shared" si="3"/>
        <v>0</v>
      </c>
      <c r="Q193" s="372">
        <f t="shared" si="3"/>
        <v>0</v>
      </c>
      <c r="R193" s="372">
        <f t="shared" si="3"/>
        <v>0</v>
      </c>
      <c r="S193" s="372">
        <f t="shared" si="3"/>
        <v>0</v>
      </c>
      <c r="T193" s="372">
        <f t="shared" si="3"/>
        <v>0</v>
      </c>
      <c r="U193" s="372">
        <f t="shared" si="3"/>
        <v>0</v>
      </c>
      <c r="V193" s="372">
        <f t="shared" si="3"/>
        <v>0</v>
      </c>
      <c r="W193" s="372">
        <f t="shared" si="3"/>
        <v>0</v>
      </c>
      <c r="X193" s="372">
        <f t="shared" si="3"/>
        <v>0</v>
      </c>
      <c r="Y193" s="372">
        <f t="shared" si="3"/>
        <v>0</v>
      </c>
    </row>
    <row r="194" spans="2:43" x14ac:dyDescent="0.25">
      <c r="F194" s="93" t="s">
        <v>552</v>
      </c>
      <c r="G194" s="61" t="s">
        <v>589</v>
      </c>
      <c r="H194" s="179">
        <f>SUM(J194:Y194)</f>
        <v>0</v>
      </c>
      <c r="I194" s="97"/>
      <c r="J194" s="179">
        <f t="shared" ref="J194:Y194" si="4">IF( OR( AND(J121 = TRUE, NOT(ISBLANK(J122))), AND(J121 = FALSE, J122 = 0)), 0, 1)</f>
        <v>0</v>
      </c>
      <c r="K194" s="179">
        <f t="shared" si="4"/>
        <v>0</v>
      </c>
      <c r="L194" s="179">
        <f t="shared" si="4"/>
        <v>0</v>
      </c>
      <c r="M194" s="179">
        <f t="shared" si="4"/>
        <v>0</v>
      </c>
      <c r="N194" s="179">
        <f t="shared" si="4"/>
        <v>0</v>
      </c>
      <c r="O194" s="179">
        <f t="shared" si="4"/>
        <v>0</v>
      </c>
      <c r="P194" s="179">
        <f t="shared" si="4"/>
        <v>0</v>
      </c>
      <c r="Q194" s="179">
        <f t="shared" si="4"/>
        <v>0</v>
      </c>
      <c r="R194" s="179">
        <f t="shared" si="4"/>
        <v>0</v>
      </c>
      <c r="S194" s="179">
        <f t="shared" si="4"/>
        <v>0</v>
      </c>
      <c r="T194" s="179">
        <f t="shared" si="4"/>
        <v>0</v>
      </c>
      <c r="U194" s="179">
        <f t="shared" si="4"/>
        <v>0</v>
      </c>
      <c r="V194" s="179">
        <f t="shared" si="4"/>
        <v>0</v>
      </c>
      <c r="W194" s="179">
        <f t="shared" si="4"/>
        <v>0</v>
      </c>
      <c r="X194" s="179">
        <f t="shared" si="4"/>
        <v>0</v>
      </c>
      <c r="Y194" s="179">
        <f t="shared" si="4"/>
        <v>0</v>
      </c>
    </row>
    <row r="195" spans="2:43" x14ac:dyDescent="0.25">
      <c r="F195" s="88"/>
      <c r="G195" s="88"/>
      <c r="H195" s="88"/>
      <c r="I195" s="88"/>
    </row>
    <row r="196" spans="2:43" x14ac:dyDescent="0.25">
      <c r="E196" s="293" t="s">
        <v>374</v>
      </c>
      <c r="G196" s="122" t="s">
        <v>589</v>
      </c>
      <c r="H196" s="310">
        <f>H187 + SUM(H190:H194)</f>
        <v>0</v>
      </c>
      <c r="I196" s="88"/>
    </row>
    <row r="197" spans="2:43" x14ac:dyDescent="0.25">
      <c r="I197" s="88"/>
    </row>
    <row r="198" spans="2:43" x14ac:dyDescent="0.25">
      <c r="B198" s="95" t="s">
        <v>110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95"/>
      <c r="AJ198" s="95"/>
      <c r="AK198" s="95"/>
      <c r="AL198" s="95"/>
      <c r="AM198" s="95"/>
      <c r="AN198" s="95"/>
      <c r="AO198" s="95"/>
      <c r="AP198" s="95"/>
      <c r="AQ198" s="95"/>
    </row>
    <row r="199" spans="2:43" x14ac:dyDescent="0.25">
      <c r="F199" s="88"/>
      <c r="G199" s="88"/>
      <c r="H199" s="88"/>
      <c r="I199" s="88"/>
    </row>
    <row r="200" spans="2:43" x14ac:dyDescent="0.25">
      <c r="F200" s="88"/>
      <c r="G200" s="88"/>
      <c r="H200" s="88"/>
      <c r="I200" s="88"/>
    </row>
  </sheetData>
  <sheetProtection sheet="1" objects="1" formatCells="0" formatColumns="0" formatRows="0" sort="0" autoFilter="0"/>
  <conditionalFormatting sqref="H187">
    <cfRule type="cellIs" dxfId="226" priority="21" operator="greaterThan">
      <formula>0</formula>
    </cfRule>
  </conditionalFormatting>
  <conditionalFormatting sqref="H190:H194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0:P194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0:M194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0:K194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0:Q194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0:S194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0:U194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0:W194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0:Y194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6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00000000-0002-0000-0D00-000000000000}">
      <formula1>"TRUE, FALSE"</formula1>
    </dataValidation>
    <dataValidation type="whole" allowBlank="1" showInputMessage="1" showErrorMessage="1" sqref="J60:Y69 J73:Y82" xr:uid="{00000000-0002-0000-0D00-000001000000}">
      <formula1>-1</formula1>
      <formula2>1</formula2>
    </dataValidation>
    <dataValidation type="whole" allowBlank="1" showInputMessage="1" showErrorMessage="1" sqref="J46:Y49 J53:Y56" xr:uid="{00000000-0002-0000-0D00-000002000000}">
      <formula1>0</formula1>
      <formula2>1</formula2>
    </dataValidation>
    <dataValidation type="whole" allowBlank="1" showInputMessage="1" showErrorMessage="1" sqref="H15:H18" xr:uid="{00000000-0002-0000-0D00-000003000000}">
      <formula1>0</formula1>
      <formula2>9999</formula2>
    </dataValidation>
    <dataValidation type="decimal" allowBlank="1" showInputMessage="1" showErrorMessage="1" sqref="H41" xr:uid="{00000000-0002-0000-0D00-000004000000}">
      <formula1>0.001</formula1>
      <formula2>999999.999</formula2>
    </dataValidation>
    <dataValidation type="decimal" allowBlank="1" showInputMessage="1" showErrorMessage="1" sqref="H37" xr:uid="{00000000-0002-0000-0D00-000005000000}">
      <formula1>0.001</formula1>
      <formula2>1</formula2>
    </dataValidation>
    <dataValidation type="decimal" allowBlank="1" showInputMessage="1" showErrorMessage="1" sqref="H35" xr:uid="{00000000-0002-0000-0D00-000006000000}">
      <formula1>0</formula1>
      <formula2>999999</formula2>
    </dataValidation>
    <dataValidation type="whole" allowBlank="1" showInputMessage="1" showErrorMessage="1" sqref="L145 J145 J149:P149" xr:uid="{00000000-0002-0000-0D00-000007000000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00000000-0002-0000-0D00-000008000000}">
      <formula1>0</formula1>
      <formula2>1</formula2>
    </dataValidation>
    <dataValidation type="whole" allowBlank="1" showInputMessage="1" showErrorMessage="1" sqref="H25:H31" xr:uid="{00000000-0002-0000-0D00-000009000000}">
      <formula1>0</formula1>
      <formula2>10</formula2>
    </dataValidation>
  </dataValidations>
  <hyperlinks>
    <hyperlink ref="B5:F5" location="'Model map'!A1" display="Click here to return to model map" xr:uid="{00000000-0004-0000-0D00-000000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313" width="20.5703125" style="293" hidden="1" customWidth="1"/>
    <col min="314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Inputs by customer type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H216 &amp; IF(H216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9" t="s">
        <v>91</v>
      </c>
      <c r="H5" s="11" t="s">
        <v>92</v>
      </c>
      <c r="I5" s="111"/>
      <c r="J5" s="11" t="s">
        <v>928</v>
      </c>
      <c r="K5" s="11" t="s">
        <v>929</v>
      </c>
      <c r="L5" s="11" t="s">
        <v>930</v>
      </c>
      <c r="M5" s="11" t="s">
        <v>931</v>
      </c>
      <c r="N5" s="11" t="s">
        <v>932</v>
      </c>
      <c r="O5" s="11" t="s">
        <v>933</v>
      </c>
      <c r="P5" s="11" t="s">
        <v>934</v>
      </c>
      <c r="Q5" s="11" t="s">
        <v>935</v>
      </c>
      <c r="R5" s="11" t="s">
        <v>936</v>
      </c>
      <c r="S5" s="11" t="s">
        <v>937</v>
      </c>
      <c r="T5" s="11" t="s">
        <v>938</v>
      </c>
      <c r="U5" s="11" t="s">
        <v>939</v>
      </c>
      <c r="V5" s="11" t="s">
        <v>940</v>
      </c>
      <c r="W5" s="11" t="s">
        <v>941</v>
      </c>
      <c r="X5" s="11" t="s">
        <v>942</v>
      </c>
      <c r="Y5" s="11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786</v>
      </c>
    </row>
    <row r="11" spans="1:43" x14ac:dyDescent="0.25">
      <c r="E11" s="293" t="s">
        <v>482</v>
      </c>
      <c r="G11" s="293" t="s">
        <v>483</v>
      </c>
      <c r="H11" s="396" t="str">
        <f>charging_year_selected</f>
        <v>2022/23</v>
      </c>
    </row>
    <row r="12" spans="1:43" x14ac:dyDescent="0.25">
      <c r="E12" s="293" t="s">
        <v>467</v>
      </c>
      <c r="G12" s="293" t="s">
        <v>312</v>
      </c>
      <c r="H12" s="444" t="str">
        <f>'ARP_User control'!$H$36</f>
        <v>Current</v>
      </c>
    </row>
    <row r="14" spans="1:43" x14ac:dyDescent="0.25">
      <c r="B14" s="95" t="s">
        <v>446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25">
      <c r="D15" s="14"/>
    </row>
    <row r="16" spans="1:43" x14ac:dyDescent="0.25">
      <c r="C16" s="7" t="str">
        <f ca="1">INDEX('Version control'!$H$34:$H$60,MATCH($A$1,'Version control'!$F$34:$F$60,0),1)&amp;"-A: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14" t="s">
        <v>71</v>
      </c>
      <c r="G18" s="108" t="s">
        <v>94</v>
      </c>
      <c r="I18" s="293" t="s">
        <v>359</v>
      </c>
      <c r="J18" s="465">
        <f t="array" ref="J18:Y18">TRANSPOSE('ARP_Inputs by customer type'!J19:J34)</f>
        <v>0.45400000000000001</v>
      </c>
      <c r="K18" s="465">
        <v>0.13266666666666668</v>
      </c>
      <c r="L18" s="465">
        <v>0.43566666666666665</v>
      </c>
      <c r="M18" s="465">
        <v>0.17600000000000002</v>
      </c>
      <c r="N18" s="465">
        <v>0.58133333333333326</v>
      </c>
      <c r="O18" s="465">
        <v>0.56866666666666665</v>
      </c>
      <c r="P18" s="465">
        <v>0.74099999999999999</v>
      </c>
      <c r="Q18" s="465">
        <v>0.44600000000000001</v>
      </c>
      <c r="R18" s="369">
        <v>0</v>
      </c>
      <c r="S18" s="369">
        <v>0</v>
      </c>
      <c r="T18" s="369">
        <v>0</v>
      </c>
      <c r="U18" s="369">
        <v>0</v>
      </c>
      <c r="V18" s="369">
        <v>0</v>
      </c>
      <c r="W18" s="369">
        <v>0</v>
      </c>
      <c r="X18" s="369">
        <v>0</v>
      </c>
      <c r="Y18" s="369">
        <v>0</v>
      </c>
      <c r="AQ18" s="293" t="s">
        <v>749</v>
      </c>
    </row>
    <row r="19" spans="3:43" x14ac:dyDescent="0.25">
      <c r="E19" s="14" t="s">
        <v>70</v>
      </c>
      <c r="G19" s="108" t="s">
        <v>94</v>
      </c>
      <c r="I19" s="293" t="s">
        <v>359</v>
      </c>
      <c r="J19" s="465">
        <f t="array" ref="J19:Y19">TRANSPOSE('ARP_Inputs by customer type'!J39:J54)</f>
        <v>0.86</v>
      </c>
      <c r="K19" s="369">
        <v>0</v>
      </c>
      <c r="L19" s="465">
        <v>0.69799999999999995</v>
      </c>
      <c r="M19" s="369">
        <v>0</v>
      </c>
      <c r="N19" s="465">
        <v>0.81433333333333335</v>
      </c>
      <c r="O19" s="465">
        <v>0.75233333333333319</v>
      </c>
      <c r="P19" s="465">
        <v>0.83266666666666656</v>
      </c>
      <c r="Q19" s="465">
        <v>0.83533333333333337</v>
      </c>
      <c r="R19" s="369">
        <v>0</v>
      </c>
      <c r="S19" s="369">
        <v>0</v>
      </c>
      <c r="T19" s="369">
        <v>0</v>
      </c>
      <c r="U19" s="369">
        <v>0</v>
      </c>
      <c r="V19" s="369">
        <v>0</v>
      </c>
      <c r="W19" s="369">
        <v>0</v>
      </c>
      <c r="X19" s="369">
        <v>0</v>
      </c>
      <c r="Y19" s="369">
        <v>0</v>
      </c>
      <c r="AQ19" s="293" t="s">
        <v>750</v>
      </c>
    </row>
    <row r="20" spans="3:43" x14ac:dyDescent="0.25">
      <c r="G20" s="108"/>
    </row>
    <row r="21" spans="3:43" x14ac:dyDescent="0.25">
      <c r="C21" s="7" t="str">
        <f ca="1">INDEX('Version control'!$H$34:$H$60,MATCH($A$1,'Version control'!$F$34:$F$60,0),1)&amp;"-B: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25">
      <c r="G22" s="108"/>
    </row>
    <row r="23" spans="3:43" x14ac:dyDescent="0.25">
      <c r="D23" s="82" t="s">
        <v>1044</v>
      </c>
      <c r="G23" s="108"/>
      <c r="I23" s="293" t="s">
        <v>359</v>
      </c>
      <c r="AQ23" s="293" t="s">
        <v>692</v>
      </c>
    </row>
    <row r="24" spans="3:43" x14ac:dyDescent="0.25">
      <c r="G24" s="108"/>
    </row>
    <row r="25" spans="3:43" x14ac:dyDescent="0.25">
      <c r="E25" s="96" t="s">
        <v>1045</v>
      </c>
      <c r="G25" s="108"/>
    </row>
    <row r="26" spans="3:43" x14ac:dyDescent="0.2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50.685541167972772</v>
      </c>
      <c r="L26" s="272">
        <v>0</v>
      </c>
      <c r="M26" s="272">
        <v>6.1226977807298875</v>
      </c>
      <c r="N26" s="272">
        <v>0</v>
      </c>
      <c r="O26" s="272">
        <v>0</v>
      </c>
      <c r="P26" s="272">
        <v>0</v>
      </c>
      <c r="Q26" s="238">
        <v>0</v>
      </c>
      <c r="R26" s="272">
        <v>138.20714502602834</v>
      </c>
      <c r="S26" s="272">
        <v>19.850977162721037</v>
      </c>
      <c r="T26" s="272">
        <v>4602.4299730524672</v>
      </c>
      <c r="U26" s="272">
        <v>0</v>
      </c>
      <c r="V26" s="272">
        <v>1319.5926901394901</v>
      </c>
      <c r="W26" s="272">
        <v>0</v>
      </c>
      <c r="X26" s="272">
        <v>42346.377102139319</v>
      </c>
      <c r="Y26" s="272">
        <v>0</v>
      </c>
    </row>
    <row r="27" spans="3:43" x14ac:dyDescent="0.2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876.88932002307558</v>
      </c>
      <c r="L27" s="273">
        <v>0</v>
      </c>
      <c r="M27" s="273">
        <v>315.99830541136959</v>
      </c>
      <c r="N27" s="273">
        <v>0</v>
      </c>
      <c r="O27" s="273">
        <v>0</v>
      </c>
      <c r="P27" s="273">
        <v>0</v>
      </c>
      <c r="Q27" s="279">
        <v>0</v>
      </c>
      <c r="R27" s="273">
        <v>675.42262204083556</v>
      </c>
      <c r="S27" s="273">
        <v>89.283262919470644</v>
      </c>
      <c r="T27" s="273">
        <v>22397.414037263683</v>
      </c>
      <c r="U27" s="273">
        <v>0</v>
      </c>
      <c r="V27" s="273">
        <v>5938.0182101575592</v>
      </c>
      <c r="W27" s="273">
        <v>0</v>
      </c>
      <c r="X27" s="273">
        <v>169950.37671525255</v>
      </c>
      <c r="Y27" s="273">
        <v>0</v>
      </c>
    </row>
    <row r="28" spans="3:43" x14ac:dyDescent="0.2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11792.873278266205</v>
      </c>
      <c r="L28" s="273">
        <v>0</v>
      </c>
      <c r="M28" s="273">
        <v>3822.6277485878222</v>
      </c>
      <c r="N28" s="273">
        <v>0</v>
      </c>
      <c r="O28" s="273">
        <v>0</v>
      </c>
      <c r="P28" s="273">
        <v>0</v>
      </c>
      <c r="Q28" s="279">
        <v>0</v>
      </c>
      <c r="R28" s="273">
        <v>734.62430353180275</v>
      </c>
      <c r="S28" s="273">
        <v>112.33780697547499</v>
      </c>
      <c r="T28" s="273">
        <v>25989.195328374855</v>
      </c>
      <c r="U28" s="273">
        <v>0</v>
      </c>
      <c r="V28" s="273">
        <v>7475.1781511239524</v>
      </c>
      <c r="W28" s="273">
        <v>0</v>
      </c>
      <c r="X28" s="273">
        <v>176946.04662843214</v>
      </c>
      <c r="Y28" s="273">
        <v>0</v>
      </c>
    </row>
    <row r="29" spans="3:43" x14ac:dyDescent="0.2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3156</v>
      </c>
      <c r="L29" s="273">
        <v>0</v>
      </c>
      <c r="M29" s="273">
        <v>997</v>
      </c>
      <c r="N29" s="273">
        <v>0</v>
      </c>
      <c r="O29" s="273">
        <v>0</v>
      </c>
      <c r="P29" s="273">
        <v>0</v>
      </c>
      <c r="Q29" s="279">
        <v>0</v>
      </c>
      <c r="R29" s="273">
        <v>283</v>
      </c>
      <c r="S29" s="273">
        <v>25</v>
      </c>
      <c r="T29" s="273">
        <v>317</v>
      </c>
      <c r="U29" s="273">
        <v>0</v>
      </c>
      <c r="V29" s="273">
        <v>41</v>
      </c>
      <c r="W29" s="273">
        <v>0</v>
      </c>
      <c r="X29" s="273">
        <v>138</v>
      </c>
      <c r="Y29" s="273">
        <v>0</v>
      </c>
    </row>
    <row r="30" spans="3:43" x14ac:dyDescent="0.2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0</v>
      </c>
      <c r="O30" s="273">
        <v>0</v>
      </c>
      <c r="P30" s="273">
        <v>0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2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0</v>
      </c>
      <c r="O31" s="273">
        <v>0</v>
      </c>
      <c r="P31" s="273">
        <v>0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2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0</v>
      </c>
      <c r="O32" s="274">
        <v>0</v>
      </c>
      <c r="P32" s="274">
        <v>0</v>
      </c>
      <c r="Q32" s="240">
        <v>0</v>
      </c>
      <c r="R32" s="240">
        <v>0</v>
      </c>
      <c r="S32" s="240">
        <v>0</v>
      </c>
      <c r="T32" s="274">
        <v>4390.8</v>
      </c>
      <c r="U32" s="240">
        <v>0</v>
      </c>
      <c r="V32" s="274">
        <v>172.2</v>
      </c>
      <c r="W32" s="240">
        <v>0</v>
      </c>
      <c r="X32" s="274">
        <v>7419.6</v>
      </c>
      <c r="Y32" s="240">
        <v>0</v>
      </c>
    </row>
    <row r="33" spans="5:42" x14ac:dyDescent="0.25">
      <c r="E33" s="375"/>
      <c r="F33" s="376"/>
      <c r="G33" s="376"/>
      <c r="H33" s="374"/>
      <c r="I33" s="374"/>
      <c r="J33" s="377"/>
      <c r="K33" s="377"/>
      <c r="L33" s="377"/>
      <c r="M33" s="377"/>
      <c r="N33" s="378"/>
      <c r="O33" s="378"/>
      <c r="P33" s="378"/>
      <c r="Q33" s="377"/>
      <c r="R33" s="377"/>
      <c r="S33" s="377"/>
      <c r="T33" s="378"/>
      <c r="U33" s="377"/>
      <c r="V33" s="378"/>
      <c r="W33" s="377"/>
      <c r="X33" s="378"/>
      <c r="Y33" s="377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</row>
    <row r="34" spans="5:42" x14ac:dyDescent="0.25">
      <c r="E34" s="96" t="s">
        <v>1046</v>
      </c>
      <c r="G34" s="108"/>
    </row>
    <row r="35" spans="5:42" x14ac:dyDescent="0.2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645101.52351777873</v>
      </c>
      <c r="K35" s="238">
        <v>0</v>
      </c>
      <c r="L35" s="272">
        <v>4302.2725458270779</v>
      </c>
      <c r="M35" s="238">
        <v>0</v>
      </c>
      <c r="N35" s="272">
        <v>23229.56627147234</v>
      </c>
      <c r="O35" s="272">
        <v>10012.851732523844</v>
      </c>
      <c r="P35" s="272">
        <v>13670.707267099029</v>
      </c>
      <c r="Q35" s="272">
        <v>6448.805011825264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2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2282979.7633559168</v>
      </c>
      <c r="K36" s="279">
        <v>0</v>
      </c>
      <c r="L36" s="273">
        <v>22616.911393841136</v>
      </c>
      <c r="M36" s="239">
        <v>0</v>
      </c>
      <c r="N36" s="273">
        <v>105605.32008342462</v>
      </c>
      <c r="O36" s="273">
        <v>48392.295029037203</v>
      </c>
      <c r="P36" s="273">
        <v>62662.967623764293</v>
      </c>
      <c r="Q36" s="273">
        <v>52561.370964961032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2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2148924.2598723704</v>
      </c>
      <c r="K37" s="279">
        <v>0</v>
      </c>
      <c r="L37" s="273">
        <v>21902.846365427391</v>
      </c>
      <c r="M37" s="239">
        <v>0</v>
      </c>
      <c r="N37" s="273">
        <v>90753.054151254735</v>
      </c>
      <c r="O37" s="273">
        <v>42812.191930088127</v>
      </c>
      <c r="P37" s="273">
        <v>68016.795019391779</v>
      </c>
      <c r="Q37" s="273">
        <v>88880.57358714845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25">
      <c r="E38" s="96"/>
      <c r="F38" s="109" t="s">
        <v>74</v>
      </c>
      <c r="G38" s="109" t="s">
        <v>74</v>
      </c>
      <c r="J38" s="273">
        <f t="array" ref="J38:Y38">TRANSPOSE('ARP_Inputs by customer type'!J243:J258)</f>
        <v>1393317</v>
      </c>
      <c r="K38" s="279">
        <v>0</v>
      </c>
      <c r="L38" s="273">
        <v>37920</v>
      </c>
      <c r="M38" s="239">
        <v>0</v>
      </c>
      <c r="N38" s="273">
        <v>2873</v>
      </c>
      <c r="O38" s="273">
        <v>1023</v>
      </c>
      <c r="P38" s="273">
        <v>298</v>
      </c>
      <c r="Q38" s="273">
        <v>574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2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146223</v>
      </c>
      <c r="O39" s="273">
        <v>53930</v>
      </c>
      <c r="P39" s="273">
        <v>55246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2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3303</v>
      </c>
      <c r="O40" s="273">
        <v>3548</v>
      </c>
      <c r="P40" s="273">
        <v>920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2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20500.91</v>
      </c>
      <c r="O41" s="274">
        <v>24847.258000000002</v>
      </c>
      <c r="P41" s="274">
        <v>9223.2129999999997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25">
      <c r="E42" s="375"/>
      <c r="F42" s="376"/>
      <c r="G42" s="376"/>
      <c r="H42" s="374"/>
      <c r="I42" s="374"/>
      <c r="J42" s="377"/>
      <c r="K42" s="377"/>
      <c r="L42" s="377"/>
      <c r="M42" s="377"/>
      <c r="N42" s="378"/>
      <c r="O42" s="378"/>
      <c r="P42" s="378"/>
      <c r="Q42" s="377"/>
      <c r="R42" s="377"/>
      <c r="S42" s="377"/>
      <c r="T42" s="378"/>
      <c r="U42" s="377"/>
      <c r="V42" s="378"/>
      <c r="W42" s="377"/>
      <c r="X42" s="378"/>
      <c r="Y42" s="377"/>
      <c r="Z42" s="374"/>
      <c r="AA42" s="37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</row>
    <row r="43" spans="5:42" x14ac:dyDescent="0.25">
      <c r="E43" s="96" t="s">
        <v>1047</v>
      </c>
      <c r="G43" s="108"/>
    </row>
    <row r="44" spans="5:42" x14ac:dyDescent="0.2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18965.918563437568</v>
      </c>
      <c r="M44" s="238">
        <v>0</v>
      </c>
      <c r="N44" s="272">
        <v>33534.682752874403</v>
      </c>
      <c r="O44" s="272">
        <v>17892.045644607373</v>
      </c>
      <c r="P44" s="272">
        <v>49258.290425073465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2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99703.237087601126</v>
      </c>
      <c r="M45" s="279">
        <v>0</v>
      </c>
      <c r="N45" s="273">
        <v>152454.02624510284</v>
      </c>
      <c r="O45" s="273">
        <v>86472.582900076217</v>
      </c>
      <c r="P45" s="273">
        <v>225787.19577566956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2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96555.38928539028</v>
      </c>
      <c r="M46" s="279">
        <v>0</v>
      </c>
      <c r="N46" s="273">
        <v>131012.98768347013</v>
      </c>
      <c r="O46" s="273">
        <v>76501.451596522384</v>
      </c>
      <c r="P46" s="273">
        <v>245078.10586444187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2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30846</v>
      </c>
      <c r="M47" s="279">
        <v>0</v>
      </c>
      <c r="N47" s="273">
        <v>1818</v>
      </c>
      <c r="O47" s="273">
        <v>805</v>
      </c>
      <c r="P47" s="273">
        <v>286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2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211091</v>
      </c>
      <c r="O48" s="273">
        <v>96368</v>
      </c>
      <c r="P48" s="273">
        <v>199062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2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4768</v>
      </c>
      <c r="O49" s="273">
        <v>5122</v>
      </c>
      <c r="P49" s="273">
        <v>3314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2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29595.538</v>
      </c>
      <c r="O50" s="274">
        <v>35870.017</v>
      </c>
      <c r="P50" s="274">
        <v>33233.078999999998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25">
      <c r="E51" s="375"/>
      <c r="F51" s="376"/>
      <c r="G51" s="376"/>
      <c r="H51" s="374"/>
      <c r="I51" s="374"/>
      <c r="J51" s="377"/>
      <c r="K51" s="377"/>
      <c r="L51" s="377"/>
      <c r="M51" s="377"/>
      <c r="N51" s="378"/>
      <c r="O51" s="378"/>
      <c r="P51" s="378"/>
      <c r="Q51" s="377"/>
      <c r="R51" s="377"/>
      <c r="S51" s="377"/>
      <c r="T51" s="378"/>
      <c r="U51" s="377"/>
      <c r="V51" s="378"/>
      <c r="W51" s="377"/>
      <c r="X51" s="378"/>
      <c r="Y51" s="377"/>
      <c r="Z51" s="374"/>
      <c r="AA51" s="37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</row>
    <row r="52" spans="5:42" x14ac:dyDescent="0.25">
      <c r="E52" s="96" t="s">
        <v>1048</v>
      </c>
      <c r="G52" s="108"/>
    </row>
    <row r="53" spans="5:42" x14ac:dyDescent="0.2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24026.000360174683</v>
      </c>
      <c r="M53" s="238">
        <v>0</v>
      </c>
      <c r="N53" s="272">
        <v>12892.306864482678</v>
      </c>
      <c r="O53" s="272">
        <v>15402.127398549308</v>
      </c>
      <c r="P53" s="272">
        <v>44233.949301125933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2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126303.92786749937</v>
      </c>
      <c r="M54" s="279">
        <v>0</v>
      </c>
      <c r="N54" s="273">
        <v>58610.487045961156</v>
      </c>
      <c r="O54" s="273">
        <v>74438.762607897253</v>
      </c>
      <c r="P54" s="273">
        <v>202756.92243067667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2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122316.23846681342</v>
      </c>
      <c r="M55" s="279">
        <v>0</v>
      </c>
      <c r="N55" s="273">
        <v>50367.54493534637</v>
      </c>
      <c r="O55" s="273">
        <v>65855.248028540766</v>
      </c>
      <c r="P55" s="273">
        <v>220080.16145248769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2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15709</v>
      </c>
      <c r="M56" s="279">
        <v>0</v>
      </c>
      <c r="N56" s="273">
        <v>425</v>
      </c>
      <c r="O56" s="273">
        <v>426</v>
      </c>
      <c r="P56" s="273">
        <v>127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2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81153</v>
      </c>
      <c r="O57" s="273">
        <v>82957</v>
      </c>
      <c r="P57" s="273">
        <v>178758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2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1833</v>
      </c>
      <c r="O58" s="273">
        <v>1969</v>
      </c>
      <c r="P58" s="273">
        <v>2976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2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11377.915000000001</v>
      </c>
      <c r="O59" s="274">
        <v>13790.119000000001</v>
      </c>
      <c r="P59" s="274">
        <v>29843.308000000001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25">
      <c r="E60" s="375"/>
      <c r="F60" s="376"/>
      <c r="G60" s="376"/>
      <c r="H60" s="374"/>
      <c r="I60" s="374"/>
      <c r="J60" s="377"/>
      <c r="K60" s="377"/>
      <c r="L60" s="377"/>
      <c r="M60" s="377"/>
      <c r="N60" s="378"/>
      <c r="O60" s="378"/>
      <c r="P60" s="378"/>
      <c r="Q60" s="377"/>
      <c r="R60" s="377"/>
      <c r="S60" s="377"/>
      <c r="T60" s="378"/>
      <c r="U60" s="377"/>
      <c r="V60" s="378"/>
      <c r="W60" s="377"/>
      <c r="X60" s="378"/>
      <c r="Y60" s="377"/>
      <c r="Z60" s="374"/>
      <c r="AA60" s="374"/>
      <c r="AB60" s="374"/>
      <c r="AC60" s="374"/>
      <c r="AD60" s="374"/>
      <c r="AE60" s="374"/>
      <c r="AF60" s="374"/>
      <c r="AG60" s="374"/>
      <c r="AH60" s="374"/>
      <c r="AI60" s="374"/>
      <c r="AJ60" s="374"/>
      <c r="AK60" s="374"/>
      <c r="AL60" s="374"/>
      <c r="AM60" s="374"/>
      <c r="AN60" s="374"/>
      <c r="AO60" s="374"/>
      <c r="AP60" s="374"/>
    </row>
    <row r="61" spans="5:42" x14ac:dyDescent="0.25">
      <c r="E61" s="96" t="s">
        <v>1049</v>
      </c>
      <c r="G61" s="108"/>
    </row>
    <row r="62" spans="5:42" x14ac:dyDescent="0.2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82076.332418060643</v>
      </c>
      <c r="M62" s="238">
        <v>0</v>
      </c>
      <c r="N62" s="272">
        <v>17231.444255448405</v>
      </c>
      <c r="O62" s="272">
        <v>61930.185239457518</v>
      </c>
      <c r="P62" s="272">
        <v>58874.529382200897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2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431472.69682652509</v>
      </c>
      <c r="M63" s="279">
        <v>0</v>
      </c>
      <c r="N63" s="273">
        <v>78336.898968754555</v>
      </c>
      <c r="O63" s="273">
        <v>299309.7146915748</v>
      </c>
      <c r="P63" s="273">
        <v>269865.534859345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2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417850.16640430799</v>
      </c>
      <c r="M64" s="279">
        <v>0</v>
      </c>
      <c r="N64" s="273">
        <v>67319.646666821689</v>
      </c>
      <c r="O64" s="273">
        <v>264796.38843800803</v>
      </c>
      <c r="P64" s="273">
        <v>292922.43031856517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2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16398</v>
      </c>
      <c r="M65" s="279">
        <v>0</v>
      </c>
      <c r="N65" s="273">
        <v>283</v>
      </c>
      <c r="O65" s="273">
        <v>821</v>
      </c>
      <c r="P65" s="273">
        <v>90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2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108467</v>
      </c>
      <c r="O66" s="273">
        <v>333562</v>
      </c>
      <c r="P66" s="273">
        <v>237923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2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2450</v>
      </c>
      <c r="O67" s="273">
        <v>2632</v>
      </c>
      <c r="P67" s="273">
        <v>3961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2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15207.356</v>
      </c>
      <c r="O68" s="274">
        <v>18431.431</v>
      </c>
      <c r="P68" s="274">
        <v>39720.864000000001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25">
      <c r="E69" s="375"/>
      <c r="F69" s="376"/>
      <c r="G69" s="376"/>
      <c r="H69" s="374"/>
      <c r="I69" s="374"/>
      <c r="J69" s="377"/>
      <c r="K69" s="377"/>
      <c r="L69" s="377"/>
      <c r="M69" s="377"/>
      <c r="N69" s="378"/>
      <c r="O69" s="378"/>
      <c r="P69" s="378"/>
      <c r="Q69" s="377"/>
      <c r="R69" s="377"/>
      <c r="S69" s="377"/>
      <c r="T69" s="378"/>
      <c r="U69" s="377"/>
      <c r="V69" s="378"/>
      <c r="W69" s="377"/>
      <c r="X69" s="378"/>
      <c r="Y69" s="377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</row>
    <row r="70" spans="4:43" x14ac:dyDescent="0.25">
      <c r="D70" s="82" t="s">
        <v>1050</v>
      </c>
      <c r="G70" s="108"/>
      <c r="I70" s="293" t="s">
        <v>359</v>
      </c>
      <c r="AQ70" s="293" t="s">
        <v>692</v>
      </c>
    </row>
    <row r="71" spans="4:43" x14ac:dyDescent="0.25">
      <c r="G71" s="108"/>
    </row>
    <row r="72" spans="4:43" x14ac:dyDescent="0.25">
      <c r="E72" s="96" t="s">
        <v>1051</v>
      </c>
      <c r="G72" s="108"/>
    </row>
    <row r="73" spans="4:43" x14ac:dyDescent="0.2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0</v>
      </c>
      <c r="L73" s="272">
        <v>0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0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2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0</v>
      </c>
      <c r="L74" s="273">
        <v>0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0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2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0</v>
      </c>
      <c r="L75" s="273">
        <v>0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0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2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0</v>
      </c>
      <c r="L76" s="273">
        <v>0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0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2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2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2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25">
      <c r="E80" s="375"/>
      <c r="F80" s="376"/>
      <c r="G80" s="376"/>
      <c r="H80" s="374"/>
      <c r="I80" s="374"/>
      <c r="J80" s="377"/>
      <c r="K80" s="377"/>
      <c r="L80" s="377"/>
      <c r="M80" s="377"/>
      <c r="N80" s="378"/>
      <c r="O80" s="378"/>
      <c r="P80" s="378"/>
      <c r="Q80" s="377"/>
      <c r="R80" s="377"/>
      <c r="S80" s="377"/>
      <c r="T80" s="378"/>
      <c r="U80" s="377"/>
      <c r="V80" s="378"/>
      <c r="W80" s="377"/>
      <c r="X80" s="378"/>
      <c r="Y80" s="377"/>
      <c r="Z80" s="374"/>
      <c r="AA80" s="374"/>
      <c r="AB80" s="374"/>
      <c r="AC80" s="374"/>
      <c r="AD80" s="374"/>
      <c r="AE80" s="374"/>
      <c r="AF80" s="374"/>
      <c r="AG80" s="374"/>
      <c r="AH80" s="374"/>
      <c r="AI80" s="374"/>
      <c r="AJ80" s="374"/>
      <c r="AK80" s="374"/>
      <c r="AL80" s="374"/>
      <c r="AM80" s="374"/>
      <c r="AN80" s="374"/>
      <c r="AO80" s="374"/>
      <c r="AP80" s="374"/>
    </row>
    <row r="81" spans="5:42" x14ac:dyDescent="0.25">
      <c r="E81" s="96" t="s">
        <v>1052</v>
      </c>
      <c r="G81" s="108"/>
    </row>
    <row r="82" spans="5:42" x14ac:dyDescent="0.2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8306.6021289228665</v>
      </c>
      <c r="K82" s="238">
        <v>0</v>
      </c>
      <c r="L82" s="272">
        <v>7.2436713889719169</v>
      </c>
      <c r="M82" s="238">
        <v>0</v>
      </c>
      <c r="N82" s="272">
        <v>34.413257999999992</v>
      </c>
      <c r="O82" s="238">
        <v>0</v>
      </c>
      <c r="P82" s="238">
        <v>0</v>
      </c>
      <c r="Q82" s="272">
        <v>4.0484626290277781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2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29533.933561876322</v>
      </c>
      <c r="K83" s="279">
        <v>0</v>
      </c>
      <c r="L83" s="273">
        <v>38.060246396439958</v>
      </c>
      <c r="M83" s="239">
        <v>0</v>
      </c>
      <c r="N83" s="273">
        <v>157.41759572889416</v>
      </c>
      <c r="O83" s="279">
        <v>0</v>
      </c>
      <c r="P83" s="279">
        <v>0</v>
      </c>
      <c r="Q83" s="273">
        <v>53.178547581699839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2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27775.710046862965</v>
      </c>
      <c r="K84" s="279">
        <v>0</v>
      </c>
      <c r="L84" s="273">
        <v>36.921677671108576</v>
      </c>
      <c r="M84" s="239">
        <v>0</v>
      </c>
      <c r="N84" s="273">
        <v>143.7306318763377</v>
      </c>
      <c r="O84" s="279">
        <v>0</v>
      </c>
      <c r="P84" s="279">
        <v>0</v>
      </c>
      <c r="Q84" s="273">
        <v>60.454134059674857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25">
      <c r="E85" s="96"/>
      <c r="F85" s="109" t="s">
        <v>74</v>
      </c>
      <c r="G85" s="109" t="s">
        <v>74</v>
      </c>
      <c r="J85" s="273">
        <f t="array" ref="J85:Y85">TRANSPOSE('ARP_Inputs by customer type'!J883:J898)</f>
        <v>23151</v>
      </c>
      <c r="K85" s="279">
        <v>0</v>
      </c>
      <c r="L85" s="273">
        <v>12</v>
      </c>
      <c r="M85" s="239">
        <v>0</v>
      </c>
      <c r="N85" s="273">
        <v>5</v>
      </c>
      <c r="O85" s="279">
        <v>0</v>
      </c>
      <c r="P85" s="279">
        <v>0</v>
      </c>
      <c r="Q85" s="273">
        <v>14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2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264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2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0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2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12.011767862068968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25">
      <c r="E89" s="375"/>
      <c r="F89" s="376"/>
      <c r="G89" s="376"/>
      <c r="H89" s="374"/>
      <c r="I89" s="374"/>
      <c r="J89" s="377"/>
      <c r="K89" s="377"/>
      <c r="L89" s="377"/>
      <c r="M89" s="377"/>
      <c r="N89" s="378"/>
      <c r="O89" s="377"/>
      <c r="P89" s="377"/>
      <c r="Q89" s="377"/>
      <c r="R89" s="377"/>
      <c r="S89" s="377"/>
      <c r="T89" s="378"/>
      <c r="U89" s="377"/>
      <c r="V89" s="378"/>
      <c r="W89" s="377"/>
      <c r="X89" s="378"/>
      <c r="Y89" s="377"/>
      <c r="Z89" s="374"/>
      <c r="AA89" s="374"/>
      <c r="AB89" s="374"/>
      <c r="AC89" s="374"/>
      <c r="AD89" s="374"/>
      <c r="AE89" s="374"/>
      <c r="AF89" s="374"/>
      <c r="AG89" s="374"/>
      <c r="AH89" s="374"/>
      <c r="AI89" s="374"/>
      <c r="AJ89" s="374"/>
      <c r="AK89" s="374"/>
      <c r="AL89" s="374"/>
      <c r="AM89" s="374"/>
      <c r="AN89" s="374"/>
      <c r="AO89" s="374"/>
      <c r="AP89" s="374"/>
    </row>
    <row r="90" spans="5:42" x14ac:dyDescent="0.25">
      <c r="E90" s="96" t="s">
        <v>1053</v>
      </c>
      <c r="G90" s="108"/>
    </row>
    <row r="91" spans="5:42" x14ac:dyDescent="0.2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31.932630999120803</v>
      </c>
      <c r="M91" s="238">
        <v>0</v>
      </c>
      <c r="N91" s="272">
        <v>356.25543224999996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2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167.78284638414956</v>
      </c>
      <c r="M92" s="279">
        <v>0</v>
      </c>
      <c r="N92" s="273">
        <v>1629.6298830570747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2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162.76363816488958</v>
      </c>
      <c r="M93" s="279">
        <v>0</v>
      </c>
      <c r="N93" s="273">
        <v>1487.9387004470868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2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55</v>
      </c>
      <c r="M94" s="279">
        <v>0</v>
      </c>
      <c r="N94" s="273">
        <v>23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2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2733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2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0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2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124.3490968448276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25">
      <c r="E98" s="375"/>
      <c r="F98" s="376"/>
      <c r="G98" s="376"/>
      <c r="H98" s="374"/>
      <c r="I98" s="374"/>
      <c r="J98" s="377"/>
      <c r="K98" s="377"/>
      <c r="L98" s="377"/>
      <c r="M98" s="377"/>
      <c r="N98" s="378"/>
      <c r="O98" s="377"/>
      <c r="P98" s="377"/>
      <c r="Q98" s="377"/>
      <c r="R98" s="377"/>
      <c r="S98" s="377"/>
      <c r="T98" s="378"/>
      <c r="U98" s="377"/>
      <c r="V98" s="378"/>
      <c r="W98" s="377"/>
      <c r="X98" s="378"/>
      <c r="Y98" s="377"/>
      <c r="Z98" s="374"/>
      <c r="AA98" s="374"/>
      <c r="AB98" s="374"/>
      <c r="AC98" s="374"/>
      <c r="AD98" s="374"/>
      <c r="AE98" s="374"/>
      <c r="AF98" s="374"/>
      <c r="AG98" s="374"/>
      <c r="AH98" s="374"/>
      <c r="AI98" s="374"/>
      <c r="AJ98" s="374"/>
      <c r="AK98" s="374"/>
      <c r="AL98" s="374"/>
      <c r="AM98" s="374"/>
      <c r="AN98" s="374"/>
      <c r="AO98" s="374"/>
      <c r="AP98" s="374"/>
    </row>
    <row r="99" spans="5:42" x14ac:dyDescent="0.25">
      <c r="E99" s="96" t="s">
        <v>1054</v>
      </c>
      <c r="G99" s="108"/>
    </row>
    <row r="100" spans="5:42" x14ac:dyDescent="0.2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40.452214392886461</v>
      </c>
      <c r="M100" s="238">
        <v>0</v>
      </c>
      <c r="N100" s="272">
        <v>205.69742849999994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2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212.54708619428266</v>
      </c>
      <c r="M101" s="279">
        <v>0</v>
      </c>
      <c r="N101" s="273">
        <v>940.92790174316281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2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206.18875991125159</v>
      </c>
      <c r="M102" s="279">
        <v>0</v>
      </c>
      <c r="N102" s="273">
        <v>859.11718598810933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2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69</v>
      </c>
      <c r="M103" s="279">
        <v>0</v>
      </c>
      <c r="N103" s="273">
        <v>8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2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1578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2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0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2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71.797612448275856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25">
      <c r="E107" s="375"/>
      <c r="F107" s="376"/>
      <c r="G107" s="376"/>
      <c r="H107" s="374"/>
      <c r="I107" s="374"/>
      <c r="J107" s="377"/>
      <c r="K107" s="377"/>
      <c r="L107" s="377"/>
      <c r="M107" s="377"/>
      <c r="N107" s="378"/>
      <c r="O107" s="377"/>
      <c r="P107" s="377"/>
      <c r="Q107" s="377"/>
      <c r="R107" s="377"/>
      <c r="S107" s="377"/>
      <c r="T107" s="378"/>
      <c r="U107" s="377"/>
      <c r="V107" s="378"/>
      <c r="W107" s="377"/>
      <c r="X107" s="378"/>
      <c r="Y107" s="377"/>
      <c r="Z107" s="374"/>
      <c r="AA107" s="374"/>
      <c r="AB107" s="374"/>
      <c r="AC107" s="374"/>
      <c r="AD107" s="374"/>
      <c r="AE107" s="374"/>
      <c r="AF107" s="374"/>
      <c r="AG107" s="374"/>
      <c r="AH107" s="374"/>
      <c r="AI107" s="374"/>
      <c r="AJ107" s="374"/>
      <c r="AK107" s="374"/>
      <c r="AL107" s="374"/>
      <c r="AM107" s="374"/>
      <c r="AN107" s="374"/>
      <c r="AO107" s="374"/>
      <c r="AP107" s="374"/>
    </row>
    <row r="108" spans="5:42" x14ac:dyDescent="0.25">
      <c r="E108" s="96" t="s">
        <v>1055</v>
      </c>
      <c r="G108" s="108"/>
    </row>
    <row r="109" spans="5:42" x14ac:dyDescent="0.2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138.1906828346134</v>
      </c>
      <c r="M109" s="238">
        <v>0</v>
      </c>
      <c r="N109" s="272">
        <v>159.68273124999999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2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726.09194370482794</v>
      </c>
      <c r="M110" s="279">
        <v>0</v>
      </c>
      <c r="N110" s="273">
        <v>730.44149533293705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2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704.37097085020366</v>
      </c>
      <c r="M111" s="279">
        <v>0</v>
      </c>
      <c r="N111" s="273">
        <v>666.9319092746731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2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237</v>
      </c>
      <c r="M112" s="279">
        <v>0</v>
      </c>
      <c r="N112" s="273">
        <v>4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2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1225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2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0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2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55.736422844827587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25">
      <c r="E116" s="375"/>
      <c r="F116" s="376"/>
      <c r="G116" s="376"/>
      <c r="H116" s="374"/>
      <c r="I116" s="374"/>
      <c r="J116" s="377"/>
      <c r="K116" s="377"/>
      <c r="L116" s="377"/>
      <c r="M116" s="377"/>
      <c r="N116" s="378"/>
      <c r="O116" s="378"/>
      <c r="P116" s="378"/>
      <c r="Q116" s="377"/>
      <c r="R116" s="377"/>
      <c r="S116" s="377"/>
      <c r="T116" s="378"/>
      <c r="U116" s="377"/>
      <c r="V116" s="378"/>
      <c r="W116" s="377"/>
      <c r="X116" s="378"/>
      <c r="Y116" s="377"/>
      <c r="Z116" s="374"/>
      <c r="AA116" s="374"/>
      <c r="AB116" s="374"/>
      <c r="AC116" s="374"/>
      <c r="AD116" s="374"/>
      <c r="AE116" s="374"/>
      <c r="AF116" s="374"/>
      <c r="AG116" s="374"/>
      <c r="AH116" s="374"/>
      <c r="AI116" s="374"/>
      <c r="AJ116" s="374"/>
      <c r="AK116" s="374"/>
      <c r="AL116" s="374"/>
      <c r="AM116" s="374"/>
      <c r="AN116" s="374"/>
      <c r="AO116" s="374"/>
      <c r="AP116" s="374"/>
    </row>
    <row r="117" spans="4:43" x14ac:dyDescent="0.25">
      <c r="D117" s="82" t="s">
        <v>1056</v>
      </c>
      <c r="G117" s="108"/>
      <c r="I117" s="293" t="s">
        <v>359</v>
      </c>
      <c r="AQ117" s="293" t="s">
        <v>692</v>
      </c>
    </row>
    <row r="118" spans="4:43" x14ac:dyDescent="0.25">
      <c r="G118" s="108"/>
    </row>
    <row r="119" spans="4:43" x14ac:dyDescent="0.25">
      <c r="E119" s="96" t="s">
        <v>1057</v>
      </c>
      <c r="G119" s="108"/>
    </row>
    <row r="120" spans="4:43" x14ac:dyDescent="0.2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0</v>
      </c>
      <c r="L120" s="272">
        <v>0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0</v>
      </c>
      <c r="S120" s="272">
        <v>0</v>
      </c>
      <c r="T120" s="272">
        <v>50.298000000000002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2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0</v>
      </c>
      <c r="L121" s="273">
        <v>0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0</v>
      </c>
      <c r="S121" s="273">
        <v>0</v>
      </c>
      <c r="T121" s="273">
        <v>0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2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0</v>
      </c>
      <c r="L122" s="273">
        <v>0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0</v>
      </c>
      <c r="S122" s="273">
        <v>0</v>
      </c>
      <c r="T122" s="273">
        <v>0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2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0</v>
      </c>
      <c r="L123" s="273">
        <v>0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0</v>
      </c>
      <c r="S123" s="273">
        <v>0</v>
      </c>
      <c r="T123" s="273">
        <v>1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2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2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2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36.967100000000002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25">
      <c r="E127" s="375"/>
      <c r="F127" s="376"/>
      <c r="G127" s="376"/>
      <c r="H127" s="374"/>
      <c r="I127" s="374"/>
      <c r="J127" s="377"/>
      <c r="K127" s="377"/>
      <c r="L127" s="377"/>
      <c r="M127" s="377"/>
      <c r="N127" s="378"/>
      <c r="O127" s="378"/>
      <c r="P127" s="378"/>
      <c r="Q127" s="377"/>
      <c r="R127" s="377"/>
      <c r="S127" s="377"/>
      <c r="T127" s="378"/>
      <c r="U127" s="377"/>
      <c r="V127" s="378"/>
      <c r="W127" s="377"/>
      <c r="X127" s="378"/>
      <c r="Y127" s="377"/>
      <c r="Z127" s="374"/>
      <c r="AA127" s="374"/>
      <c r="AB127" s="374"/>
      <c r="AC127" s="374"/>
      <c r="AD127" s="374"/>
      <c r="AE127" s="374"/>
      <c r="AF127" s="374"/>
      <c r="AG127" s="374"/>
      <c r="AH127" s="374"/>
      <c r="AI127" s="374"/>
      <c r="AJ127" s="374"/>
      <c r="AK127" s="374"/>
      <c r="AL127" s="374"/>
      <c r="AM127" s="374"/>
      <c r="AN127" s="374"/>
      <c r="AO127" s="374"/>
      <c r="AP127" s="374"/>
    </row>
    <row r="128" spans="4:43" x14ac:dyDescent="0.25">
      <c r="E128" s="96" t="s">
        <v>1058</v>
      </c>
      <c r="G128" s="108"/>
    </row>
    <row r="129" spans="5:42" x14ac:dyDescent="0.2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11575.563194024691</v>
      </c>
      <c r="K129" s="238">
        <v>0</v>
      </c>
      <c r="L129" s="272">
        <v>28.385778382189841</v>
      </c>
      <c r="M129" s="238">
        <v>0</v>
      </c>
      <c r="N129" s="272">
        <v>4024.2458965719497</v>
      </c>
      <c r="O129" s="272">
        <v>102.09339619095061</v>
      </c>
      <c r="P129" s="272">
        <v>160.39226894387983</v>
      </c>
      <c r="Q129" s="272">
        <v>8.6509294967914947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2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41142.372442524007</v>
      </c>
      <c r="K130" s="279">
        <v>0</v>
      </c>
      <c r="L130" s="273">
        <v>149.09742335497364</v>
      </c>
      <c r="M130" s="239">
        <v>0</v>
      </c>
      <c r="N130" s="273">
        <v>17388.083455144802</v>
      </c>
      <c r="O130" s="273">
        <v>477.06649957759964</v>
      </c>
      <c r="P130" s="273">
        <v>730.94570099748273</v>
      </c>
      <c r="Q130" s="273">
        <v>108.36283197839724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2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38695.794593341067</v>
      </c>
      <c r="K131" s="279">
        <v>0</v>
      </c>
      <c r="L131" s="273">
        <v>144.76753584314579</v>
      </c>
      <c r="M131" s="239">
        <v>0</v>
      </c>
      <c r="N131" s="273">
        <v>16116.968384823227</v>
      </c>
      <c r="O131" s="273">
        <v>460.45030881905086</v>
      </c>
      <c r="P131" s="273">
        <v>755.43069781871247</v>
      </c>
      <c r="Q131" s="273">
        <v>123.18908683710534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2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31794</v>
      </c>
      <c r="K132" s="279">
        <v>0</v>
      </c>
      <c r="L132" s="273">
        <v>22</v>
      </c>
      <c r="M132" s="239">
        <v>0</v>
      </c>
      <c r="N132" s="273">
        <v>223</v>
      </c>
      <c r="O132" s="273">
        <v>4</v>
      </c>
      <c r="P132" s="273">
        <v>4</v>
      </c>
      <c r="Q132" s="273">
        <v>59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2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37677</v>
      </c>
      <c r="O133" s="273">
        <v>972</v>
      </c>
      <c r="P133" s="273">
        <v>1084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2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31.817881709863652</v>
      </c>
      <c r="O134" s="273">
        <v>0</v>
      </c>
      <c r="P134" s="273">
        <v>0.61091356991796231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2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2579.3713654173321</v>
      </c>
      <c r="O135" s="274">
        <v>257.47357870280734</v>
      </c>
      <c r="P135" s="274">
        <v>25.730190699295822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25">
      <c r="E136" s="375"/>
      <c r="F136" s="376"/>
      <c r="G136" s="376"/>
      <c r="H136" s="374"/>
      <c r="I136" s="374"/>
      <c r="J136" s="377"/>
      <c r="K136" s="377"/>
      <c r="L136" s="377"/>
      <c r="M136" s="377"/>
      <c r="N136" s="378"/>
      <c r="O136" s="378"/>
      <c r="P136" s="378"/>
      <c r="Q136" s="377"/>
      <c r="R136" s="377"/>
      <c r="S136" s="377"/>
      <c r="T136" s="378"/>
      <c r="U136" s="377"/>
      <c r="V136" s="378"/>
      <c r="W136" s="377"/>
      <c r="X136" s="378"/>
      <c r="Y136" s="377"/>
      <c r="Z136" s="374"/>
      <c r="AA136" s="374"/>
      <c r="AB136" s="374"/>
      <c r="AC136" s="374"/>
      <c r="AD136" s="374"/>
      <c r="AE136" s="374"/>
      <c r="AF136" s="374"/>
      <c r="AG136" s="374"/>
      <c r="AH136" s="374"/>
      <c r="AI136" s="374"/>
      <c r="AJ136" s="374"/>
      <c r="AK136" s="374"/>
      <c r="AL136" s="374"/>
      <c r="AM136" s="374"/>
      <c r="AN136" s="374"/>
      <c r="AO136" s="374"/>
      <c r="AP136" s="374"/>
    </row>
    <row r="137" spans="5:42" x14ac:dyDescent="0.25">
      <c r="E137" s="96" t="s">
        <v>1059</v>
      </c>
      <c r="G137" s="108"/>
    </row>
    <row r="138" spans="5:42" x14ac:dyDescent="0.2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125.13441568888412</v>
      </c>
      <c r="M138" s="238">
        <v>0</v>
      </c>
      <c r="N138" s="272">
        <v>2430.0134934551165</v>
      </c>
      <c r="O138" s="272">
        <v>1150.8614630290597</v>
      </c>
      <c r="P138" s="272">
        <v>733.7502414139301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2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2">
        <v>657.27346634781577</v>
      </c>
      <c r="M139" s="279">
        <v>0</v>
      </c>
      <c r="N139" s="273">
        <v>10499.675841707125</v>
      </c>
      <c r="O139" s="273">
        <v>5377.7959216787649</v>
      </c>
      <c r="P139" s="273">
        <v>3343.8742908178201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2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2">
        <v>638.18581137862441</v>
      </c>
      <c r="M140" s="279">
        <v>0</v>
      </c>
      <c r="N140" s="273">
        <v>9732.1216583887599</v>
      </c>
      <c r="O140" s="273">
        <v>5190.4876890229843</v>
      </c>
      <c r="P140" s="273">
        <v>3455.886374984314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2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97</v>
      </c>
      <c r="M141" s="279">
        <v>0</v>
      </c>
      <c r="N141" s="273">
        <v>36</v>
      </c>
      <c r="O141" s="273">
        <v>16</v>
      </c>
      <c r="P141" s="273">
        <v>8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2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22751</v>
      </c>
      <c r="O142" s="273">
        <v>10957</v>
      </c>
      <c r="P142" s="273">
        <v>4959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2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19.213011300822995</v>
      </c>
      <c r="O143" s="273">
        <v>0</v>
      </c>
      <c r="P143" s="273">
        <v>2.7947605103534827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2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1557.5358424134015</v>
      </c>
      <c r="O144" s="274">
        <v>2902.4053516940949</v>
      </c>
      <c r="P144" s="274">
        <v>117.70850154779335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25">
      <c r="E145" s="375"/>
      <c r="F145" s="376"/>
      <c r="G145" s="376"/>
      <c r="H145" s="374"/>
      <c r="I145" s="374"/>
      <c r="J145" s="377"/>
      <c r="K145" s="377"/>
      <c r="L145" s="377"/>
      <c r="M145" s="377"/>
      <c r="N145" s="378"/>
      <c r="O145" s="378"/>
      <c r="P145" s="378"/>
      <c r="Q145" s="377"/>
      <c r="R145" s="377"/>
      <c r="S145" s="377"/>
      <c r="T145" s="378"/>
      <c r="U145" s="377"/>
      <c r="V145" s="378"/>
      <c r="W145" s="377"/>
      <c r="X145" s="378"/>
      <c r="Y145" s="377"/>
      <c r="Z145" s="374"/>
      <c r="AA145" s="374"/>
      <c r="AB145" s="374"/>
      <c r="AC145" s="374"/>
      <c r="AD145" s="374"/>
      <c r="AE145" s="374"/>
      <c r="AF145" s="374"/>
      <c r="AG145" s="374"/>
      <c r="AH145" s="374"/>
      <c r="AI145" s="374"/>
      <c r="AJ145" s="374"/>
      <c r="AK145" s="374"/>
      <c r="AL145" s="374"/>
      <c r="AM145" s="374"/>
      <c r="AN145" s="374"/>
      <c r="AO145" s="374"/>
      <c r="AP145" s="374"/>
    </row>
    <row r="146" spans="5:42" x14ac:dyDescent="0.25">
      <c r="E146" s="96" t="s">
        <v>1060</v>
      </c>
      <c r="G146" s="108"/>
    </row>
    <row r="147" spans="5:42" x14ac:dyDescent="0.2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158.52011102732766</v>
      </c>
      <c r="M147" s="238">
        <v>0</v>
      </c>
      <c r="N147" s="272">
        <v>288.384529573593</v>
      </c>
      <c r="O147" s="272">
        <v>157.55153733171392</v>
      </c>
      <c r="P147" s="272">
        <v>547.46438661656407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2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832.63315121730921</v>
      </c>
      <c r="M148" s="279">
        <v>0</v>
      </c>
      <c r="N148" s="273">
        <v>1246.0606027255612</v>
      </c>
      <c r="O148" s="273">
        <v>736.2137339160488</v>
      </c>
      <c r="P148" s="273">
        <v>2494.9253631832894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2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808.4529353405643</v>
      </c>
      <c r="M149" s="279">
        <v>0</v>
      </c>
      <c r="N149" s="273">
        <v>1154.9702640609053</v>
      </c>
      <c r="O149" s="273">
        <v>710.57146422693029</v>
      </c>
      <c r="P149" s="273">
        <v>2578.4996143258641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2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123</v>
      </c>
      <c r="M150" s="279">
        <v>0</v>
      </c>
      <c r="N150" s="273">
        <v>2</v>
      </c>
      <c r="O150" s="273">
        <v>1</v>
      </c>
      <c r="P150" s="273">
        <v>3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2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2700</v>
      </c>
      <c r="O151" s="273">
        <v>1500</v>
      </c>
      <c r="P151" s="273">
        <v>3700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2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2.2801252917332024</v>
      </c>
      <c r="O152" s="273">
        <v>0</v>
      </c>
      <c r="P152" s="273">
        <v>2.085221594738432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2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184.8422827355362</v>
      </c>
      <c r="O153" s="274">
        <v>397.33576960309773</v>
      </c>
      <c r="P153" s="274">
        <v>87.824451648887944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25">
      <c r="E154" s="375"/>
      <c r="F154" s="376"/>
      <c r="G154" s="376"/>
      <c r="H154" s="374"/>
      <c r="I154" s="374"/>
      <c r="J154" s="377"/>
      <c r="K154" s="377"/>
      <c r="L154" s="377"/>
      <c r="M154" s="377"/>
      <c r="N154" s="378"/>
      <c r="O154" s="378"/>
      <c r="P154" s="378"/>
      <c r="Q154" s="377"/>
      <c r="R154" s="377"/>
      <c r="S154" s="377"/>
      <c r="T154" s="378"/>
      <c r="U154" s="377"/>
      <c r="V154" s="378"/>
      <c r="W154" s="377"/>
      <c r="X154" s="378"/>
      <c r="Y154" s="377"/>
      <c r="Z154" s="374"/>
      <c r="AA154" s="374"/>
      <c r="AB154" s="374"/>
      <c r="AC154" s="374"/>
      <c r="AD154" s="374"/>
      <c r="AE154" s="374"/>
      <c r="AF154" s="374"/>
      <c r="AG154" s="374"/>
      <c r="AH154" s="374"/>
      <c r="AI154" s="374"/>
      <c r="AJ154" s="374"/>
      <c r="AK154" s="374"/>
      <c r="AL154" s="374"/>
      <c r="AM154" s="374"/>
      <c r="AN154" s="374"/>
      <c r="AO154" s="374"/>
      <c r="AP154" s="374"/>
    </row>
    <row r="155" spans="5:42" x14ac:dyDescent="0.25">
      <c r="E155" s="96" t="s">
        <v>1061</v>
      </c>
      <c r="G155" s="108"/>
    </row>
    <row r="156" spans="5:42" x14ac:dyDescent="0.2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541.5278919746188</v>
      </c>
      <c r="M156" s="238">
        <v>0</v>
      </c>
      <c r="N156" s="272">
        <v>213.61817005451337</v>
      </c>
      <c r="O156" s="272">
        <v>0</v>
      </c>
      <c r="P156" s="272">
        <v>680.63139957734995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2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2844.3966651598089</v>
      </c>
      <c r="M157" s="279">
        <v>0</v>
      </c>
      <c r="N157" s="273">
        <v>923.00785387078599</v>
      </c>
      <c r="O157" s="273">
        <v>0</v>
      </c>
      <c r="P157" s="273">
        <v>3101.7991001738196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2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2761.793509974234</v>
      </c>
      <c r="M158" s="279">
        <v>0</v>
      </c>
      <c r="N158" s="273">
        <v>855.5335289340037</v>
      </c>
      <c r="O158" s="273">
        <v>0</v>
      </c>
      <c r="P158" s="273">
        <v>3205.7022232159393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2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420</v>
      </c>
      <c r="M159" s="279">
        <v>0</v>
      </c>
      <c r="N159" s="273">
        <v>1</v>
      </c>
      <c r="O159" s="273">
        <v>0</v>
      </c>
      <c r="P159" s="273">
        <v>2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2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2000</v>
      </c>
      <c r="O160" s="273">
        <v>0</v>
      </c>
      <c r="P160" s="273">
        <v>4600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2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1.6889816975801499</v>
      </c>
      <c r="O161" s="273">
        <v>0</v>
      </c>
      <c r="P161" s="273">
        <v>2.5924376583234565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2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136.92020943373052</v>
      </c>
      <c r="O162" s="274">
        <v>0</v>
      </c>
      <c r="P162" s="274">
        <v>109.18715610402288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25">
      <c r="E163" s="375"/>
      <c r="F163" s="376"/>
      <c r="G163" s="376"/>
      <c r="H163" s="374"/>
      <c r="I163" s="374"/>
      <c r="J163" s="377"/>
      <c r="K163" s="377"/>
      <c r="L163" s="377"/>
      <c r="M163" s="377"/>
      <c r="N163" s="378"/>
      <c r="O163" s="378"/>
      <c r="P163" s="378"/>
      <c r="Q163" s="377"/>
      <c r="R163" s="377"/>
      <c r="S163" s="377"/>
      <c r="T163" s="378"/>
      <c r="U163" s="377"/>
      <c r="V163" s="378"/>
      <c r="W163" s="377"/>
      <c r="X163" s="378"/>
      <c r="Y163" s="377"/>
      <c r="Z163" s="374"/>
      <c r="AA163" s="374"/>
      <c r="AB163" s="374"/>
      <c r="AC163" s="374"/>
      <c r="AD163" s="374"/>
      <c r="AE163" s="374"/>
      <c r="AF163" s="374"/>
      <c r="AG163" s="374"/>
      <c r="AH163" s="374"/>
      <c r="AI163" s="374"/>
      <c r="AJ163" s="374"/>
      <c r="AK163" s="374"/>
      <c r="AL163" s="374"/>
      <c r="AM163" s="374"/>
      <c r="AN163" s="374"/>
      <c r="AO163" s="374"/>
      <c r="AP163" s="374"/>
    </row>
    <row r="164" spans="3:43" x14ac:dyDescent="0.25">
      <c r="E164" s="96" t="s">
        <v>959</v>
      </c>
      <c r="G164" s="108" t="s">
        <v>74</v>
      </c>
      <c r="I164" s="293" t="s">
        <v>359</v>
      </c>
      <c r="J164" s="517">
        <f t="array" ref="J164:Y164">TRANSPOSE('ARP_Inputs by customer type'!J1981:J1996)</f>
        <v>617</v>
      </c>
      <c r="K164" s="517">
        <v>0</v>
      </c>
      <c r="L164" s="517">
        <v>10</v>
      </c>
      <c r="M164" s="517">
        <v>0</v>
      </c>
      <c r="N164" s="517">
        <v>3</v>
      </c>
      <c r="O164" s="517">
        <v>6</v>
      </c>
      <c r="P164" s="517">
        <v>8</v>
      </c>
      <c r="Q164" s="517">
        <v>0</v>
      </c>
      <c r="R164" s="517">
        <v>0</v>
      </c>
      <c r="S164" s="517">
        <v>0</v>
      </c>
      <c r="T164" s="517">
        <v>0</v>
      </c>
      <c r="U164" s="517">
        <v>0</v>
      </c>
      <c r="V164" s="517">
        <v>0</v>
      </c>
      <c r="W164" s="517">
        <v>0</v>
      </c>
      <c r="X164" s="517">
        <v>0</v>
      </c>
      <c r="Y164" s="517">
        <v>0</v>
      </c>
      <c r="AQ164" s="293" t="s">
        <v>995</v>
      </c>
    </row>
    <row r="165" spans="3:43" x14ac:dyDescent="0.25">
      <c r="G165" s="108"/>
    </row>
    <row r="166" spans="3:43" x14ac:dyDescent="0.25">
      <c r="C166" s="7" t="str">
        <f ca="1">INDEX('Version control'!$H$34:$H$60,MATCH($A$1,'Version control'!$F$34:$F$60,0),1)&amp;"-C: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25">
      <c r="G167" s="108"/>
    </row>
    <row r="168" spans="3:43" x14ac:dyDescent="0.25">
      <c r="D168" s="82" t="s">
        <v>1225</v>
      </c>
      <c r="H168" s="90"/>
      <c r="I168" s="293" t="s">
        <v>359</v>
      </c>
      <c r="AQ168" s="293" t="s">
        <v>1238</v>
      </c>
    </row>
    <row r="169" spans="3:43" x14ac:dyDescent="0.25">
      <c r="D169" s="82" t="s">
        <v>1226</v>
      </c>
      <c r="H169" s="90"/>
    </row>
    <row r="170" spans="3:43" x14ac:dyDescent="0.25">
      <c r="G170" s="108"/>
    </row>
    <row r="171" spans="3:43" x14ac:dyDescent="0.25">
      <c r="E171" s="96" t="s">
        <v>1062</v>
      </c>
      <c r="G171" s="108"/>
      <c r="J171" s="11" t="s">
        <v>1063</v>
      </c>
      <c r="K171" s="11" t="s">
        <v>1064</v>
      </c>
      <c r="L171" s="11" t="s">
        <v>1065</v>
      </c>
      <c r="M171" s="11" t="s">
        <v>1066</v>
      </c>
      <c r="N171" s="11" t="s">
        <v>1067</v>
      </c>
    </row>
    <row r="172" spans="3:43" x14ac:dyDescent="0.25">
      <c r="E172" s="96"/>
      <c r="F172" s="40" t="s">
        <v>199</v>
      </c>
      <c r="G172" s="40" t="s">
        <v>94</v>
      </c>
      <c r="H172" s="471"/>
      <c r="I172" s="91"/>
      <c r="J172" s="479">
        <f t="array" ref="J172:N172">TRANSPOSE('ARP_Inputs by customer type'!J2006:J2010)</f>
        <v>0</v>
      </c>
      <c r="K172" s="479">
        <v>4.7273629478738102E-2</v>
      </c>
      <c r="L172" s="479">
        <v>0.17423566478358937</v>
      </c>
      <c r="M172" s="479">
        <v>0.20274003571102514</v>
      </c>
      <c r="N172" s="479">
        <v>0.57575067002664737</v>
      </c>
    </row>
    <row r="173" spans="3:43" x14ac:dyDescent="0.25">
      <c r="E173" s="96"/>
      <c r="F173" s="39" t="s">
        <v>200</v>
      </c>
      <c r="G173" s="39" t="s">
        <v>94</v>
      </c>
      <c r="H173" s="431"/>
      <c r="J173" s="480">
        <f t="array" ref="J173:N173">TRANSPOSE('ARP_Inputs by customer type'!J2013:J2017)</f>
        <v>0</v>
      </c>
      <c r="K173" s="480">
        <v>4.7273629478738102E-2</v>
      </c>
      <c r="L173" s="480">
        <v>0.17423566478358937</v>
      </c>
      <c r="M173" s="480">
        <v>0.20274003571102514</v>
      </c>
      <c r="N173" s="480">
        <v>0.57575067002664737</v>
      </c>
    </row>
    <row r="174" spans="3:43" x14ac:dyDescent="0.25">
      <c r="E174" s="96"/>
      <c r="F174" s="36" t="s">
        <v>201</v>
      </c>
      <c r="G174" s="36" t="s">
        <v>94</v>
      </c>
      <c r="H174" s="308"/>
      <c r="I174" s="93"/>
      <c r="J174" s="481">
        <f t="array" ref="J174:N174">TRANSPOSE('ARP_Inputs by customer type'!J2020:J2024)</f>
        <v>0</v>
      </c>
      <c r="K174" s="481">
        <v>4.7273629478738102E-2</v>
      </c>
      <c r="L174" s="481">
        <v>0.17423566478358937</v>
      </c>
      <c r="M174" s="481">
        <v>0.20274003571102514</v>
      </c>
      <c r="N174" s="481">
        <v>0.57575067002664737</v>
      </c>
    </row>
    <row r="175" spans="3:43" x14ac:dyDescent="0.25">
      <c r="E175" s="375"/>
      <c r="F175" s="376"/>
      <c r="G175" s="376"/>
      <c r="H175" s="374"/>
      <c r="I175" s="374"/>
      <c r="J175" s="377"/>
      <c r="K175" s="377"/>
      <c r="L175" s="377"/>
      <c r="M175" s="377"/>
      <c r="N175" s="377"/>
    </row>
    <row r="176" spans="3:43" x14ac:dyDescent="0.25">
      <c r="E176" s="96" t="s">
        <v>1068</v>
      </c>
      <c r="G176" s="108"/>
      <c r="J176" s="11" t="s">
        <v>1063</v>
      </c>
      <c r="K176" s="11" t="s">
        <v>1064</v>
      </c>
      <c r="L176" s="11" t="s">
        <v>1065</v>
      </c>
      <c r="M176" s="11" t="s">
        <v>1066</v>
      </c>
      <c r="N176" s="11" t="s">
        <v>1067</v>
      </c>
    </row>
    <row r="177" spans="3:43" x14ac:dyDescent="0.25">
      <c r="E177" s="96"/>
      <c r="F177" s="40" t="s">
        <v>199</v>
      </c>
      <c r="G177" s="40" t="s">
        <v>94</v>
      </c>
      <c r="H177" s="471"/>
      <c r="I177" s="91"/>
      <c r="J177" s="479">
        <f t="array" ref="J177:N177">TRANSPOSE('ARP_Inputs by customer type'!J2029:J2033)</f>
        <v>0</v>
      </c>
      <c r="K177" s="479">
        <v>4.7273629478738102E-2</v>
      </c>
      <c r="L177" s="479">
        <v>0.17423566478358937</v>
      </c>
      <c r="M177" s="479">
        <v>0.20274003571102514</v>
      </c>
      <c r="N177" s="479">
        <v>0.57575067002664737</v>
      </c>
    </row>
    <row r="178" spans="3:43" x14ac:dyDescent="0.25">
      <c r="E178" s="96"/>
      <c r="F178" s="39" t="s">
        <v>200</v>
      </c>
      <c r="G178" s="39" t="s">
        <v>94</v>
      </c>
      <c r="H178" s="431"/>
      <c r="J178" s="480">
        <f t="array" ref="J178:N178">TRANSPOSE('ARP_Inputs by customer type'!J2036:J2040)</f>
        <v>0</v>
      </c>
      <c r="K178" s="480">
        <v>4.7273629478738102E-2</v>
      </c>
      <c r="L178" s="480">
        <v>0.17423566478358937</v>
      </c>
      <c r="M178" s="480">
        <v>0.20274003571102514</v>
      </c>
      <c r="N178" s="480">
        <v>0.57575067002664737</v>
      </c>
    </row>
    <row r="179" spans="3:43" x14ac:dyDescent="0.25">
      <c r="E179" s="96"/>
      <c r="F179" s="36" t="s">
        <v>201</v>
      </c>
      <c r="G179" s="36" t="s">
        <v>94</v>
      </c>
      <c r="H179" s="308"/>
      <c r="I179" s="93"/>
      <c r="J179" s="481">
        <f t="array" ref="J179:N179">TRANSPOSE('ARP_Inputs by customer type'!J2043:J2047)</f>
        <v>0</v>
      </c>
      <c r="K179" s="481">
        <v>4.7273629478738102E-2</v>
      </c>
      <c r="L179" s="481">
        <v>0.17423566478358937</v>
      </c>
      <c r="M179" s="481">
        <v>0.20274003571102514</v>
      </c>
      <c r="N179" s="481">
        <v>0.57575067002664737</v>
      </c>
    </row>
    <row r="180" spans="3:43" x14ac:dyDescent="0.25">
      <c r="E180" s="375"/>
      <c r="F180" s="376"/>
      <c r="G180" s="376"/>
      <c r="H180" s="374"/>
      <c r="I180" s="374"/>
      <c r="J180" s="377"/>
      <c r="K180" s="377"/>
      <c r="L180" s="377"/>
      <c r="M180" s="377"/>
      <c r="N180" s="377"/>
    </row>
    <row r="181" spans="3:43" x14ac:dyDescent="0.25">
      <c r="E181" s="96" t="s">
        <v>1069</v>
      </c>
      <c r="G181" s="108"/>
      <c r="J181" s="11" t="s">
        <v>1063</v>
      </c>
      <c r="K181" s="11" t="s">
        <v>1064</v>
      </c>
      <c r="L181" s="11" t="s">
        <v>1065</v>
      </c>
      <c r="M181" s="11" t="s">
        <v>1066</v>
      </c>
      <c r="N181" s="11" t="s">
        <v>1067</v>
      </c>
    </row>
    <row r="182" spans="3:43" x14ac:dyDescent="0.25">
      <c r="E182" s="96"/>
      <c r="F182" s="40" t="s">
        <v>199</v>
      </c>
      <c r="G182" s="40" t="s">
        <v>94</v>
      </c>
      <c r="H182" s="471"/>
      <c r="I182" s="91"/>
      <c r="J182" s="479">
        <f t="array" ref="J182:N182">TRANSPOSE('ARP_Inputs by customer type'!J2052:J2056)</f>
        <v>0</v>
      </c>
      <c r="K182" s="479">
        <v>4.7273629478738102E-2</v>
      </c>
      <c r="L182" s="479">
        <v>0.17423566478358937</v>
      </c>
      <c r="M182" s="479">
        <v>0.20274003571102514</v>
      </c>
      <c r="N182" s="479">
        <v>0.57575067002664737</v>
      </c>
    </row>
    <row r="183" spans="3:43" x14ac:dyDescent="0.25">
      <c r="E183" s="96"/>
      <c r="F183" s="39" t="s">
        <v>200</v>
      </c>
      <c r="G183" s="39" t="s">
        <v>94</v>
      </c>
      <c r="H183" s="431"/>
      <c r="J183" s="480">
        <f t="array" ref="J183:N183">TRANSPOSE('ARP_Inputs by customer type'!J2059:J2063)</f>
        <v>0</v>
      </c>
      <c r="K183" s="480">
        <v>4.7273629478738102E-2</v>
      </c>
      <c r="L183" s="480">
        <v>0.17423566478358937</v>
      </c>
      <c r="M183" s="480">
        <v>0.20274003571102514</v>
      </c>
      <c r="N183" s="480">
        <v>0.57575067002664737</v>
      </c>
    </row>
    <row r="184" spans="3:43" x14ac:dyDescent="0.25">
      <c r="E184" s="96"/>
      <c r="F184" s="36" t="s">
        <v>201</v>
      </c>
      <c r="G184" s="36" t="s">
        <v>94</v>
      </c>
      <c r="H184" s="308"/>
      <c r="I184" s="93"/>
      <c r="J184" s="481">
        <f t="array" ref="J184:N184">TRANSPOSE('ARP_Inputs by customer type'!J2066:J2070)</f>
        <v>0</v>
      </c>
      <c r="K184" s="481">
        <v>4.7273629478738102E-2</v>
      </c>
      <c r="L184" s="481">
        <v>0.17423566478358937</v>
      </c>
      <c r="M184" s="481">
        <v>0.20274003571102514</v>
      </c>
      <c r="N184" s="481">
        <v>0.57575067002664737</v>
      </c>
    </row>
    <row r="185" spans="3:43" x14ac:dyDescent="0.25">
      <c r="E185" s="375"/>
      <c r="F185" s="376"/>
      <c r="G185" s="376"/>
      <c r="H185" s="374"/>
      <c r="I185" s="374"/>
      <c r="J185" s="377"/>
      <c r="K185" s="377"/>
      <c r="L185" s="377"/>
      <c r="M185" s="377"/>
      <c r="N185" s="378"/>
      <c r="O185" s="378"/>
      <c r="P185" s="378"/>
      <c r="Q185" s="377"/>
      <c r="R185" s="377"/>
      <c r="S185" s="377"/>
      <c r="T185" s="378"/>
      <c r="U185" s="377"/>
      <c r="V185" s="378"/>
      <c r="W185" s="377"/>
      <c r="X185" s="378"/>
      <c r="Y185" s="377"/>
      <c r="Z185" s="374"/>
      <c r="AA185" s="374"/>
      <c r="AB185" s="374"/>
      <c r="AC185" s="374"/>
      <c r="AD185" s="374"/>
      <c r="AE185" s="374"/>
      <c r="AF185" s="374"/>
      <c r="AG185" s="374"/>
      <c r="AH185" s="374"/>
      <c r="AI185" s="374"/>
      <c r="AJ185" s="374"/>
      <c r="AK185" s="374"/>
      <c r="AL185" s="374"/>
      <c r="AM185" s="374"/>
      <c r="AN185" s="374"/>
      <c r="AO185" s="374"/>
      <c r="AP185" s="374"/>
    </row>
    <row r="186" spans="3:43" x14ac:dyDescent="0.25">
      <c r="C186" s="7" t="str">
        <f ca="1">INDEX('Version control'!$H$34:$H$60,MATCH($A$1,'Version control'!$F$34:$F$60,0),1)&amp;"-D: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25">
      <c r="G187" s="108"/>
    </row>
    <row r="188" spans="3:43" x14ac:dyDescent="0.25">
      <c r="D188" s="82" t="s">
        <v>637</v>
      </c>
      <c r="H188" s="90"/>
    </row>
    <row r="189" spans="3:43" x14ac:dyDescent="0.25">
      <c r="G189" s="108"/>
      <c r="I189" s="293" t="s">
        <v>359</v>
      </c>
      <c r="AQ189" s="293" t="s">
        <v>817</v>
      </c>
    </row>
    <row r="190" spans="3:43" x14ac:dyDescent="0.25">
      <c r="D190" s="86"/>
      <c r="E190" s="293" t="s">
        <v>638</v>
      </c>
      <c r="G190" s="293" t="s">
        <v>510</v>
      </c>
      <c r="H190" s="379"/>
      <c r="J190" s="516">
        <f t="array" ref="J190:Y190">TRANSPOSE('ARP_Inputs by customer type'!J2079:J2094)</f>
        <v>377.70000000000005</v>
      </c>
      <c r="K190" s="453">
        <v>0</v>
      </c>
      <c r="L190" s="516">
        <v>508.75</v>
      </c>
      <c r="M190" s="453">
        <v>0</v>
      </c>
      <c r="N190" s="516">
        <v>2380</v>
      </c>
      <c r="O190" s="516">
        <v>840</v>
      </c>
      <c r="P190" s="453">
        <v>0</v>
      </c>
      <c r="Q190" s="453">
        <v>0</v>
      </c>
      <c r="R190" s="516">
        <v>0</v>
      </c>
      <c r="S190" s="516">
        <v>0</v>
      </c>
      <c r="T190" s="516">
        <v>0</v>
      </c>
      <c r="U190" s="516">
        <v>0</v>
      </c>
      <c r="V190" s="516">
        <v>0</v>
      </c>
      <c r="W190" s="516">
        <v>0</v>
      </c>
      <c r="X190" s="453">
        <v>0</v>
      </c>
      <c r="Y190" s="453">
        <v>0</v>
      </c>
    </row>
    <row r="191" spans="3:43" x14ac:dyDescent="0.25">
      <c r="D191" s="86"/>
      <c r="E191" s="293" t="s">
        <v>639</v>
      </c>
      <c r="G191" s="293" t="s">
        <v>510</v>
      </c>
      <c r="H191" s="379"/>
      <c r="J191" s="453">
        <f t="array" ref="J191:Y191">TRANSPOSE('ARP_Inputs by customer type'!J2099:J2114)</f>
        <v>0</v>
      </c>
      <c r="K191" s="453">
        <v>0</v>
      </c>
      <c r="L191" s="453">
        <v>0</v>
      </c>
      <c r="M191" s="453">
        <v>0</v>
      </c>
      <c r="N191" s="453">
        <v>0</v>
      </c>
      <c r="O191" s="453">
        <v>0</v>
      </c>
      <c r="P191" s="516">
        <v>12718.10554</v>
      </c>
      <c r="Q191" s="453">
        <v>0</v>
      </c>
      <c r="R191" s="453">
        <v>0</v>
      </c>
      <c r="S191" s="453">
        <v>0</v>
      </c>
      <c r="T191" s="453">
        <v>0</v>
      </c>
      <c r="U191" s="453">
        <v>0</v>
      </c>
      <c r="V191" s="453">
        <v>0</v>
      </c>
      <c r="W191" s="453">
        <v>0</v>
      </c>
      <c r="X191" s="516">
        <v>9287</v>
      </c>
      <c r="Y191" s="516">
        <v>9287</v>
      </c>
    </row>
    <row r="192" spans="3:43" x14ac:dyDescent="0.2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25">
      <c r="D193" s="86"/>
      <c r="E193" s="293" t="s">
        <v>640</v>
      </c>
      <c r="G193" s="293" t="s">
        <v>271</v>
      </c>
      <c r="I193" s="293" t="s">
        <v>359</v>
      </c>
      <c r="J193" s="453">
        <f t="array" ref="J193:Y193">TRANSPOSE('ARP_Inputs by customer type'!J2119:J2134)</f>
        <v>0</v>
      </c>
      <c r="K193" s="453">
        <v>0</v>
      </c>
      <c r="L193" s="453">
        <v>0</v>
      </c>
      <c r="M193" s="453">
        <v>0</v>
      </c>
      <c r="N193" s="453">
        <v>0</v>
      </c>
      <c r="O193" s="453">
        <v>0</v>
      </c>
      <c r="P193" s="453">
        <v>0</v>
      </c>
      <c r="Q193" s="516">
        <v>120.51</v>
      </c>
      <c r="R193" s="453">
        <v>0</v>
      </c>
      <c r="S193" s="453">
        <v>0</v>
      </c>
      <c r="T193" s="453">
        <v>0</v>
      </c>
      <c r="U193" s="453">
        <v>0</v>
      </c>
      <c r="V193" s="453">
        <v>0</v>
      </c>
      <c r="W193" s="453">
        <v>0</v>
      </c>
      <c r="X193" s="453">
        <v>0</v>
      </c>
      <c r="Y193" s="453">
        <v>0</v>
      </c>
      <c r="AQ193" s="293" t="s">
        <v>706</v>
      </c>
    </row>
    <row r="194" spans="2:43" x14ac:dyDescent="0.2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2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25">
      <c r="G196" s="108"/>
    </row>
    <row r="197" spans="2:43" x14ac:dyDescent="0.25">
      <c r="E197" s="96" t="s">
        <v>1070</v>
      </c>
      <c r="G197" s="108"/>
    </row>
    <row r="198" spans="2:43" x14ac:dyDescent="0.25">
      <c r="E198" s="96"/>
      <c r="F198" s="40" t="s">
        <v>199</v>
      </c>
      <c r="G198" s="40" t="s">
        <v>174</v>
      </c>
      <c r="H198" s="471" t="b">
        <f>SUM(J172:N172)=1</f>
        <v>1</v>
      </c>
    </row>
    <row r="199" spans="2:43" x14ac:dyDescent="0.25">
      <c r="E199" s="96"/>
      <c r="F199" s="39" t="s">
        <v>200</v>
      </c>
      <c r="G199" s="39" t="s">
        <v>174</v>
      </c>
      <c r="H199" s="431" t="b">
        <f t="shared" ref="H199:H200" si="0">SUM(J173:N173)=1</f>
        <v>1</v>
      </c>
    </row>
    <row r="200" spans="2:43" x14ac:dyDescent="0.25">
      <c r="E200" s="96"/>
      <c r="F200" s="36" t="s">
        <v>201</v>
      </c>
      <c r="G200" s="36" t="s">
        <v>174</v>
      </c>
      <c r="H200" s="308" t="b">
        <f t="shared" si="0"/>
        <v>1</v>
      </c>
    </row>
    <row r="201" spans="2:43" x14ac:dyDescent="0.25">
      <c r="E201" s="375"/>
      <c r="F201" s="376"/>
      <c r="G201" s="376"/>
      <c r="H201" s="374"/>
    </row>
    <row r="202" spans="2:43" x14ac:dyDescent="0.25">
      <c r="E202" s="96" t="s">
        <v>1071</v>
      </c>
      <c r="G202" s="108"/>
    </row>
    <row r="203" spans="2:43" x14ac:dyDescent="0.25">
      <c r="E203" s="96"/>
      <c r="F203" s="40" t="s">
        <v>199</v>
      </c>
      <c r="G203" s="40" t="s">
        <v>174</v>
      </c>
      <c r="H203" s="471" t="b">
        <f>SUM(J177:N177)=1</f>
        <v>1</v>
      </c>
    </row>
    <row r="204" spans="2:43" x14ac:dyDescent="0.25">
      <c r="E204" s="96"/>
      <c r="F204" s="39" t="s">
        <v>200</v>
      </c>
      <c r="G204" s="39" t="s">
        <v>174</v>
      </c>
      <c r="H204" s="431" t="b">
        <f t="shared" ref="H204:H205" si="1">SUM(J178:N178)=1</f>
        <v>1</v>
      </c>
    </row>
    <row r="205" spans="2:43" x14ac:dyDescent="0.25">
      <c r="E205" s="96"/>
      <c r="F205" s="36" t="s">
        <v>201</v>
      </c>
      <c r="G205" s="36" t="s">
        <v>174</v>
      </c>
      <c r="H205" s="308" t="b">
        <f t="shared" si="1"/>
        <v>1</v>
      </c>
    </row>
    <row r="206" spans="2:43" x14ac:dyDescent="0.25">
      <c r="E206" s="375"/>
      <c r="F206" s="376"/>
      <c r="G206" s="376"/>
      <c r="H206" s="374"/>
    </row>
    <row r="207" spans="2:43" x14ac:dyDescent="0.25">
      <c r="E207" s="96" t="s">
        <v>1072</v>
      </c>
      <c r="G207" s="108"/>
    </row>
    <row r="208" spans="2:43" x14ac:dyDescent="0.25">
      <c r="E208" s="96"/>
      <c r="F208" s="40" t="s">
        <v>199</v>
      </c>
      <c r="G208" s="40" t="s">
        <v>174</v>
      </c>
      <c r="H208" s="471" t="b">
        <f>SUM(J182:N182)=1</f>
        <v>1</v>
      </c>
    </row>
    <row r="209" spans="2:43" x14ac:dyDescent="0.25">
      <c r="E209" s="96"/>
      <c r="F209" s="39" t="s">
        <v>200</v>
      </c>
      <c r="G209" s="39" t="s">
        <v>174</v>
      </c>
      <c r="H209" s="431" t="b">
        <f t="shared" ref="H209:H210" si="2">SUM(J183:N183)=1</f>
        <v>1</v>
      </c>
    </row>
    <row r="210" spans="2:43" x14ac:dyDescent="0.25">
      <c r="E210" s="96"/>
      <c r="F210" s="36" t="s">
        <v>201</v>
      </c>
      <c r="G210" s="36" t="s">
        <v>174</v>
      </c>
      <c r="H210" s="308" t="b">
        <f t="shared" si="2"/>
        <v>1</v>
      </c>
    </row>
    <row r="211" spans="2:43" x14ac:dyDescent="0.25">
      <c r="G211" s="108"/>
    </row>
    <row r="212" spans="2:43" x14ac:dyDescent="0.25">
      <c r="E212" s="293" t="s">
        <v>1073</v>
      </c>
      <c r="G212" s="122" t="s">
        <v>589</v>
      </c>
      <c r="H212" s="372">
        <f>COUNTIF(H198:H210,FALSE)</f>
        <v>0</v>
      </c>
    </row>
    <row r="213" spans="2:43" x14ac:dyDescent="0.25">
      <c r="G213" s="108"/>
    </row>
    <row r="214" spans="2:43" x14ac:dyDescent="0.25">
      <c r="E214" s="293" t="s">
        <v>416</v>
      </c>
      <c r="G214" s="122" t="s">
        <v>589</v>
      </c>
      <c r="H214" s="372">
        <f t="array" ref="H214">SUM(IF(ISERROR(H16:Y194), 1))</f>
        <v>0</v>
      </c>
    </row>
    <row r="215" spans="2:43" x14ac:dyDescent="0.25">
      <c r="G215" s="108"/>
    </row>
    <row r="216" spans="2:43" x14ac:dyDescent="0.25">
      <c r="E216" s="293" t="s">
        <v>374</v>
      </c>
      <c r="G216" s="122" t="s">
        <v>589</v>
      </c>
      <c r="H216" s="310">
        <f xml:space="preserve"> H212 + H214</f>
        <v>0</v>
      </c>
    </row>
    <row r="218" spans="2:43" x14ac:dyDescent="0.2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00000000-0002-0000-0E00-000000000000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00000000-0002-0000-0E00-000001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00000000-0002-0000-0E00-000002000000}">
      <formula1>0</formula1>
    </dataValidation>
    <dataValidation type="textLength" operator="equal" allowBlank="1" showInputMessage="1" showErrorMessage="1" error="This cell is not in use." sqref="Y188 Y193:Y194 Y168:Y169" xr:uid="{00000000-0002-0000-0E00-000003000000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00000000-0002-0000-0E00-000004000000}">
      <formula1>0</formula1>
      <formula2>1</formula2>
    </dataValidation>
  </dataValidations>
  <hyperlinks>
    <hyperlink ref="B5:F5" location="'Model map'!A1" display="Click here to return to model map" xr:uid="{00000000-0004-0000-0E00-000000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9" width="17" style="293" customWidth="1"/>
    <col min="20" max="20" width="2.42578125" style="293" customWidth="1"/>
    <col min="21" max="21" width="50.5703125" style="293" customWidth="1"/>
    <col min="22" max="22" width="2.42578125" style="293" customWidth="1"/>
    <col min="23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28515625" style="293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452</v>
      </c>
      <c r="C5" s="367"/>
      <c r="D5" s="367"/>
      <c r="E5" s="367"/>
      <c r="F5" s="367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787</v>
      </c>
    </row>
    <row r="11" spans="1:27" x14ac:dyDescent="0.25">
      <c r="C11" s="82"/>
      <c r="E11" s="293" t="s">
        <v>482</v>
      </c>
      <c r="G11" s="293" t="s">
        <v>483</v>
      </c>
      <c r="H11" s="396" t="str">
        <f>charging_year_selected</f>
        <v>2022/23</v>
      </c>
    </row>
    <row r="12" spans="1:27" x14ac:dyDescent="0.25">
      <c r="C12" s="82"/>
      <c r="E12" s="293" t="s">
        <v>467</v>
      </c>
      <c r="G12" s="293" t="s">
        <v>312</v>
      </c>
      <c r="H12" s="444" t="str">
        <f>'ARP_User control'!$H$36</f>
        <v>Current</v>
      </c>
    </row>
    <row r="14" spans="1:2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control'!$H$34:$H$60,MATCH($A$1,'Version control'!$F$34:$F$60,0),1)&amp;"-A: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3" t="s">
        <v>359</v>
      </c>
      <c r="J18" s="380"/>
      <c r="K18" s="383">
        <f>'ARP_Inputs by network level'!J20</f>
        <v>2.5000000000000001E-2</v>
      </c>
      <c r="L18" s="383">
        <f>'ARP_Inputs by network level'!J21</f>
        <v>0.1</v>
      </c>
      <c r="M18" s="380"/>
      <c r="N18" s="383">
        <f>'ARP_Inputs by network level'!J23</f>
        <v>0.26</v>
      </c>
      <c r="O18" s="380"/>
      <c r="P18" s="373"/>
      <c r="Q18" s="383">
        <f>'ARP_Inputs by network level'!J26</f>
        <v>0.2</v>
      </c>
      <c r="R18" s="79"/>
      <c r="S18" s="79"/>
      <c r="U18" s="90" t="s">
        <v>810</v>
      </c>
    </row>
    <row r="20" spans="3:27" x14ac:dyDescent="0.25">
      <c r="E20" s="14" t="s">
        <v>539</v>
      </c>
      <c r="G20" s="14" t="s">
        <v>94</v>
      </c>
      <c r="H20" s="14"/>
      <c r="I20" s="441"/>
      <c r="J20" s="380"/>
      <c r="K20" s="79"/>
      <c r="L20" s="79"/>
      <c r="M20" s="79"/>
      <c r="N20" s="79"/>
      <c r="O20" s="79"/>
      <c r="P20" s="383">
        <f>'ARP_Inputs by network level'!J39</f>
        <v>0</v>
      </c>
      <c r="Q20" s="79"/>
      <c r="R20" s="79"/>
      <c r="S20" s="79"/>
    </row>
    <row r="22" spans="3:27" x14ac:dyDescent="0.25">
      <c r="E22" s="14" t="s">
        <v>196</v>
      </c>
      <c r="G22" s="14" t="s">
        <v>428</v>
      </c>
      <c r="I22" s="293" t="s">
        <v>359</v>
      </c>
      <c r="J22" s="279"/>
      <c r="K22" s="273">
        <f>'ARP_Inputs by network level'!J48</f>
        <v>1</v>
      </c>
      <c r="L22" s="273">
        <f>'ARP_Inputs by network level'!J49</f>
        <v>1.0049999999999999</v>
      </c>
      <c r="M22" s="273">
        <f>'ARP_Inputs by network level'!J50</f>
        <v>1.012</v>
      </c>
      <c r="N22" s="273">
        <f>'ARP_Inputs by network level'!J51</f>
        <v>1.018</v>
      </c>
      <c r="O22" s="273">
        <f>'ARP_Inputs by network level'!J52</f>
        <v>1.026</v>
      </c>
      <c r="P22" s="279"/>
      <c r="Q22" s="273">
        <f>'ARP_Inputs by network level'!J54</f>
        <v>1.0369999999999999</v>
      </c>
      <c r="R22" s="273">
        <f>'ARP_Inputs by network level'!J55</f>
        <v>1.0589999999999999</v>
      </c>
      <c r="S22" s="273">
        <f>'ARP_Inputs by network level'!J56</f>
        <v>1.1080000000000001</v>
      </c>
      <c r="U22" s="90" t="s">
        <v>693</v>
      </c>
    </row>
    <row r="23" spans="3:27" x14ac:dyDescent="0.2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25">
      <c r="E24" s="14" t="s">
        <v>89</v>
      </c>
      <c r="G24" s="14" t="s">
        <v>508</v>
      </c>
      <c r="I24" s="293" t="s">
        <v>359</v>
      </c>
      <c r="J24" s="279"/>
      <c r="K24" s="273">
        <f>'ARP_Inputs by network level'!J62</f>
        <v>0.23606981324600912</v>
      </c>
      <c r="L24" s="273">
        <f>'ARP_Inputs by network level'!J63</f>
        <v>0.23606981324600912</v>
      </c>
      <c r="M24" s="273">
        <f>'ARP_Inputs by network level'!J64</f>
        <v>0.2927446569914286</v>
      </c>
      <c r="N24" s="273">
        <f>'ARP_Inputs by network level'!J65</f>
        <v>0.2927446569914286</v>
      </c>
      <c r="O24" s="273">
        <f>'ARP_Inputs by network level'!J66</f>
        <v>0.30348821794359715</v>
      </c>
      <c r="P24" s="273">
        <f>'ARP_Inputs by network level'!J67</f>
        <v>0.30348821794359715</v>
      </c>
      <c r="Q24" s="273">
        <f>'ARP_Inputs by network level'!J68</f>
        <v>0.30348821794359715</v>
      </c>
      <c r="R24" s="273">
        <f>'ARP_Inputs by network level'!J69</f>
        <v>0.30348821794359715</v>
      </c>
      <c r="S24" s="273">
        <f>'ARP_Inputs by network level'!J70</f>
        <v>0.30348821794359715</v>
      </c>
      <c r="U24" s="90" t="s">
        <v>811</v>
      </c>
    </row>
    <row r="26" spans="3:27" x14ac:dyDescent="0.25">
      <c r="C26" s="7" t="str">
        <f ca="1">INDEX('Version control'!$H$34:$H$60,MATCH($A$1,'Version control'!$F$34:$F$60,0),1)&amp;"-B: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3" t="s">
        <v>359</v>
      </c>
      <c r="U27" s="293" t="s">
        <v>812</v>
      </c>
    </row>
    <row r="28" spans="3:27" x14ac:dyDescent="0.25">
      <c r="C28" s="96"/>
      <c r="E28" s="96" t="s">
        <v>205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0.32635129017655001</v>
      </c>
      <c r="R29" s="137">
        <f>'ARP_Inputs by network level'!J84</f>
        <v>0.71097285067873295</v>
      </c>
      <c r="S29" s="137">
        <f>'ARP_Inputs by network level'!J85</f>
        <v>0.93094869075781095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0.32635129017655001</v>
      </c>
      <c r="R30" s="143">
        <f>'ARP_Inputs by network level'!J95</f>
        <v>0.71097285067873295</v>
      </c>
      <c r="S30" s="369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0.29443019943019899</v>
      </c>
      <c r="O31" s="143">
        <f>'ARP_Inputs by network level'!J103</f>
        <v>0.14317058823529399</v>
      </c>
      <c r="P31" s="143">
        <f>'ARP_Inputs by network level'!J104</f>
        <v>0</v>
      </c>
      <c r="Q31" s="143">
        <f>'ARP_Inputs by network level'!J105</f>
        <v>0.73429040289723801</v>
      </c>
      <c r="R31" s="369"/>
      <c r="S31" s="369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89">
        <f>'ARP_Inputs by network level'!J111</f>
        <v>0</v>
      </c>
      <c r="M32" s="389">
        <f>'ARP_Inputs by network level'!J112</f>
        <v>0</v>
      </c>
      <c r="N32" s="389">
        <f>'ARP_Inputs by network level'!J113</f>
        <v>0.29443019943019899</v>
      </c>
      <c r="O32" s="389">
        <f>'ARP_Inputs by network level'!J114</f>
        <v>0.14317058823529399</v>
      </c>
      <c r="P32" s="38"/>
      <c r="Q32" s="38"/>
      <c r="R32" s="38"/>
      <c r="S32" s="38"/>
    </row>
    <row r="34" spans="2:27" x14ac:dyDescent="0.25">
      <c r="C34" s="7" t="str">
        <f ca="1">INDEX('Version control'!$H$34:$H$60,MATCH($A$1,'Version control'!$F$34:$F$60,0),1)&amp;"-C: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182180488.50875437</v>
      </c>
      <c r="M36" s="273">
        <f>'ARP_Inputs by network level'!J126</f>
        <v>15274381.286093295</v>
      </c>
      <c r="N36" s="273">
        <f>'ARP_Inputs by network level'!J127</f>
        <v>155931649.61894557</v>
      </c>
      <c r="O36" s="273">
        <f>'ARP_Inputs by network level'!J128</f>
        <v>25898612.482776646</v>
      </c>
      <c r="P36" s="273">
        <f>'ARP_Inputs by network level'!J129</f>
        <v>0</v>
      </c>
      <c r="Q36" s="273">
        <f>'ARP_Inputs by network level'!J130</f>
        <v>212562042.37604496</v>
      </c>
      <c r="R36" s="273">
        <f>'ARP_Inputs by network level'!J131</f>
        <v>83137824.375090584</v>
      </c>
      <c r="S36" s="273">
        <f>'ARP_Inputs by network level'!J132</f>
        <v>50906912.878207207</v>
      </c>
    </row>
    <row r="38" spans="2:27" x14ac:dyDescent="0.25">
      <c r="C38" s="7" t="str">
        <f ca="1">INDEX('Version control'!$H$34:$H$60,MATCH($A$1,'Version control'!$F$34:$F$60,0),1)&amp;"-D: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624</v>
      </c>
    </row>
    <row r="41" spans="2:27" x14ac:dyDescent="0.25">
      <c r="C41" s="82"/>
    </row>
    <row r="42" spans="2:27" x14ac:dyDescent="0.25">
      <c r="D42" s="96"/>
      <c r="E42" s="96" t="s">
        <v>788</v>
      </c>
      <c r="I42" s="293" t="s">
        <v>359</v>
      </c>
      <c r="U42" s="293" t="s">
        <v>813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0.69301867698138409</v>
      </c>
      <c r="L43" s="137">
        <f>'ARP_Inputs by network level'!J141</f>
        <v>0.69301867698138409</v>
      </c>
      <c r="M43" s="137">
        <f>'ARP_Inputs by network level'!J142</f>
        <v>0.46936285646089426</v>
      </c>
      <c r="N43" s="137">
        <f>'ARP_Inputs by network level'!J143</f>
        <v>0.46936285646089426</v>
      </c>
      <c r="O43" s="137">
        <f>'ARP_Inputs by network level'!J144</f>
        <v>0.39588673279375791</v>
      </c>
      <c r="P43" s="137">
        <f>'ARP_Inputs by network level'!J145</f>
        <v>0</v>
      </c>
      <c r="Q43" s="137">
        <f>'ARP_Inputs by network level'!J146</f>
        <v>0.39588673279375791</v>
      </c>
      <c r="R43" s="137">
        <f>'ARP_Inputs by network level'!J147</f>
        <v>0.39588673279375791</v>
      </c>
      <c r="S43" s="137">
        <f>'ARP_Inputs by network level'!J148</f>
        <v>0.39588673279375791</v>
      </c>
    </row>
    <row r="44" spans="2:27" x14ac:dyDescent="0.25">
      <c r="F44" s="293" t="s">
        <v>85</v>
      </c>
      <c r="G44" s="109" t="s">
        <v>94</v>
      </c>
      <c r="J44" s="79"/>
      <c r="K44" s="143">
        <f>'ARP_Inputs by network level'!J152</f>
        <v>0.26838641252470796</v>
      </c>
      <c r="L44" s="143">
        <f>'ARP_Inputs by network level'!J153</f>
        <v>0.26838641252470796</v>
      </c>
      <c r="M44" s="143">
        <f>'ARP_Inputs by network level'!J154</f>
        <v>0.44007220176642542</v>
      </c>
      <c r="N44" s="143">
        <f>'ARP_Inputs by network level'!J155</f>
        <v>0.44007220176642542</v>
      </c>
      <c r="O44" s="143">
        <f>'ARP_Inputs by network level'!J156</f>
        <v>0.54104909579910121</v>
      </c>
      <c r="P44" s="143">
        <f>'ARP_Inputs by network level'!J157</f>
        <v>0</v>
      </c>
      <c r="Q44" s="143">
        <f>'ARP_Inputs by network level'!J158</f>
        <v>0.54104909579910121</v>
      </c>
      <c r="R44" s="143">
        <f>'ARP_Inputs by network level'!J159</f>
        <v>0.54104909579910121</v>
      </c>
      <c r="S44" s="143">
        <f>'ARP_Inputs by network level'!J160</f>
        <v>0.54104909579910121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89">
        <f>'ARP_Inputs by network level'!J164</f>
        <v>3.859491049390814E-2</v>
      </c>
      <c r="L45" s="389">
        <f>'ARP_Inputs by network level'!J165</f>
        <v>3.859491049390814E-2</v>
      </c>
      <c r="M45" s="389">
        <f>'ARP_Inputs by network level'!J166</f>
        <v>9.0564941772680582E-2</v>
      </c>
      <c r="N45" s="389">
        <f>'ARP_Inputs by network level'!J167</f>
        <v>9.0564941772680582E-2</v>
      </c>
      <c r="O45" s="389">
        <f>'ARP_Inputs by network level'!J168</f>
        <v>6.3064171407140796E-2</v>
      </c>
      <c r="P45" s="389">
        <f>'ARP_Inputs by network level'!J169</f>
        <v>0</v>
      </c>
      <c r="Q45" s="389">
        <f>'ARP_Inputs by network level'!J170</f>
        <v>6.3064171407140796E-2</v>
      </c>
      <c r="R45" s="389">
        <f>'ARP_Inputs by network level'!J171</f>
        <v>6.3064171407140796E-2</v>
      </c>
      <c r="S45" s="389">
        <f>'ARP_Inputs by network level'!J172</f>
        <v>6.3064171407140796E-2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89">
        <f>'ARP_Inputs by network level'!J176</f>
        <v>0.42427867223195098</v>
      </c>
      <c r="L46" s="389">
        <f>'ARP_Inputs by network level'!J177</f>
        <v>0.42427867223195098</v>
      </c>
      <c r="M46" s="389">
        <f>'ARP_Inputs by network level'!J178</f>
        <v>0.21935206001107954</v>
      </c>
      <c r="N46" s="389">
        <f>'ARP_Inputs by network level'!J179</f>
        <v>0.21935206001107954</v>
      </c>
      <c r="O46" s="389">
        <f>'ARP_Inputs by network level'!J180</f>
        <v>0.23892992067747731</v>
      </c>
      <c r="P46" s="389">
        <f>'ARP_Inputs by network level'!J181</f>
        <v>0</v>
      </c>
      <c r="Q46" s="389">
        <f>'ARP_Inputs by network level'!J182</f>
        <v>0.23892992067747731</v>
      </c>
      <c r="R46" s="389">
        <f>'ARP_Inputs by network level'!J183</f>
        <v>0.23892992067747731</v>
      </c>
      <c r="S46" s="389">
        <f>'ARP_Inputs by network level'!J184</f>
        <v>0.23892992067747731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3" t="s">
        <v>416</v>
      </c>
      <c r="G50" s="122" t="s">
        <v>589</v>
      </c>
      <c r="H50" s="372">
        <f t="array" ref="H50">SUM(IF(ISERROR(H18:AA47), 1))</f>
        <v>0</v>
      </c>
    </row>
    <row r="52" spans="2:27" x14ac:dyDescent="0.25">
      <c r="E52" s="293" t="s">
        <v>644</v>
      </c>
      <c r="G52" s="122" t="s">
        <v>589</v>
      </c>
      <c r="H52" s="372">
        <f>IF(K22 = 1, 0, 1)</f>
        <v>0</v>
      </c>
    </row>
    <row r="54" spans="2:27" x14ac:dyDescent="0.25">
      <c r="E54" s="96" t="s">
        <v>789</v>
      </c>
    </row>
    <row r="55" spans="2:27" x14ac:dyDescent="0.25">
      <c r="E55" s="82" t="s">
        <v>625</v>
      </c>
    </row>
    <row r="56" spans="2:27" x14ac:dyDescent="0.25">
      <c r="F56" s="91" t="s">
        <v>790</v>
      </c>
      <c r="G56" s="58" t="s">
        <v>589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589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3" t="s">
        <v>374</v>
      </c>
      <c r="G59" s="122" t="s">
        <v>589</v>
      </c>
      <c r="H59" s="310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0000000-0002-0000-0F00-000000000000}">
      <formula1>0</formula1>
    </dataValidation>
    <dataValidation type="decimal" allowBlank="1" showErrorMessage="1" prompt="Red, Amber and Green must sum to 100%." sqref="K43:S45" xr:uid="{00000000-0002-0000-0F00-000001000000}">
      <formula1>0</formula1>
      <formula2>1</formula2>
    </dataValidation>
    <dataValidation type="decimal" allowBlank="1" showInputMessage="1" showErrorMessage="1" sqref="P22 P18 K46:S46" xr:uid="{00000000-0002-0000-0F00-000002000000}">
      <formula1>0</formula1>
      <formula2>1</formula2>
    </dataValidation>
    <dataValidation type="decimal" operator="greaterThanOrEqual" allowBlank="1" showInputMessage="1" showErrorMessage="1" sqref="L36:S36" xr:uid="{00000000-0002-0000-0F00-000003000000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00000000-0002-0000-0F00-000004000000}">
      <formula1>0</formula1>
      <formula2>1</formula2>
    </dataValidation>
    <dataValidation type="decimal" allowBlank="1" showInputMessage="1" showErrorMessage="1" sqref="L22:O22 Q22:S22" xr:uid="{00000000-0002-0000-0F00-000005000000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0000000-0002-0000-0F00-000006000000}">
      <formula1>0</formula1>
      <formula2>4</formula2>
    </dataValidation>
    <dataValidation type="decimal" operator="greaterThan" allowBlank="1" showInputMessage="1" showErrorMessage="1" sqref="K22" xr:uid="{00000000-0002-0000-0F00-000007000000}">
      <formula1>0</formula1>
    </dataValidation>
  </dataValidations>
  <hyperlinks>
    <hyperlink ref="B5:F5" location="'Model map'!A1" display="Click here to return to model map" xr:uid="{00000000-0004-0000-0F00-000000000000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2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0" width="50.5703125" style="293" customWidth="1"/>
    <col min="11" max="11" width="2.42578125" style="293" customWidth="1"/>
    <col min="12" max="17" width="15.42578125" style="293" hidden="1" customWidth="1"/>
    <col min="18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28515625" style="293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452</v>
      </c>
      <c r="C5" s="367"/>
      <c r="D5" s="367"/>
      <c r="E5" s="367"/>
      <c r="F5" s="367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439</v>
      </c>
      <c r="G9" s="108"/>
    </row>
    <row r="10" spans="1:27" x14ac:dyDescent="0.25">
      <c r="G10" s="108"/>
    </row>
    <row r="11" spans="1:27" x14ac:dyDescent="0.25">
      <c r="C11" s="82"/>
      <c r="E11" s="293" t="s">
        <v>482</v>
      </c>
      <c r="G11" s="293" t="s">
        <v>483</v>
      </c>
      <c r="H11" s="396" t="str">
        <f>charging_year_selected</f>
        <v>2022/23</v>
      </c>
    </row>
    <row r="12" spans="1:27" x14ac:dyDescent="0.25">
      <c r="C12" s="82"/>
      <c r="E12" s="293" t="s">
        <v>467</v>
      </c>
      <c r="G12" s="293" t="s">
        <v>312</v>
      </c>
      <c r="H12" s="444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control'!$H$34:$H$60,MATCH($A$1,'Version control'!$F$34:$F$60,0),1)&amp;"-A: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206</v>
      </c>
      <c r="E18" s="96"/>
      <c r="G18" s="108"/>
      <c r="I18" s="293" t="s">
        <v>359</v>
      </c>
      <c r="J18" s="293" t="s">
        <v>814</v>
      </c>
    </row>
    <row r="19" spans="3:27" x14ac:dyDescent="0.25">
      <c r="E19" s="16" t="s">
        <v>87</v>
      </c>
      <c r="F19" s="16"/>
      <c r="G19" s="129" t="s">
        <v>507</v>
      </c>
      <c r="H19" s="272">
        <f>'ARP_General inputs'!J19</f>
        <v>258</v>
      </c>
    </row>
    <row r="20" spans="3:27" x14ac:dyDescent="0.25">
      <c r="E20" s="14" t="s">
        <v>88</v>
      </c>
      <c r="F20" s="14"/>
      <c r="G20" s="108" t="s">
        <v>507</v>
      </c>
      <c r="H20" s="273">
        <f>'ARP_General inputs'!J20</f>
        <v>3942.5</v>
      </c>
    </row>
    <row r="21" spans="3:27" x14ac:dyDescent="0.25">
      <c r="E21" s="15" t="s">
        <v>86</v>
      </c>
      <c r="F21" s="15"/>
      <c r="G21" s="131" t="s">
        <v>507</v>
      </c>
      <c r="H21" s="274">
        <f>'ARP_General inputs'!J21</f>
        <v>4559.5</v>
      </c>
    </row>
    <row r="22" spans="3:27" x14ac:dyDescent="0.25">
      <c r="G22" s="108"/>
      <c r="H22" s="252"/>
    </row>
    <row r="23" spans="3:27" x14ac:dyDescent="0.25">
      <c r="D23" s="96" t="s">
        <v>207</v>
      </c>
      <c r="E23" s="96"/>
      <c r="G23" s="108"/>
      <c r="H23" s="252"/>
      <c r="I23" s="293" t="s">
        <v>359</v>
      </c>
      <c r="J23" s="293" t="s">
        <v>814</v>
      </c>
    </row>
    <row r="24" spans="3:27" x14ac:dyDescent="0.25">
      <c r="E24" s="91" t="s">
        <v>84</v>
      </c>
      <c r="F24" s="91"/>
      <c r="G24" s="129" t="s">
        <v>507</v>
      </c>
      <c r="H24" s="272">
        <f>'ARP_General inputs'!J24</f>
        <v>783</v>
      </c>
    </row>
    <row r="25" spans="3:27" x14ac:dyDescent="0.25">
      <c r="E25" s="293" t="s">
        <v>85</v>
      </c>
      <c r="G25" s="108" t="s">
        <v>507</v>
      </c>
      <c r="H25" s="273">
        <f>'ARP_General inputs'!J25</f>
        <v>3417.5</v>
      </c>
    </row>
    <row r="26" spans="3:27" x14ac:dyDescent="0.25">
      <c r="E26" s="93" t="s">
        <v>86</v>
      </c>
      <c r="F26" s="93"/>
      <c r="G26" s="131" t="s">
        <v>507</v>
      </c>
      <c r="H26" s="274">
        <f>'ARP_General inputs'!J26</f>
        <v>4559.5</v>
      </c>
    </row>
    <row r="27" spans="3:27" x14ac:dyDescent="0.25">
      <c r="G27" s="108"/>
    </row>
    <row r="28" spans="3:27" x14ac:dyDescent="0.25">
      <c r="C28" s="7" t="str">
        <f ca="1">INDEX('Version control'!$H$34:$H$60,MATCH($A$1,'Version control'!$F$34:$F$60,0),1)&amp;"-B: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791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198</v>
      </c>
      <c r="E32" s="96"/>
      <c r="G32" s="108"/>
      <c r="I32" s="293" t="s">
        <v>359</v>
      </c>
      <c r="J32" s="293" t="s">
        <v>694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0.37965428939083246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0.54896300131614539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0.27129203207220204</v>
      </c>
    </row>
    <row r="36" spans="3:27" x14ac:dyDescent="0.25">
      <c r="E36" s="15" t="s">
        <v>69</v>
      </c>
      <c r="F36" s="93"/>
      <c r="G36" s="36" t="s">
        <v>94</v>
      </c>
      <c r="H36" s="389">
        <f>'ARP_General inputs'!J36</f>
        <v>0.17674798485106219</v>
      </c>
    </row>
    <row r="37" spans="3:27" x14ac:dyDescent="0.25">
      <c r="G37" s="108"/>
    </row>
    <row r="38" spans="3:27" x14ac:dyDescent="0.25">
      <c r="C38" s="7" t="str">
        <f ca="1">INDEX('Version control'!$H$34:$H$60,MATCH($A$1,'Version control'!$F$34:$F$60,0),1)&amp;"-C: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696</v>
      </c>
      <c r="E40" s="82"/>
      <c r="G40" s="108"/>
      <c r="H40" s="108"/>
      <c r="I40" s="293" t="s">
        <v>359</v>
      </c>
      <c r="J40" s="293" t="s">
        <v>695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924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3" t="s">
        <v>0</v>
      </c>
      <c r="G43" s="293" t="s">
        <v>107</v>
      </c>
      <c r="H43" s="273">
        <f>'ARP_General inputs'!J43</f>
        <v>310900000</v>
      </c>
    </row>
    <row r="44" spans="3:27" x14ac:dyDescent="0.25">
      <c r="E44" s="293" t="s">
        <v>1</v>
      </c>
      <c r="G44" s="293" t="s">
        <v>107</v>
      </c>
      <c r="H44" s="273">
        <f>'ARP_General inputs'!J44</f>
        <v>-23000000</v>
      </c>
    </row>
    <row r="45" spans="3:27" x14ac:dyDescent="0.25">
      <c r="E45" s="293" t="s">
        <v>2</v>
      </c>
      <c r="G45" s="293" t="s">
        <v>107</v>
      </c>
      <c r="H45" s="273">
        <f>'ARP_General inputs'!J45</f>
        <v>-2513814.361501331</v>
      </c>
    </row>
    <row r="46" spans="3:27" x14ac:dyDescent="0.25">
      <c r="E46" s="93" t="s">
        <v>3</v>
      </c>
      <c r="F46" s="93"/>
      <c r="G46" s="93" t="s">
        <v>428</v>
      </c>
      <c r="H46" s="274">
        <f>'ARP_General inputs'!J46</f>
        <v>1.2769999999999999</v>
      </c>
    </row>
    <row r="47" spans="3:27" x14ac:dyDescent="0.25">
      <c r="E47" s="293" t="s">
        <v>4</v>
      </c>
      <c r="G47" s="293" t="s">
        <v>107</v>
      </c>
      <c r="H47" s="275">
        <f>SUM(H43:H45)</f>
        <v>285386185.63849866</v>
      </c>
    </row>
    <row r="48" spans="3:27" x14ac:dyDescent="0.25">
      <c r="E48" s="293" t="s">
        <v>438</v>
      </c>
      <c r="G48" s="293" t="s">
        <v>107</v>
      </c>
      <c r="H48" s="275">
        <f>H47 * (H46 - 1)</f>
        <v>79051973.421864107</v>
      </c>
    </row>
    <row r="49" spans="5:8" x14ac:dyDescent="0.25">
      <c r="H49" s="252"/>
    </row>
    <row r="50" spans="5:8" x14ac:dyDescent="0.25">
      <c r="E50" s="293" t="s">
        <v>5</v>
      </c>
      <c r="G50" s="293" t="s">
        <v>107</v>
      </c>
      <c r="H50" s="273">
        <f>'ARP_General inputs'!J50</f>
        <v>352247.83535246336</v>
      </c>
    </row>
    <row r="51" spans="5:8" x14ac:dyDescent="0.25">
      <c r="E51" s="293" t="s">
        <v>6</v>
      </c>
      <c r="G51" s="293" t="s">
        <v>107</v>
      </c>
      <c r="H51" s="273">
        <f>'ARP_General inputs'!J51</f>
        <v>6808700.5949292379</v>
      </c>
    </row>
    <row r="52" spans="5:8" x14ac:dyDescent="0.25">
      <c r="E52" s="293" t="s">
        <v>7</v>
      </c>
      <c r="G52" s="293" t="s">
        <v>107</v>
      </c>
      <c r="H52" s="273">
        <f>'ARP_General inputs'!J52</f>
        <v>394234.72144877579</v>
      </c>
    </row>
    <row r="53" spans="5:8" x14ac:dyDescent="0.25">
      <c r="E53" s="293" t="s">
        <v>8</v>
      </c>
      <c r="G53" s="293" t="s">
        <v>107</v>
      </c>
      <c r="H53" s="273">
        <f>'ARP_General inputs'!J53</f>
        <v>1719916.6154441901</v>
      </c>
    </row>
    <row r="54" spans="5:8" x14ac:dyDescent="0.25">
      <c r="E54" s="293" t="s">
        <v>9</v>
      </c>
      <c r="G54" s="293" t="s">
        <v>107</v>
      </c>
      <c r="H54" s="273">
        <f>'ARP_General inputs'!J54</f>
        <v>0</v>
      </c>
    </row>
    <row r="55" spans="5:8" x14ac:dyDescent="0.25">
      <c r="E55" s="293" t="s">
        <v>10</v>
      </c>
      <c r="G55" s="293" t="s">
        <v>107</v>
      </c>
      <c r="H55" s="273">
        <f>'ARP_General inputs'!J55</f>
        <v>0</v>
      </c>
    </row>
    <row r="56" spans="5:8" x14ac:dyDescent="0.25">
      <c r="E56" s="293" t="s">
        <v>960</v>
      </c>
      <c r="G56" s="293" t="s">
        <v>107</v>
      </c>
      <c r="H56" s="273">
        <f>'ARP_General inputs'!J56</f>
        <v>431905.06499620422</v>
      </c>
    </row>
    <row r="57" spans="5:8" x14ac:dyDescent="0.25">
      <c r="E57" s="293" t="s">
        <v>961</v>
      </c>
      <c r="G57" s="293" t="s">
        <v>107</v>
      </c>
      <c r="H57" s="273">
        <f>'ARP_General inputs'!J57</f>
        <v>380045.24439727812</v>
      </c>
    </row>
    <row r="58" spans="5:8" x14ac:dyDescent="0.25">
      <c r="E58" s="93" t="s">
        <v>11</v>
      </c>
      <c r="F58" s="93"/>
      <c r="G58" s="93" t="s">
        <v>107</v>
      </c>
      <c r="H58" s="274">
        <f>'ARP_General inputs'!J58</f>
        <v>0</v>
      </c>
    </row>
    <row r="59" spans="5:8" x14ac:dyDescent="0.25">
      <c r="E59" s="293" t="s">
        <v>12</v>
      </c>
      <c r="G59" s="293" t="s">
        <v>107</v>
      </c>
      <c r="H59" s="269">
        <f>SUM(H50:H58)</f>
        <v>10087050.076568149</v>
      </c>
    </row>
    <row r="60" spans="5:8" x14ac:dyDescent="0.25">
      <c r="H60" s="252"/>
    </row>
    <row r="61" spans="5:8" x14ac:dyDescent="0.25">
      <c r="E61" s="293" t="s">
        <v>13</v>
      </c>
      <c r="G61" s="293" t="s">
        <v>107</v>
      </c>
      <c r="H61" s="273">
        <f>'ARP_General inputs'!J61</f>
        <v>4107410.8715643194</v>
      </c>
    </row>
    <row r="62" spans="5:8" x14ac:dyDescent="0.25">
      <c r="E62" s="293" t="s">
        <v>14</v>
      </c>
      <c r="G62" s="293" t="s">
        <v>107</v>
      </c>
      <c r="H62" s="273">
        <f>'ARP_General inputs'!J62</f>
        <v>3526359.1281636665</v>
      </c>
    </row>
    <row r="63" spans="5:8" x14ac:dyDescent="0.25">
      <c r="E63" s="293" t="s">
        <v>15</v>
      </c>
      <c r="G63" s="293" t="s">
        <v>107</v>
      </c>
      <c r="H63" s="273">
        <f>'ARP_General inputs'!J63</f>
        <v>0</v>
      </c>
    </row>
    <row r="64" spans="5:8" x14ac:dyDescent="0.25">
      <c r="E64" s="293" t="s">
        <v>16</v>
      </c>
      <c r="G64" s="293" t="s">
        <v>107</v>
      </c>
      <c r="H64" s="273">
        <f>'ARP_General inputs'!J64</f>
        <v>724837.21262899763</v>
      </c>
    </row>
    <row r="65" spans="5:8" x14ac:dyDescent="0.25">
      <c r="E65" s="293" t="s">
        <v>17</v>
      </c>
      <c r="G65" s="293" t="s">
        <v>107</v>
      </c>
      <c r="H65" s="273">
        <f>'ARP_General inputs'!J65</f>
        <v>0</v>
      </c>
    </row>
    <row r="66" spans="5:8" x14ac:dyDescent="0.25">
      <c r="E66" s="293" t="s">
        <v>18</v>
      </c>
      <c r="G66" s="293" t="s">
        <v>107</v>
      </c>
      <c r="H66" s="273">
        <f>'ARP_General inputs'!J66</f>
        <v>1360800</v>
      </c>
    </row>
    <row r="67" spans="5:8" x14ac:dyDescent="0.25">
      <c r="E67" s="293" t="s">
        <v>19</v>
      </c>
      <c r="G67" s="293" t="s">
        <v>107</v>
      </c>
      <c r="H67" s="273">
        <f>'ARP_General inputs'!J67</f>
        <v>0</v>
      </c>
    </row>
    <row r="68" spans="5:8" x14ac:dyDescent="0.25">
      <c r="E68" s="293" t="s">
        <v>20</v>
      </c>
      <c r="G68" s="293" t="s">
        <v>107</v>
      </c>
      <c r="H68" s="273">
        <f>'ARP_General inputs'!J68</f>
        <v>0</v>
      </c>
    </row>
    <row r="69" spans="5:8" x14ac:dyDescent="0.25">
      <c r="E69" s="293" t="s">
        <v>21</v>
      </c>
      <c r="G69" s="293" t="s">
        <v>107</v>
      </c>
      <c r="H69" s="273">
        <f>'ARP_General inputs'!J69</f>
        <v>0</v>
      </c>
    </row>
    <row r="70" spans="5:8" x14ac:dyDescent="0.25">
      <c r="E70" s="293" t="s">
        <v>22</v>
      </c>
      <c r="G70" s="293" t="s">
        <v>107</v>
      </c>
      <c r="H70" s="273">
        <f>'ARP_General inputs'!J70</f>
        <v>0</v>
      </c>
    </row>
    <row r="71" spans="5:8" x14ac:dyDescent="0.25">
      <c r="E71" s="93" t="s">
        <v>23</v>
      </c>
      <c r="F71" s="93"/>
      <c r="G71" s="93" t="s">
        <v>107</v>
      </c>
      <c r="H71" s="274">
        <f>'ARP_General inputs'!J71</f>
        <v>0</v>
      </c>
    </row>
    <row r="72" spans="5:8" x14ac:dyDescent="0.25">
      <c r="E72" s="293" t="s">
        <v>24</v>
      </c>
      <c r="G72" s="293" t="s">
        <v>107</v>
      </c>
      <c r="H72" s="275">
        <f>SUM(H61:H71)</f>
        <v>9719407.2123569846</v>
      </c>
    </row>
    <row r="73" spans="5:8" x14ac:dyDescent="0.25">
      <c r="H73" s="252"/>
    </row>
    <row r="74" spans="5:8" x14ac:dyDescent="0.25">
      <c r="E74" s="93" t="s">
        <v>25</v>
      </c>
      <c r="F74" s="93"/>
      <c r="G74" s="93" t="s">
        <v>107</v>
      </c>
      <c r="H74" s="274">
        <f>'ARP_General inputs'!J74</f>
        <v>18724950.055402152</v>
      </c>
    </row>
    <row r="75" spans="5:8" x14ac:dyDescent="0.25">
      <c r="E75" s="293" t="s">
        <v>26</v>
      </c>
      <c r="G75" s="293" t="s">
        <v>107</v>
      </c>
      <c r="H75" s="275">
        <f>H74 + H72 + H59 + H48 + H47</f>
        <v>402969566.40469003</v>
      </c>
    </row>
    <row r="76" spans="5:8" x14ac:dyDescent="0.25">
      <c r="H76" s="252"/>
    </row>
    <row r="77" spans="5:8" x14ac:dyDescent="0.25">
      <c r="E77" s="293" t="s">
        <v>27</v>
      </c>
      <c r="G77" s="293" t="s">
        <v>107</v>
      </c>
      <c r="H77" s="273">
        <f>'ARP_General inputs'!J77</f>
        <v>0</v>
      </c>
    </row>
    <row r="78" spans="5:8" x14ac:dyDescent="0.25">
      <c r="E78" s="293" t="s">
        <v>28</v>
      </c>
      <c r="G78" s="293" t="s">
        <v>107</v>
      </c>
      <c r="H78" s="273">
        <f>'ARP_General inputs'!J78</f>
        <v>560220.93844053103</v>
      </c>
    </row>
    <row r="79" spans="5:8" x14ac:dyDescent="0.25">
      <c r="E79" s="293" t="s">
        <v>29</v>
      </c>
      <c r="G79" s="293" t="s">
        <v>107</v>
      </c>
      <c r="H79" s="273">
        <f>'ARP_General inputs'!J79</f>
        <v>0</v>
      </c>
    </row>
    <row r="80" spans="5:8" x14ac:dyDescent="0.25">
      <c r="E80" s="293" t="s">
        <v>30</v>
      </c>
      <c r="G80" s="293" t="s">
        <v>107</v>
      </c>
      <c r="H80" s="273">
        <f>'ARP_General inputs'!J80</f>
        <v>0</v>
      </c>
    </row>
    <row r="81" spans="3:27" x14ac:dyDescent="0.25">
      <c r="E81" s="93" t="s">
        <v>31</v>
      </c>
      <c r="F81" s="93"/>
      <c r="G81" s="93" t="s">
        <v>107</v>
      </c>
      <c r="H81" s="274">
        <f>'ARP_General inputs'!J81</f>
        <v>0</v>
      </c>
    </row>
    <row r="82" spans="3:27" x14ac:dyDescent="0.25">
      <c r="E82" s="93" t="s">
        <v>32</v>
      </c>
      <c r="F82" s="93"/>
      <c r="G82" s="93" t="s">
        <v>107</v>
      </c>
      <c r="H82" s="268">
        <f>SUM(H77:H81)</f>
        <v>560220.93844053103</v>
      </c>
    </row>
    <row r="83" spans="3:27" x14ac:dyDescent="0.25">
      <c r="E83" s="293" t="s">
        <v>33</v>
      </c>
      <c r="G83" s="293" t="s">
        <v>107</v>
      </c>
      <c r="H83" s="269">
        <f>H75+H82</f>
        <v>403529787.34313053</v>
      </c>
    </row>
    <row r="84" spans="3:27" x14ac:dyDescent="0.25">
      <c r="H84" s="252"/>
    </row>
    <row r="85" spans="3:27" x14ac:dyDescent="0.25">
      <c r="E85" s="293" t="s">
        <v>34</v>
      </c>
      <c r="G85" s="293" t="s">
        <v>107</v>
      </c>
      <c r="H85" s="273">
        <f>'ARP_General inputs'!J85</f>
        <v>31470144.177364249</v>
      </c>
    </row>
    <row r="86" spans="3:27" x14ac:dyDescent="0.25">
      <c r="E86" s="293" t="s">
        <v>35</v>
      </c>
      <c r="G86" s="293" t="s">
        <v>107</v>
      </c>
      <c r="H86" s="273">
        <f>'ARP_General inputs'!J86</f>
        <v>0</v>
      </c>
    </row>
    <row r="87" spans="3:27" x14ac:dyDescent="0.25">
      <c r="E87" s="293" t="s">
        <v>36</v>
      </c>
      <c r="G87" s="293" t="s">
        <v>107</v>
      </c>
      <c r="H87" s="273">
        <f>'ARP_General inputs'!J87</f>
        <v>0</v>
      </c>
    </row>
    <row r="88" spans="3:27" x14ac:dyDescent="0.25">
      <c r="E88" s="93" t="s">
        <v>37</v>
      </c>
      <c r="F88" s="93"/>
      <c r="G88" s="93" t="s">
        <v>107</v>
      </c>
      <c r="H88" s="274">
        <f>'ARP_General inputs'!J88</f>
        <v>0</v>
      </c>
    </row>
    <row r="89" spans="3:27" x14ac:dyDescent="0.25">
      <c r="E89" s="293" t="s">
        <v>38</v>
      </c>
      <c r="G89" s="293" t="s">
        <v>107</v>
      </c>
      <c r="H89" s="275">
        <f>SUM(H85:H88)</f>
        <v>31470144.177364249</v>
      </c>
    </row>
    <row r="90" spans="3:27" x14ac:dyDescent="0.25">
      <c r="E90" s="91" t="s">
        <v>39</v>
      </c>
      <c r="F90" s="91"/>
      <c r="G90" s="91" t="s">
        <v>107</v>
      </c>
      <c r="H90" s="254">
        <f>H83-H89</f>
        <v>372059643.1657663</v>
      </c>
    </row>
    <row r="91" spans="3:27" x14ac:dyDescent="0.25">
      <c r="H91" s="381"/>
    </row>
    <row r="92" spans="3:27" x14ac:dyDescent="0.25">
      <c r="C92" s="7" t="str">
        <f ca="1">INDEX('Version control'!$H$34:$H$60,MATCH($A$1,'Version control'!$F$34:$F$60,0),1)&amp;"-D: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25">
      <c r="E94" s="14" t="s">
        <v>616</v>
      </c>
      <c r="G94" s="293" t="s">
        <v>94</v>
      </c>
      <c r="H94" s="383">
        <f>'ARP_General inputs'!J100</f>
        <v>3.6499999999999998E-2</v>
      </c>
      <c r="I94" s="293" t="s">
        <v>359</v>
      </c>
      <c r="J94" s="88" t="s">
        <v>697</v>
      </c>
    </row>
    <row r="95" spans="3:27" x14ac:dyDescent="0.25">
      <c r="E95" s="14" t="s">
        <v>41</v>
      </c>
      <c r="G95" s="14" t="s">
        <v>505</v>
      </c>
      <c r="H95" s="379">
        <f>'ARP_General inputs'!J101</f>
        <v>365</v>
      </c>
    </row>
    <row r="96" spans="3:27" x14ac:dyDescent="0.25">
      <c r="E96" s="293" t="s">
        <v>440</v>
      </c>
      <c r="G96" s="293" t="s">
        <v>210</v>
      </c>
      <c r="H96" s="310">
        <f>days_in_year * hours_in_day</f>
        <v>8760</v>
      </c>
    </row>
    <row r="98" spans="2:27" x14ac:dyDescent="0.25">
      <c r="C98" s="7" t="str">
        <f ca="1">INDEX('Version control'!$H$34:$H$60,MATCH($A$1,'Version control'!$F$34:$F$60,0),1)&amp;"-E: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25">
      <c r="E100" s="14" t="s">
        <v>117</v>
      </c>
      <c r="G100" s="293" t="s">
        <v>506</v>
      </c>
      <c r="H100" s="273">
        <f>'ARP_General inputs'!J105</f>
        <v>21592434.721448775</v>
      </c>
      <c r="I100" s="293" t="s">
        <v>359</v>
      </c>
      <c r="J100" s="293" t="s">
        <v>698</v>
      </c>
    </row>
    <row r="101" spans="2:27" x14ac:dyDescent="0.25">
      <c r="H101" s="252"/>
    </row>
    <row r="102" spans="2:27" x14ac:dyDescent="0.25">
      <c r="C102" s="7" t="str">
        <f ca="1">INDEX('Version control'!$H$34:$H$60,MATCH($A$1,'Version control'!$F$34:$F$60,0),1)&amp;"-F: Other expenditure"</f>
        <v>Section 503-F: Other expenditure</v>
      </c>
      <c r="D102" s="7"/>
      <c r="E102" s="7"/>
      <c r="F102" s="7"/>
      <c r="G102" s="172"/>
      <c r="H102" s="242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25">
      <c r="H103" s="252"/>
    </row>
    <row r="104" spans="2:27" x14ac:dyDescent="0.25">
      <c r="E104" s="96" t="s">
        <v>79</v>
      </c>
      <c r="F104" s="96"/>
      <c r="H104" s="252"/>
      <c r="I104" s="293" t="s">
        <v>359</v>
      </c>
      <c r="J104" s="293" t="s">
        <v>699</v>
      </c>
    </row>
    <row r="105" spans="2:27" x14ac:dyDescent="0.25">
      <c r="F105" s="16" t="s">
        <v>128</v>
      </c>
      <c r="G105" s="91" t="s">
        <v>506</v>
      </c>
      <c r="H105" s="272">
        <f>'ARP_General inputs'!J110</f>
        <v>29914542.570803028</v>
      </c>
    </row>
    <row r="106" spans="2:27" x14ac:dyDescent="0.25">
      <c r="F106" s="14" t="s">
        <v>129</v>
      </c>
      <c r="G106" s="293" t="s">
        <v>506</v>
      </c>
      <c r="H106" s="273">
        <f>'ARP_General inputs'!J111</f>
        <v>106888436.15186968</v>
      </c>
      <c r="R106" s="86"/>
      <c r="S106" s="86"/>
    </row>
    <row r="107" spans="2:27" x14ac:dyDescent="0.25">
      <c r="F107" s="15" t="s">
        <v>130</v>
      </c>
      <c r="G107" s="93" t="s">
        <v>506</v>
      </c>
      <c r="H107" s="274">
        <f>'ARP_General inputs'!J112</f>
        <v>25325200.594929237</v>
      </c>
      <c r="R107" s="86"/>
      <c r="S107" s="86"/>
    </row>
    <row r="109" spans="2:27" x14ac:dyDescent="0.2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25">
      <c r="E111" s="293" t="s">
        <v>416</v>
      </c>
      <c r="G111" s="122" t="s">
        <v>589</v>
      </c>
      <c r="H111" s="372">
        <f t="array" ref="H111">SUM(IF(ISERROR(H6:H108), 1))</f>
        <v>0</v>
      </c>
    </row>
    <row r="113" spans="2:27" x14ac:dyDescent="0.25">
      <c r="E113" s="96" t="s">
        <v>784</v>
      </c>
    </row>
    <row r="114" spans="2:27" x14ac:dyDescent="0.25">
      <c r="F114" s="91" t="s">
        <v>441</v>
      </c>
      <c r="G114" s="58" t="s">
        <v>589</v>
      </c>
      <c r="H114" s="177">
        <f>IF(SUM(H19:H21) = hours_in_year, 0, 1)</f>
        <v>0</v>
      </c>
    </row>
    <row r="115" spans="2:27" x14ac:dyDescent="0.25">
      <c r="F115" s="93" t="s">
        <v>442</v>
      </c>
      <c r="G115" s="61" t="s">
        <v>589</v>
      </c>
      <c r="H115" s="179">
        <f>IF(SUM(H24:H26) = hours_in_year, 0, 1)</f>
        <v>0</v>
      </c>
    </row>
    <row r="117" spans="2:27" x14ac:dyDescent="0.25">
      <c r="E117" s="293" t="s">
        <v>374</v>
      </c>
      <c r="G117" s="122" t="s">
        <v>589</v>
      </c>
      <c r="H117" s="310">
        <f>SUM(H111,H114:H115)</f>
        <v>0</v>
      </c>
    </row>
    <row r="119" spans="2:27" x14ac:dyDescent="0.2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4" priority="4" operator="greaterThan">
      <formula>0</formula>
    </cfRule>
  </conditionalFormatting>
  <conditionalFormatting sqref="H114:H116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7">
    <cfRule type="cellIs" dxfId="181" priority="1" operator="greaterThan">
      <formula>0</formula>
    </cfRule>
  </conditionalFormatting>
  <dataValidations count="5">
    <dataValidation type="whole" allowBlank="1" showInputMessage="1" showErrorMessage="1" sqref="H96" xr:uid="{00000000-0002-0000-1000-000000000000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00000000-0002-0000-1000-000001000000}">
      <formula1>0</formula1>
    </dataValidation>
    <dataValidation type="decimal" operator="greaterThanOrEqual" allowBlank="1" showInputMessage="1" showErrorMessage="1" sqref="H19:H21 H24:H26 H105:H107 H100" xr:uid="{00000000-0002-0000-1000-000002000000}">
      <formula1>0</formula1>
    </dataValidation>
    <dataValidation type="decimal" allowBlank="1" showInputMessage="1" showErrorMessage="1" sqref="H95" xr:uid="{00000000-0002-0000-1000-000003000000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0000000-0002-0000-1000-000004000000}">
      <formula1>0</formula1>
      <formula2>1</formula2>
    </dataValidation>
  </dataValidations>
  <hyperlinks>
    <hyperlink ref="B5:F5" location="'Model map'!A1" display="Click here to return to model map" xr:uid="{00000000-0004-0000-1000-000000000000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707</v>
      </c>
      <c r="E9" s="293"/>
    </row>
    <row r="10" spans="1:27" x14ac:dyDescent="0.25">
      <c r="C10" s="82" t="s">
        <v>513</v>
      </c>
      <c r="E10" s="293"/>
    </row>
    <row r="11" spans="1:27" x14ac:dyDescent="0.25">
      <c r="C11" s="82" t="s">
        <v>514</v>
      </c>
      <c r="E11" s="293"/>
    </row>
    <row r="12" spans="1:27" x14ac:dyDescent="0.25">
      <c r="C12" s="82" t="s">
        <v>515</v>
      </c>
      <c r="E12" s="293"/>
    </row>
    <row r="13" spans="1:27" x14ac:dyDescent="0.25">
      <c r="C13" s="82"/>
      <c r="E13" s="293"/>
    </row>
    <row r="14" spans="1:27" x14ac:dyDescent="0.25">
      <c r="C14" s="82" t="s">
        <v>327</v>
      </c>
      <c r="E14" s="293"/>
    </row>
    <row r="15" spans="1:27" x14ac:dyDescent="0.25">
      <c r="C15" s="82" t="s">
        <v>268</v>
      </c>
      <c r="E15" s="293"/>
    </row>
    <row r="17" spans="2:27" x14ac:dyDescent="0.2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control'!$H$34:$H$60,MATCH($A$1,'Version control'!$F$34:$F$60,0),1)&amp;"-A: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424</v>
      </c>
      <c r="F21" s="98"/>
    </row>
    <row r="22" spans="2:27" x14ac:dyDescent="0.25">
      <c r="D22" s="86"/>
      <c r="F22" s="98"/>
    </row>
    <row r="23" spans="2:27" x14ac:dyDescent="0.25">
      <c r="D23" s="293"/>
      <c r="E23" s="96" t="s">
        <v>517</v>
      </c>
      <c r="F23" s="96"/>
      <c r="I23" s="293" t="s">
        <v>359</v>
      </c>
      <c r="AA23" s="293" t="s">
        <v>704</v>
      </c>
    </row>
    <row r="24" spans="2:27" x14ac:dyDescent="0.25">
      <c r="D24" s="293"/>
      <c r="E24" s="82" t="s">
        <v>708</v>
      </c>
    </row>
    <row r="25" spans="2:27" x14ac:dyDescent="0.2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3"/>
      <c r="E38" s="96" t="s">
        <v>539</v>
      </c>
      <c r="F38" s="98"/>
    </row>
    <row r="39" spans="4:27" x14ac:dyDescent="0.25">
      <c r="D39" s="86"/>
      <c r="E39" s="293"/>
      <c r="F39" s="14" t="s">
        <v>539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3"/>
      <c r="E41" s="96" t="s">
        <v>518</v>
      </c>
      <c r="F41" s="96"/>
    </row>
    <row r="42" spans="4:27" x14ac:dyDescent="0.25">
      <c r="D42" s="293"/>
      <c r="E42" s="82" t="s">
        <v>709</v>
      </c>
    </row>
    <row r="43" spans="4:27" x14ac:dyDescent="0.2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710</v>
      </c>
    </row>
    <row r="46" spans="4:27" x14ac:dyDescent="0.2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711</v>
      </c>
    </row>
    <row r="50" spans="2:27" x14ac:dyDescent="0.2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3"/>
      <c r="E57" s="293"/>
    </row>
    <row r="58" spans="2:27" x14ac:dyDescent="0.25">
      <c r="D58" s="293"/>
      <c r="E58" s="293" t="s">
        <v>416</v>
      </c>
      <c r="G58" s="122" t="s">
        <v>589</v>
      </c>
      <c r="H58" s="310">
        <f t="array" ref="H58">SUM(IF(ISERROR(H25:Y54), 1))</f>
        <v>0</v>
      </c>
    </row>
    <row r="59" spans="2:27" x14ac:dyDescent="0.25">
      <c r="D59" s="293"/>
      <c r="E59" s="293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00000000-0004-0000-11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4"/>
      <c r="J5" s="382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328</v>
      </c>
    </row>
    <row r="10" spans="1:23" x14ac:dyDescent="0.25">
      <c r="C10" s="82" t="s">
        <v>329</v>
      </c>
    </row>
    <row r="11" spans="1:23" x14ac:dyDescent="0.25">
      <c r="C11" s="82" t="s">
        <v>679</v>
      </c>
    </row>
    <row r="13" spans="1:23" x14ac:dyDescent="0.25">
      <c r="B13" s="95" t="s">
        <v>672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425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control'!$H$34:$H$60,MATCH($A$1,'Version control'!$F$34:$F$60,0),1)&amp;"-A: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3" t="s">
        <v>317</v>
      </c>
      <c r="F19" s="87"/>
      <c r="G19" s="108" t="s">
        <v>94</v>
      </c>
      <c r="H19" s="88"/>
      <c r="I19" s="88"/>
      <c r="J19" s="380"/>
      <c r="K19" s="383">
        <f>'Inputs by network level'!K18</f>
        <v>2.5000000000000001E-2</v>
      </c>
      <c r="L19" s="383">
        <f>'Inputs by network level'!L18</f>
        <v>0.1</v>
      </c>
      <c r="M19" s="380"/>
      <c r="N19" s="383">
        <f>'Inputs by network level'!N18</f>
        <v>0.26</v>
      </c>
      <c r="O19" s="380"/>
      <c r="P19" s="380"/>
      <c r="Q19" s="383">
        <f>'Inputs by network level'!Q18</f>
        <v>0.2</v>
      </c>
      <c r="R19" s="380"/>
      <c r="S19" s="380"/>
      <c r="T19" s="79"/>
      <c r="U19" s="79"/>
    </row>
    <row r="20" spans="2:23" x14ac:dyDescent="0.25">
      <c r="E20" s="293" t="s">
        <v>70</v>
      </c>
      <c r="F20" s="87"/>
      <c r="G20" s="108" t="s">
        <v>94</v>
      </c>
      <c r="H20" s="88"/>
      <c r="I20" s="88"/>
      <c r="J20" s="384">
        <f t="shared" ref="J20" si="0">IF(I20 = "", 1, I20 / (1 + J19))</f>
        <v>1</v>
      </c>
      <c r="K20" s="384">
        <f>IF(J20 = "", 1, J20 / (1 + K19))</f>
        <v>0.97560975609756106</v>
      </c>
      <c r="L20" s="384">
        <f t="shared" ref="L20:S20" si="1">IF(K20 = "", 1, K20 / (1 + L19))</f>
        <v>0.88691796008869184</v>
      </c>
      <c r="M20" s="384">
        <f t="shared" si="1"/>
        <v>0.88691796008869184</v>
      </c>
      <c r="N20" s="384">
        <f t="shared" si="1"/>
        <v>0.7039031429275332</v>
      </c>
      <c r="O20" s="384">
        <f t="shared" si="1"/>
        <v>0.7039031429275332</v>
      </c>
      <c r="P20" s="384">
        <f t="shared" si="1"/>
        <v>0.7039031429275332</v>
      </c>
      <c r="Q20" s="384">
        <f t="shared" si="1"/>
        <v>0.58658595243961098</v>
      </c>
      <c r="R20" s="384">
        <f t="shared" si="1"/>
        <v>0.58658595243961098</v>
      </c>
      <c r="S20" s="384">
        <f t="shared" si="1"/>
        <v>0.58658595243961098</v>
      </c>
      <c r="T20" s="79"/>
      <c r="U20" s="79"/>
    </row>
    <row r="21" spans="2:23" x14ac:dyDescent="0.25">
      <c r="E21" s="293" t="s">
        <v>318</v>
      </c>
      <c r="F21" s="87"/>
      <c r="G21" s="108" t="s">
        <v>94</v>
      </c>
      <c r="H21" s="88"/>
      <c r="I21" s="88"/>
      <c r="J21" s="384">
        <f>1 / J20 - 1</f>
        <v>0</v>
      </c>
      <c r="K21" s="384">
        <f t="shared" ref="K21:S21" si="2">1 / K20 - 1</f>
        <v>2.4999999999999911E-2</v>
      </c>
      <c r="L21" s="384">
        <f t="shared" si="2"/>
        <v>0.12749999999999995</v>
      </c>
      <c r="M21" s="384">
        <f t="shared" si="2"/>
        <v>0.12749999999999995</v>
      </c>
      <c r="N21" s="384">
        <f t="shared" si="2"/>
        <v>0.42064999999999997</v>
      </c>
      <c r="O21" s="384">
        <f t="shared" si="2"/>
        <v>0.42064999999999997</v>
      </c>
      <c r="P21" s="384">
        <f t="shared" si="2"/>
        <v>0.42064999999999997</v>
      </c>
      <c r="Q21" s="384">
        <f t="shared" si="2"/>
        <v>0.70477999999999996</v>
      </c>
      <c r="R21" s="384">
        <f t="shared" si="2"/>
        <v>0.70477999999999996</v>
      </c>
      <c r="S21" s="384">
        <f t="shared" si="2"/>
        <v>0.70477999999999996</v>
      </c>
      <c r="T21" s="79"/>
      <c r="U21" s="79"/>
    </row>
    <row r="22" spans="2:23" x14ac:dyDescent="0.25">
      <c r="E22" s="293" t="s">
        <v>320</v>
      </c>
      <c r="F22" s="87"/>
      <c r="G22" s="108" t="s">
        <v>94</v>
      </c>
      <c r="H22" s="88"/>
      <c r="I22" s="88"/>
      <c r="J22" s="380"/>
      <c r="K22" s="380"/>
      <c r="L22" s="380"/>
      <c r="M22" s="380"/>
      <c r="N22" s="380"/>
      <c r="O22" s="380"/>
      <c r="P22" s="384">
        <f>M21</f>
        <v>0.12749999999999995</v>
      </c>
      <c r="Q22" s="380"/>
      <c r="R22" s="380"/>
      <c r="S22" s="380"/>
      <c r="T22" s="79"/>
      <c r="U22" s="79"/>
    </row>
    <row r="23" spans="2:23" x14ac:dyDescent="0.2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2.4999999999999911E-2</v>
      </c>
      <c r="L23" s="311">
        <f t="shared" si="3"/>
        <v>0.12749999999999995</v>
      </c>
      <c r="M23" s="311">
        <f t="shared" si="3"/>
        <v>0.12749999999999995</v>
      </c>
      <c r="N23" s="311">
        <f t="shared" si="3"/>
        <v>0.42064999999999997</v>
      </c>
      <c r="O23" s="311">
        <f t="shared" si="3"/>
        <v>0.42064999999999997</v>
      </c>
      <c r="P23" s="311">
        <f t="shared" si="3"/>
        <v>0.12749999999999995</v>
      </c>
      <c r="Q23" s="311">
        <f t="shared" si="3"/>
        <v>0.70477999999999996</v>
      </c>
      <c r="R23" s="311">
        <f t="shared" si="3"/>
        <v>0.70477999999999996</v>
      </c>
      <c r="S23" s="311">
        <f t="shared" si="3"/>
        <v>0.70477999999999996</v>
      </c>
      <c r="T23" s="79"/>
      <c r="U23" s="79"/>
      <c r="W23" s="90" t="s">
        <v>792</v>
      </c>
    </row>
    <row r="24" spans="2:23" x14ac:dyDescent="0.25">
      <c r="F24" s="87"/>
      <c r="G24" s="108"/>
      <c r="H24" s="88"/>
      <c r="I24" s="88"/>
      <c r="J24" s="384"/>
      <c r="K24" s="384"/>
      <c r="L24" s="384"/>
      <c r="M24" s="384"/>
      <c r="N24" s="384"/>
      <c r="O24" s="384"/>
      <c r="P24" s="384"/>
      <c r="Q24" s="384"/>
      <c r="R24" s="384"/>
      <c r="S24" s="384"/>
      <c r="T24" s="88"/>
      <c r="U24" s="88"/>
    </row>
    <row r="25" spans="2:23" x14ac:dyDescent="0.25">
      <c r="C25" s="7" t="str">
        <f ca="1">INDEX('Version control'!$H$34:$H$60,MATCH($A$1,'Version control'!$F$34:$F$60,0),1)&amp;"-B: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3" t="s">
        <v>98</v>
      </c>
      <c r="F27" s="385"/>
      <c r="G27" s="109" t="s">
        <v>428</v>
      </c>
      <c r="H27" s="88"/>
      <c r="I27" s="88"/>
      <c r="J27" s="279"/>
      <c r="K27" s="273">
        <f>'Inputs by network level'!K22</f>
        <v>1</v>
      </c>
      <c r="L27" s="273">
        <f>'Inputs by network level'!L22</f>
        <v>1.0049999999999999</v>
      </c>
      <c r="M27" s="273">
        <f>'Inputs by network level'!M22</f>
        <v>1.012</v>
      </c>
      <c r="N27" s="273">
        <f>'Inputs by network level'!N22</f>
        <v>1.018</v>
      </c>
      <c r="O27" s="273">
        <f>'Inputs by network level'!O22</f>
        <v>1.026</v>
      </c>
      <c r="P27" s="279"/>
      <c r="Q27" s="273">
        <f>'Inputs by network level'!Q22</f>
        <v>1.0369999999999999</v>
      </c>
      <c r="R27" s="273">
        <f>'Inputs by network level'!R22</f>
        <v>1.0589999999999999</v>
      </c>
      <c r="S27" s="273">
        <f>'Inputs by network level'!S22</f>
        <v>1.1080000000000001</v>
      </c>
      <c r="T27" s="279"/>
      <c r="U27" s="279"/>
    </row>
    <row r="28" spans="2:23" x14ac:dyDescent="0.25">
      <c r="E28" s="293" t="s">
        <v>171</v>
      </c>
      <c r="F28" s="385"/>
      <c r="G28" s="109" t="s">
        <v>428</v>
      </c>
      <c r="H28" s="88"/>
      <c r="I28" s="88"/>
      <c r="J28" s="275">
        <f>K27</f>
        <v>1</v>
      </c>
      <c r="K28" s="279"/>
      <c r="L28" s="279"/>
      <c r="M28" s="279"/>
      <c r="N28" s="279"/>
      <c r="O28" s="279"/>
      <c r="P28" s="275">
        <f>O27</f>
        <v>1.026</v>
      </c>
      <c r="Q28" s="279"/>
      <c r="R28" s="279"/>
      <c r="S28" s="279"/>
      <c r="T28" s="279"/>
      <c r="U28" s="279"/>
    </row>
    <row r="29" spans="2:23" x14ac:dyDescent="0.25">
      <c r="E29" s="293" t="s">
        <v>100</v>
      </c>
      <c r="F29" s="385"/>
      <c r="G29" s="109" t="s">
        <v>428</v>
      </c>
      <c r="H29" s="88"/>
      <c r="I29" s="88" t="s">
        <v>359</v>
      </c>
      <c r="J29" s="256">
        <f t="shared" ref="J29:S29" si="4">J27 + J28</f>
        <v>1</v>
      </c>
      <c r="K29" s="256">
        <f t="shared" si="4"/>
        <v>1</v>
      </c>
      <c r="L29" s="256">
        <f t="shared" si="4"/>
        <v>1.0049999999999999</v>
      </c>
      <c r="M29" s="256">
        <f t="shared" si="4"/>
        <v>1.012</v>
      </c>
      <c r="N29" s="256">
        <f t="shared" si="4"/>
        <v>1.018</v>
      </c>
      <c r="O29" s="256">
        <f t="shared" si="4"/>
        <v>1.026</v>
      </c>
      <c r="P29" s="256">
        <f t="shared" si="4"/>
        <v>1.026</v>
      </c>
      <c r="Q29" s="256">
        <f t="shared" si="4"/>
        <v>1.0369999999999999</v>
      </c>
      <c r="R29" s="256">
        <f t="shared" si="4"/>
        <v>1.0589999999999999</v>
      </c>
      <c r="S29" s="256">
        <f t="shared" si="4"/>
        <v>1.1080000000000001</v>
      </c>
      <c r="T29" s="279"/>
      <c r="U29" s="279"/>
      <c r="W29" s="90" t="s">
        <v>693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671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670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control'!$H$34:$H$60,MATCH($A$1,'Version control'!$F$34:$F$60,0),1)&amp;"-C: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3" t="s">
        <v>51</v>
      </c>
      <c r="F37" s="14"/>
      <c r="G37" s="109" t="s">
        <v>94</v>
      </c>
      <c r="H37" s="383">
        <f>'Inputs by network level'!P20</f>
        <v>0</v>
      </c>
      <c r="I37" s="88"/>
    </row>
    <row r="38" spans="3:23" x14ac:dyDescent="0.2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6">
        <f>1 - $H$37</f>
        <v>1</v>
      </c>
      <c r="N38" s="386">
        <f>1 - $H$37</f>
        <v>1</v>
      </c>
      <c r="O38" s="386">
        <f>1 - $H$37</f>
        <v>1</v>
      </c>
      <c r="P38" s="387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control'!$H$34:$H$60,MATCH($A$1,'Version control'!$F$34:$F$60,0),1)&amp;"-D: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793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331</v>
      </c>
      <c r="G44" s="108"/>
    </row>
    <row r="45" spans="3:23" x14ac:dyDescent="0.25">
      <c r="E45" s="82" t="s">
        <v>794</v>
      </c>
      <c r="G45" s="108"/>
    </row>
    <row r="46" spans="3:23" x14ac:dyDescent="0.25">
      <c r="F46" s="91" t="s">
        <v>928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25">
      <c r="F47" s="293" t="s">
        <v>929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25">
      <c r="F48" s="293" t="s">
        <v>930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25">
      <c r="F49" s="293" t="s">
        <v>931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25">
      <c r="F50" s="293" t="s">
        <v>932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25">
      <c r="F51" s="293" t="s">
        <v>933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25">
      <c r="F52" s="293" t="s">
        <v>934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25">
      <c r="F53" s="293" t="s">
        <v>935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25">
      <c r="F54" s="293" t="s">
        <v>936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25">
      <c r="F55" s="293" t="s">
        <v>937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25">
      <c r="F56" s="293" t="s">
        <v>938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25">
      <c r="F57" s="293" t="s">
        <v>939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25">
      <c r="F58" s="293" t="s">
        <v>940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25">
      <c r="F59" s="293" t="s">
        <v>941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25">
      <c r="F60" s="293" t="s">
        <v>942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25">
      <c r="F61" s="93" t="s">
        <v>943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2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25">
      <c r="E63" s="96" t="s">
        <v>444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2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25">
      <c r="F65" s="91" t="s">
        <v>928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25">
      <c r="F66" s="293" t="s">
        <v>929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25">
      <c r="F67" s="293" t="s">
        <v>930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25">
      <c r="F68" s="293" t="s">
        <v>931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25">
      <c r="F69" s="293" t="s">
        <v>932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25">
      <c r="F70" s="293" t="s">
        <v>933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25">
      <c r="F71" s="293" t="s">
        <v>934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25">
      <c r="F72" s="293" t="s">
        <v>935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25">
      <c r="F73" s="293" t="s">
        <v>936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25">
      <c r="F74" s="293" t="s">
        <v>937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25">
      <c r="F75" s="293" t="s">
        <v>938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25">
      <c r="F76" s="293" t="s">
        <v>939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25">
      <c r="F77" s="293" t="s">
        <v>940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25">
      <c r="F78" s="293" t="s">
        <v>941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25">
      <c r="F79" s="293" t="s">
        <v>942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25">
      <c r="F80" s="93" t="s">
        <v>943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2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2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785</v>
      </c>
    </row>
    <row r="83" spans="5:23" x14ac:dyDescent="0.2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25">
      <c r="F84" s="91" t="s">
        <v>928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25">
      <c r="F85" s="293" t="s">
        <v>929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25">
      <c r="F86" s="293" t="s">
        <v>930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25">
      <c r="F87" s="293" t="s">
        <v>931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25">
      <c r="F88" s="293" t="s">
        <v>932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25">
      <c r="F89" s="293" t="s">
        <v>933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25">
      <c r="F90" s="293" t="s">
        <v>934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25">
      <c r="F91" s="293" t="s">
        <v>935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25">
      <c r="F92" s="293" t="s">
        <v>936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25">
      <c r="F93" s="293" t="s">
        <v>937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25">
      <c r="F94" s="293" t="s">
        <v>938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25">
      <c r="F95" s="293" t="s">
        <v>939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25">
      <c r="F96" s="293" t="s">
        <v>940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25">
      <c r="F97" s="293" t="s">
        <v>941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25">
      <c r="F98" s="293" t="s">
        <v>942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25">
      <c r="F99" s="93" t="s">
        <v>943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2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25">
      <c r="E101" s="96" t="s">
        <v>445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785</v>
      </c>
    </row>
    <row r="102" spans="5:23" x14ac:dyDescent="0.2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2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25">
      <c r="F104" s="91" t="s">
        <v>928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25">
      <c r="F105" s="293" t="s">
        <v>929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25">
      <c r="F106" s="293" t="s">
        <v>930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25">
      <c r="F107" s="293" t="s">
        <v>931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25">
      <c r="F108" s="293" t="s">
        <v>932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25">
      <c r="F109" s="293" t="s">
        <v>933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25">
      <c r="F110" s="293" t="s">
        <v>934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25">
      <c r="F111" s="293" t="s">
        <v>935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25">
      <c r="F112" s="293" t="s">
        <v>936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25">
      <c r="F113" s="293" t="s">
        <v>937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25">
      <c r="F114" s="293" t="s">
        <v>938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25">
      <c r="F115" s="293" t="s">
        <v>939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25">
      <c r="F116" s="293" t="s">
        <v>940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25">
      <c r="F117" s="293" t="s">
        <v>941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25">
      <c r="F118" s="293" t="s">
        <v>942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25">
      <c r="F119" s="93" t="s">
        <v>943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2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25">
      <c r="C121" s="7" t="str">
        <f ca="1">INDEX('Version control'!$H$34:$H$60,MATCH($A$1,'Version control'!$F$34:$F$60,0),1)&amp;"-E: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2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2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2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2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25">
      <c r="F126" s="91" t="s">
        <v>928</v>
      </c>
      <c r="G126" s="40" t="s">
        <v>428</v>
      </c>
      <c r="H126" s="267">
        <f t="shared" ref="H126:H141" si="7">MAX(J126:S126)</f>
        <v>1.1080000000000001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1.1080000000000001</v>
      </c>
      <c r="T126" s="238"/>
      <c r="U126" s="238"/>
      <c r="W126" s="88"/>
    </row>
    <row r="127" spans="3:23" x14ac:dyDescent="0.25">
      <c r="F127" s="293" t="s">
        <v>929</v>
      </c>
      <c r="G127" s="109" t="s">
        <v>428</v>
      </c>
      <c r="H127" s="275">
        <f t="shared" si="7"/>
        <v>1.1080000000000001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1.1080000000000001</v>
      </c>
      <c r="T127" s="279"/>
      <c r="U127" s="279"/>
      <c r="W127" s="88"/>
    </row>
    <row r="128" spans="3:23" x14ac:dyDescent="0.25">
      <c r="F128" s="293" t="s">
        <v>930</v>
      </c>
      <c r="G128" s="109" t="s">
        <v>428</v>
      </c>
      <c r="H128" s="275">
        <f t="shared" si="7"/>
        <v>1.1080000000000001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1.1080000000000001</v>
      </c>
      <c r="T128" s="279"/>
      <c r="U128" s="279"/>
      <c r="W128" s="88"/>
    </row>
    <row r="129" spans="5:23" x14ac:dyDescent="0.25">
      <c r="F129" s="293" t="s">
        <v>931</v>
      </c>
      <c r="G129" s="109" t="s">
        <v>428</v>
      </c>
      <c r="H129" s="275">
        <f t="shared" si="7"/>
        <v>1.1080000000000001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1.1080000000000001</v>
      </c>
      <c r="T129" s="279"/>
      <c r="U129" s="279"/>
    </row>
    <row r="130" spans="5:23" x14ac:dyDescent="0.25">
      <c r="F130" s="293" t="s">
        <v>932</v>
      </c>
      <c r="G130" s="109" t="s">
        <v>428</v>
      </c>
      <c r="H130" s="275">
        <f t="shared" si="7"/>
        <v>1.1080000000000001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1.1080000000000001</v>
      </c>
      <c r="T130" s="279"/>
      <c r="U130" s="279"/>
    </row>
    <row r="131" spans="5:23" x14ac:dyDescent="0.25">
      <c r="F131" s="293" t="s">
        <v>933</v>
      </c>
      <c r="G131" s="109" t="s">
        <v>428</v>
      </c>
      <c r="H131" s="275">
        <f t="shared" si="7"/>
        <v>1.0589999999999999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1.0589999999999999</v>
      </c>
      <c r="S131" s="275">
        <f>OR(SUM(S70:$S70) = 1, SUM(S70:$S70) = -1) * S$29</f>
        <v>0</v>
      </c>
      <c r="T131" s="279"/>
      <c r="U131" s="279"/>
    </row>
    <row r="132" spans="5:23" x14ac:dyDescent="0.25">
      <c r="F132" s="293" t="s">
        <v>934</v>
      </c>
      <c r="G132" s="109" t="s">
        <v>428</v>
      </c>
      <c r="H132" s="275">
        <f t="shared" si="7"/>
        <v>1.0369999999999999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1.026</v>
      </c>
      <c r="Q132" s="275">
        <f>OR(SUM(Q71:$S71) = 1, SUM(Q71:$S71) = -1) * Q$29</f>
        <v>1.0369999999999999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25">
      <c r="F133" s="293" t="s">
        <v>935</v>
      </c>
      <c r="G133" s="109" t="s">
        <v>428</v>
      </c>
      <c r="H133" s="275">
        <f t="shared" si="7"/>
        <v>1.1080000000000001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1.1080000000000001</v>
      </c>
      <c r="T133" s="279"/>
      <c r="U133" s="279"/>
    </row>
    <row r="134" spans="5:23" x14ac:dyDescent="0.25">
      <c r="F134" s="293" t="s">
        <v>936</v>
      </c>
      <c r="G134" s="109" t="s">
        <v>428</v>
      </c>
      <c r="H134" s="275">
        <f t="shared" si="7"/>
        <v>1.1080000000000001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1.1080000000000001</v>
      </c>
      <c r="T134" s="279"/>
      <c r="U134" s="279"/>
    </row>
    <row r="135" spans="5:23" x14ac:dyDescent="0.25">
      <c r="F135" s="293" t="s">
        <v>937</v>
      </c>
      <c r="G135" s="109" t="s">
        <v>428</v>
      </c>
      <c r="H135" s="275">
        <f t="shared" si="7"/>
        <v>1.0589999999999999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1.0589999999999999</v>
      </c>
      <c r="S135" s="275">
        <f>OR(SUM(S74:$S74) = 1, SUM(S74:$S74) = -1) * S$29</f>
        <v>0</v>
      </c>
      <c r="T135" s="279"/>
      <c r="U135" s="279"/>
    </row>
    <row r="136" spans="5:23" x14ac:dyDescent="0.25">
      <c r="F136" s="293" t="s">
        <v>938</v>
      </c>
      <c r="G136" s="109" t="s">
        <v>428</v>
      </c>
      <c r="H136" s="275">
        <f t="shared" si="7"/>
        <v>1.1080000000000001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1.1080000000000001</v>
      </c>
      <c r="T136" s="279"/>
      <c r="U136" s="279"/>
    </row>
    <row r="137" spans="5:23" x14ac:dyDescent="0.25">
      <c r="F137" s="293" t="s">
        <v>939</v>
      </c>
      <c r="G137" s="109" t="s">
        <v>428</v>
      </c>
      <c r="H137" s="275">
        <f t="shared" si="7"/>
        <v>1.1080000000000001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1.1080000000000001</v>
      </c>
      <c r="T137" s="279"/>
      <c r="U137" s="279"/>
    </row>
    <row r="138" spans="5:23" x14ac:dyDescent="0.25">
      <c r="F138" s="293" t="s">
        <v>940</v>
      </c>
      <c r="G138" s="109" t="s">
        <v>428</v>
      </c>
      <c r="H138" s="275">
        <f t="shared" si="7"/>
        <v>1.0589999999999999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1.0589999999999999</v>
      </c>
      <c r="S138" s="275">
        <f>OR(SUM(S77:$S77) = 1, SUM(S77:$S77) = -1) * S$29</f>
        <v>0</v>
      </c>
      <c r="T138" s="279"/>
      <c r="U138" s="279"/>
    </row>
    <row r="139" spans="5:23" x14ac:dyDescent="0.25">
      <c r="F139" s="293" t="s">
        <v>941</v>
      </c>
      <c r="G139" s="109" t="s">
        <v>428</v>
      </c>
      <c r="H139" s="275">
        <f t="shared" si="7"/>
        <v>1.0589999999999999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1.0589999999999999</v>
      </c>
      <c r="S139" s="275">
        <f>OR(SUM(S78:$S78) = 1, SUM(S78:$S78) = -1) * S$29</f>
        <v>0</v>
      </c>
      <c r="T139" s="279"/>
      <c r="U139" s="279"/>
    </row>
    <row r="140" spans="5:23" x14ac:dyDescent="0.25">
      <c r="F140" s="293" t="s">
        <v>942</v>
      </c>
      <c r="G140" s="109" t="s">
        <v>428</v>
      </c>
      <c r="H140" s="275">
        <f t="shared" si="7"/>
        <v>1.0369999999999999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1.026</v>
      </c>
      <c r="Q140" s="275">
        <f>OR(SUM(Q79:$S79) = 1, SUM(Q79:$S79) = -1) * Q$29</f>
        <v>1.0369999999999999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25">
      <c r="F141" s="93" t="s">
        <v>943</v>
      </c>
      <c r="G141" s="36" t="s">
        <v>428</v>
      </c>
      <c r="H141" s="268">
        <f t="shared" si="7"/>
        <v>1.0369999999999999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1.026</v>
      </c>
      <c r="Q141" s="268">
        <f>OR(SUM(Q80:$S80) = 1, SUM(Q80:$S80) = -1) * Q$29</f>
        <v>1.0369999999999999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25">
      <c r="G142" s="108"/>
    </row>
    <row r="143" spans="5:23" x14ac:dyDescent="0.25">
      <c r="E143" s="96" t="s">
        <v>334</v>
      </c>
      <c r="G143" s="108"/>
      <c r="I143" s="293" t="s">
        <v>359</v>
      </c>
      <c r="W143" s="88" t="s">
        <v>712</v>
      </c>
    </row>
    <row r="144" spans="5:23" x14ac:dyDescent="0.25">
      <c r="E144" s="82" t="s">
        <v>325</v>
      </c>
      <c r="G144" s="108"/>
    </row>
    <row r="145" spans="6:23" x14ac:dyDescent="0.25">
      <c r="F145" s="91" t="s">
        <v>928</v>
      </c>
      <c r="G145" s="40" t="s">
        <v>428</v>
      </c>
      <c r="H145" s="74"/>
      <c r="I145" s="91"/>
      <c r="J145" s="254">
        <f t="shared" ref="J145:S160" si="8">$H126 * J104</f>
        <v>1.1080000000000001</v>
      </c>
      <c r="K145" s="254">
        <f t="shared" si="8"/>
        <v>1.1080000000000001</v>
      </c>
      <c r="L145" s="254">
        <f t="shared" si="8"/>
        <v>1.1080000000000001</v>
      </c>
      <c r="M145" s="254">
        <f t="shared" si="8"/>
        <v>1.1080000000000001</v>
      </c>
      <c r="N145" s="254">
        <f t="shared" si="8"/>
        <v>1.1080000000000001</v>
      </c>
      <c r="O145" s="254">
        <f t="shared" si="8"/>
        <v>1.1080000000000001</v>
      </c>
      <c r="P145" s="254">
        <f t="shared" si="8"/>
        <v>0</v>
      </c>
      <c r="Q145" s="254">
        <f t="shared" si="8"/>
        <v>1.1080000000000001</v>
      </c>
      <c r="R145" s="254">
        <f t="shared" si="8"/>
        <v>1.1080000000000001</v>
      </c>
      <c r="S145" s="254">
        <f t="shared" si="8"/>
        <v>1.1080000000000001</v>
      </c>
      <c r="T145" s="238"/>
      <c r="U145" s="238"/>
    </row>
    <row r="146" spans="6:23" x14ac:dyDescent="0.25">
      <c r="F146" s="293" t="s">
        <v>929</v>
      </c>
      <c r="G146" s="109" t="s">
        <v>428</v>
      </c>
      <c r="H146" s="90"/>
      <c r="J146" s="256">
        <f t="shared" si="8"/>
        <v>1.1080000000000001</v>
      </c>
      <c r="K146" s="256">
        <f t="shared" si="8"/>
        <v>1.1080000000000001</v>
      </c>
      <c r="L146" s="256">
        <f t="shared" si="8"/>
        <v>1.1080000000000001</v>
      </c>
      <c r="M146" s="256">
        <f t="shared" si="8"/>
        <v>1.1080000000000001</v>
      </c>
      <c r="N146" s="256">
        <f t="shared" si="8"/>
        <v>1.1080000000000001</v>
      </c>
      <c r="O146" s="256">
        <f t="shared" si="8"/>
        <v>1.1080000000000001</v>
      </c>
      <c r="P146" s="256">
        <f t="shared" si="8"/>
        <v>0</v>
      </c>
      <c r="Q146" s="256">
        <f t="shared" si="8"/>
        <v>1.1080000000000001</v>
      </c>
      <c r="R146" s="256">
        <f t="shared" si="8"/>
        <v>1.1080000000000001</v>
      </c>
      <c r="S146" s="256">
        <f t="shared" si="8"/>
        <v>1.1080000000000001</v>
      </c>
      <c r="T146" s="279"/>
      <c r="U146" s="279"/>
      <c r="W146" s="88"/>
    </row>
    <row r="147" spans="6:23" x14ac:dyDescent="0.25">
      <c r="F147" s="293" t="s">
        <v>930</v>
      </c>
      <c r="G147" s="109" t="s">
        <v>428</v>
      </c>
      <c r="H147" s="90"/>
      <c r="J147" s="256">
        <f t="shared" si="8"/>
        <v>1.1080000000000001</v>
      </c>
      <c r="K147" s="256">
        <f t="shared" si="8"/>
        <v>1.1080000000000001</v>
      </c>
      <c r="L147" s="256">
        <f t="shared" si="8"/>
        <v>1.1080000000000001</v>
      </c>
      <c r="M147" s="256">
        <f t="shared" si="8"/>
        <v>1.1080000000000001</v>
      </c>
      <c r="N147" s="256">
        <f t="shared" si="8"/>
        <v>1.1080000000000001</v>
      </c>
      <c r="O147" s="256">
        <f t="shared" si="8"/>
        <v>1.1080000000000001</v>
      </c>
      <c r="P147" s="256">
        <f t="shared" si="8"/>
        <v>0</v>
      </c>
      <c r="Q147" s="256">
        <f t="shared" si="8"/>
        <v>1.1080000000000001</v>
      </c>
      <c r="R147" s="256">
        <f t="shared" si="8"/>
        <v>1.1080000000000001</v>
      </c>
      <c r="S147" s="256">
        <f t="shared" si="8"/>
        <v>1.1080000000000001</v>
      </c>
      <c r="T147" s="279"/>
      <c r="U147" s="279"/>
      <c r="W147" s="88"/>
    </row>
    <row r="148" spans="6:23" x14ac:dyDescent="0.25">
      <c r="F148" s="293" t="s">
        <v>931</v>
      </c>
      <c r="G148" s="109" t="s">
        <v>428</v>
      </c>
      <c r="H148" s="90"/>
      <c r="J148" s="256">
        <f t="shared" si="8"/>
        <v>1.1080000000000001</v>
      </c>
      <c r="K148" s="256">
        <f t="shared" si="8"/>
        <v>1.1080000000000001</v>
      </c>
      <c r="L148" s="256">
        <f t="shared" si="8"/>
        <v>1.1080000000000001</v>
      </c>
      <c r="M148" s="256">
        <f t="shared" si="8"/>
        <v>1.1080000000000001</v>
      </c>
      <c r="N148" s="256">
        <f t="shared" si="8"/>
        <v>1.1080000000000001</v>
      </c>
      <c r="O148" s="256">
        <f t="shared" si="8"/>
        <v>1.1080000000000001</v>
      </c>
      <c r="P148" s="256">
        <f t="shared" si="8"/>
        <v>0</v>
      </c>
      <c r="Q148" s="256">
        <f t="shared" si="8"/>
        <v>1.1080000000000001</v>
      </c>
      <c r="R148" s="256">
        <f t="shared" si="8"/>
        <v>1.1080000000000001</v>
      </c>
      <c r="S148" s="256">
        <f t="shared" si="8"/>
        <v>1.1080000000000001</v>
      </c>
      <c r="T148" s="279"/>
      <c r="U148" s="279"/>
    </row>
    <row r="149" spans="6:23" x14ac:dyDescent="0.25">
      <c r="F149" s="293" t="s">
        <v>932</v>
      </c>
      <c r="G149" s="109" t="s">
        <v>428</v>
      </c>
      <c r="H149" s="90"/>
      <c r="J149" s="256">
        <f t="shared" si="8"/>
        <v>1.1080000000000001</v>
      </c>
      <c r="K149" s="256">
        <f t="shared" si="8"/>
        <v>1.1080000000000001</v>
      </c>
      <c r="L149" s="256">
        <f t="shared" si="8"/>
        <v>1.1080000000000001</v>
      </c>
      <c r="M149" s="256">
        <f t="shared" si="8"/>
        <v>1.1080000000000001</v>
      </c>
      <c r="N149" s="256">
        <f t="shared" si="8"/>
        <v>1.1080000000000001</v>
      </c>
      <c r="O149" s="256">
        <f t="shared" si="8"/>
        <v>1.1080000000000001</v>
      </c>
      <c r="P149" s="256">
        <f t="shared" si="8"/>
        <v>0</v>
      </c>
      <c r="Q149" s="256">
        <f t="shared" si="8"/>
        <v>1.1080000000000001</v>
      </c>
      <c r="R149" s="256">
        <f t="shared" si="8"/>
        <v>1.1080000000000001</v>
      </c>
      <c r="S149" s="256">
        <f t="shared" si="8"/>
        <v>1.1080000000000001</v>
      </c>
      <c r="T149" s="279"/>
      <c r="U149" s="279"/>
    </row>
    <row r="150" spans="6:23" x14ac:dyDescent="0.25">
      <c r="F150" s="293" t="s">
        <v>933</v>
      </c>
      <c r="G150" s="109" t="s">
        <v>428</v>
      </c>
      <c r="H150" s="90"/>
      <c r="J150" s="256">
        <f t="shared" si="8"/>
        <v>1.0589999999999999</v>
      </c>
      <c r="K150" s="256">
        <f t="shared" si="8"/>
        <v>1.0589999999999999</v>
      </c>
      <c r="L150" s="256">
        <f t="shared" si="8"/>
        <v>1.0589999999999999</v>
      </c>
      <c r="M150" s="256">
        <f t="shared" si="8"/>
        <v>1.0589999999999999</v>
      </c>
      <c r="N150" s="256">
        <f t="shared" si="8"/>
        <v>1.0589999999999999</v>
      </c>
      <c r="O150" s="256">
        <f t="shared" si="8"/>
        <v>1.0589999999999999</v>
      </c>
      <c r="P150" s="256">
        <f t="shared" si="8"/>
        <v>0</v>
      </c>
      <c r="Q150" s="256">
        <f t="shared" si="8"/>
        <v>1.0589999999999999</v>
      </c>
      <c r="R150" s="256">
        <f t="shared" si="8"/>
        <v>1.0589999999999999</v>
      </c>
      <c r="S150" s="256">
        <f t="shared" si="8"/>
        <v>0</v>
      </c>
      <c r="T150" s="279"/>
      <c r="U150" s="279"/>
    </row>
    <row r="151" spans="6:23" x14ac:dyDescent="0.25">
      <c r="F151" s="293" t="s">
        <v>934</v>
      </c>
      <c r="G151" s="109" t="s">
        <v>428</v>
      </c>
      <c r="H151" s="90"/>
      <c r="J151" s="256">
        <f t="shared" si="8"/>
        <v>1.0369999999999999</v>
      </c>
      <c r="K151" s="256">
        <f t="shared" si="8"/>
        <v>1.0369999999999999</v>
      </c>
      <c r="L151" s="256">
        <f t="shared" si="8"/>
        <v>1.0369999999999999</v>
      </c>
      <c r="M151" s="256">
        <f t="shared" si="8"/>
        <v>1.0369999999999999</v>
      </c>
      <c r="N151" s="256">
        <f t="shared" si="8"/>
        <v>1.0369999999999999</v>
      </c>
      <c r="O151" s="256">
        <f t="shared" si="8"/>
        <v>1.0369999999999999</v>
      </c>
      <c r="P151" s="256">
        <f t="shared" si="8"/>
        <v>0</v>
      </c>
      <c r="Q151" s="256">
        <f t="shared" si="8"/>
        <v>1.0369999999999999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25">
      <c r="F152" s="293" t="s">
        <v>935</v>
      </c>
      <c r="G152" s="109" t="s">
        <v>428</v>
      </c>
      <c r="H152" s="90"/>
      <c r="J152" s="256">
        <f t="shared" si="8"/>
        <v>1.1080000000000001</v>
      </c>
      <c r="K152" s="256">
        <f t="shared" si="8"/>
        <v>1.1080000000000001</v>
      </c>
      <c r="L152" s="256">
        <f t="shared" si="8"/>
        <v>1.1080000000000001</v>
      </c>
      <c r="M152" s="256">
        <f t="shared" si="8"/>
        <v>1.1080000000000001</v>
      </c>
      <c r="N152" s="256">
        <f t="shared" si="8"/>
        <v>1.1080000000000001</v>
      </c>
      <c r="O152" s="256">
        <f t="shared" si="8"/>
        <v>1.1080000000000001</v>
      </c>
      <c r="P152" s="256">
        <f t="shared" si="8"/>
        <v>0</v>
      </c>
      <c r="Q152" s="256">
        <f t="shared" si="8"/>
        <v>1.1080000000000001</v>
      </c>
      <c r="R152" s="256">
        <f t="shared" si="8"/>
        <v>1.1080000000000001</v>
      </c>
      <c r="S152" s="256">
        <f t="shared" si="8"/>
        <v>1.1080000000000001</v>
      </c>
      <c r="T152" s="279"/>
      <c r="U152" s="279"/>
    </row>
    <row r="153" spans="6:23" x14ac:dyDescent="0.25">
      <c r="F153" s="293" t="s">
        <v>936</v>
      </c>
      <c r="G153" s="109" t="s">
        <v>428</v>
      </c>
      <c r="H153" s="90"/>
      <c r="J153" s="256">
        <f t="shared" si="8"/>
        <v>-1.1080000000000001</v>
      </c>
      <c r="K153" s="256">
        <f t="shared" si="8"/>
        <v>-1.1080000000000001</v>
      </c>
      <c r="L153" s="256">
        <f t="shared" si="8"/>
        <v>-1.1080000000000001</v>
      </c>
      <c r="M153" s="256">
        <f t="shared" si="8"/>
        <v>-1.1080000000000001</v>
      </c>
      <c r="N153" s="256">
        <f t="shared" si="8"/>
        <v>-1.1080000000000001</v>
      </c>
      <c r="O153" s="256">
        <f t="shared" si="8"/>
        <v>-1.1080000000000001</v>
      </c>
      <c r="P153" s="256">
        <f t="shared" si="8"/>
        <v>0</v>
      </c>
      <c r="Q153" s="256">
        <f t="shared" si="8"/>
        <v>-1.1080000000000001</v>
      </c>
      <c r="R153" s="256">
        <f t="shared" si="8"/>
        <v>-1.1080000000000001</v>
      </c>
      <c r="S153" s="256">
        <f t="shared" si="8"/>
        <v>0</v>
      </c>
      <c r="T153" s="279"/>
      <c r="U153" s="279"/>
    </row>
    <row r="154" spans="6:23" x14ac:dyDescent="0.25">
      <c r="F154" s="293" t="s">
        <v>937</v>
      </c>
      <c r="G154" s="109" t="s">
        <v>428</v>
      </c>
      <c r="H154" s="90"/>
      <c r="J154" s="256">
        <f t="shared" si="8"/>
        <v>-1.0589999999999999</v>
      </c>
      <c r="K154" s="256">
        <f t="shared" si="8"/>
        <v>-1.0589999999999999</v>
      </c>
      <c r="L154" s="256">
        <f t="shared" si="8"/>
        <v>-1.0589999999999999</v>
      </c>
      <c r="M154" s="256">
        <f t="shared" si="8"/>
        <v>-1.0589999999999999</v>
      </c>
      <c r="N154" s="256">
        <f t="shared" si="8"/>
        <v>-1.0589999999999999</v>
      </c>
      <c r="O154" s="256">
        <f t="shared" si="8"/>
        <v>-1.0589999999999999</v>
      </c>
      <c r="P154" s="256">
        <f t="shared" si="8"/>
        <v>0</v>
      </c>
      <c r="Q154" s="256">
        <f t="shared" si="8"/>
        <v>-1.0589999999999999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25">
      <c r="F155" s="293" t="s">
        <v>938</v>
      </c>
      <c r="G155" s="109" t="s">
        <v>428</v>
      </c>
      <c r="H155" s="90"/>
      <c r="J155" s="256">
        <f t="shared" si="8"/>
        <v>-1.1080000000000001</v>
      </c>
      <c r="K155" s="256">
        <f t="shared" si="8"/>
        <v>-1.1080000000000001</v>
      </c>
      <c r="L155" s="256">
        <f t="shared" si="8"/>
        <v>-1.1080000000000001</v>
      </c>
      <c r="M155" s="256">
        <f t="shared" si="8"/>
        <v>-1.1080000000000001</v>
      </c>
      <c r="N155" s="256">
        <f t="shared" si="8"/>
        <v>-1.1080000000000001</v>
      </c>
      <c r="O155" s="256">
        <f t="shared" si="8"/>
        <v>-1.1080000000000001</v>
      </c>
      <c r="P155" s="256">
        <f t="shared" si="8"/>
        <v>0</v>
      </c>
      <c r="Q155" s="256">
        <f t="shared" si="8"/>
        <v>-1.1080000000000001</v>
      </c>
      <c r="R155" s="256">
        <f t="shared" si="8"/>
        <v>-1.1080000000000001</v>
      </c>
      <c r="S155" s="256">
        <f t="shared" si="8"/>
        <v>0</v>
      </c>
      <c r="T155" s="279"/>
      <c r="U155" s="279"/>
    </row>
    <row r="156" spans="6:23" x14ac:dyDescent="0.25">
      <c r="F156" s="293" t="s">
        <v>939</v>
      </c>
      <c r="G156" s="109" t="s">
        <v>428</v>
      </c>
      <c r="H156" s="90"/>
      <c r="J156" s="256">
        <f t="shared" si="8"/>
        <v>-1.1080000000000001</v>
      </c>
      <c r="K156" s="256">
        <f t="shared" si="8"/>
        <v>-1.1080000000000001</v>
      </c>
      <c r="L156" s="256">
        <f t="shared" si="8"/>
        <v>-1.1080000000000001</v>
      </c>
      <c r="M156" s="256">
        <f t="shared" si="8"/>
        <v>-1.1080000000000001</v>
      </c>
      <c r="N156" s="256">
        <f t="shared" si="8"/>
        <v>-1.1080000000000001</v>
      </c>
      <c r="O156" s="256">
        <f t="shared" si="8"/>
        <v>-1.1080000000000001</v>
      </c>
      <c r="P156" s="256">
        <f t="shared" si="8"/>
        <v>0</v>
      </c>
      <c r="Q156" s="256">
        <f t="shared" si="8"/>
        <v>-1.1080000000000001</v>
      </c>
      <c r="R156" s="256">
        <f t="shared" si="8"/>
        <v>-1.1080000000000001</v>
      </c>
      <c r="S156" s="256">
        <f t="shared" si="8"/>
        <v>0</v>
      </c>
      <c r="T156" s="279"/>
      <c r="U156" s="279"/>
    </row>
    <row r="157" spans="6:23" x14ac:dyDescent="0.25">
      <c r="F157" s="293" t="s">
        <v>940</v>
      </c>
      <c r="G157" s="109" t="s">
        <v>428</v>
      </c>
      <c r="H157" s="90"/>
      <c r="J157" s="256">
        <f t="shared" si="8"/>
        <v>-1.0589999999999999</v>
      </c>
      <c r="K157" s="256">
        <f t="shared" si="8"/>
        <v>-1.0589999999999999</v>
      </c>
      <c r="L157" s="256">
        <f t="shared" si="8"/>
        <v>-1.0589999999999999</v>
      </c>
      <c r="M157" s="256">
        <f t="shared" si="8"/>
        <v>-1.0589999999999999</v>
      </c>
      <c r="N157" s="256">
        <f t="shared" si="8"/>
        <v>-1.0589999999999999</v>
      </c>
      <c r="O157" s="256">
        <f t="shared" si="8"/>
        <v>-1.0589999999999999</v>
      </c>
      <c r="P157" s="256">
        <f t="shared" si="8"/>
        <v>0</v>
      </c>
      <c r="Q157" s="256">
        <f t="shared" si="8"/>
        <v>-1.0589999999999999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25">
      <c r="F158" s="293" t="s">
        <v>941</v>
      </c>
      <c r="G158" s="109" t="s">
        <v>428</v>
      </c>
      <c r="H158" s="90"/>
      <c r="J158" s="256">
        <f t="shared" si="8"/>
        <v>-1.0589999999999999</v>
      </c>
      <c r="K158" s="256">
        <f t="shared" si="8"/>
        <v>-1.0589999999999999</v>
      </c>
      <c r="L158" s="256">
        <f t="shared" si="8"/>
        <v>-1.0589999999999999</v>
      </c>
      <c r="M158" s="256">
        <f t="shared" si="8"/>
        <v>-1.0589999999999999</v>
      </c>
      <c r="N158" s="256">
        <f t="shared" si="8"/>
        <v>-1.0589999999999999</v>
      </c>
      <c r="O158" s="256">
        <f t="shared" si="8"/>
        <v>-1.0589999999999999</v>
      </c>
      <c r="P158" s="256">
        <f t="shared" si="8"/>
        <v>0</v>
      </c>
      <c r="Q158" s="256">
        <f t="shared" si="8"/>
        <v>-1.0589999999999999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25">
      <c r="F159" s="293" t="s">
        <v>942</v>
      </c>
      <c r="G159" s="109" t="s">
        <v>428</v>
      </c>
      <c r="H159" s="90"/>
      <c r="J159" s="256">
        <f t="shared" si="8"/>
        <v>-1.0369999999999999</v>
      </c>
      <c r="K159" s="256">
        <f t="shared" si="8"/>
        <v>-1.0369999999999999</v>
      </c>
      <c r="L159" s="256">
        <f t="shared" si="8"/>
        <v>-1.0369999999999999</v>
      </c>
      <c r="M159" s="256">
        <f t="shared" si="8"/>
        <v>-1.0369999999999999</v>
      </c>
      <c r="N159" s="256">
        <f t="shared" si="8"/>
        <v>-1.0369999999999999</v>
      </c>
      <c r="O159" s="256">
        <f t="shared" si="8"/>
        <v>-1.0369999999999999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25">
      <c r="F160" s="93" t="s">
        <v>943</v>
      </c>
      <c r="G160" s="36" t="s">
        <v>428</v>
      </c>
      <c r="H160" s="187"/>
      <c r="I160" s="93"/>
      <c r="J160" s="258">
        <f t="shared" si="8"/>
        <v>-1.0369999999999999</v>
      </c>
      <c r="K160" s="258">
        <f t="shared" si="8"/>
        <v>-1.0369999999999999</v>
      </c>
      <c r="L160" s="258">
        <f t="shared" si="8"/>
        <v>-1.0369999999999999</v>
      </c>
      <c r="M160" s="258">
        <f t="shared" si="8"/>
        <v>-1.0369999999999999</v>
      </c>
      <c r="N160" s="258">
        <f t="shared" si="8"/>
        <v>-1.0369999999999999</v>
      </c>
      <c r="O160" s="258">
        <f t="shared" si="8"/>
        <v>-1.0369999999999999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2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2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712</v>
      </c>
    </row>
    <row r="163" spans="5:23" x14ac:dyDescent="0.2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25">
      <c r="F164" s="91" t="s">
        <v>928</v>
      </c>
      <c r="G164" s="40" t="s">
        <v>428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25">
      <c r="F165" s="293" t="s">
        <v>929</v>
      </c>
      <c r="G165" s="109" t="s">
        <v>428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25">
      <c r="F166" s="293" t="s">
        <v>930</v>
      </c>
      <c r="G166" s="109" t="s">
        <v>428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25">
      <c r="F167" s="293" t="s">
        <v>931</v>
      </c>
      <c r="G167" s="109" t="s">
        <v>428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25">
      <c r="F168" s="293" t="s">
        <v>932</v>
      </c>
      <c r="G168" s="109" t="s">
        <v>428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25">
      <c r="F169" s="293" t="s">
        <v>933</v>
      </c>
      <c r="G169" s="109" t="s">
        <v>428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25">
      <c r="F170" s="293" t="s">
        <v>934</v>
      </c>
      <c r="G170" s="109" t="s">
        <v>428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25">
      <c r="F171" s="293" t="s">
        <v>935</v>
      </c>
      <c r="G171" s="109" t="s">
        <v>428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25">
      <c r="F172" s="293" t="s">
        <v>936</v>
      </c>
      <c r="G172" s="109" t="s">
        <v>428</v>
      </c>
      <c r="H172" s="90"/>
      <c r="J172" s="256">
        <f t="shared" ref="J172:S179" si="9">$H134 * J73</f>
        <v>-1.1080000000000001</v>
      </c>
      <c r="K172" s="256">
        <f t="shared" si="9"/>
        <v>-1.1080000000000001</v>
      </c>
      <c r="L172" s="256">
        <f t="shared" si="9"/>
        <v>-1.1080000000000001</v>
      </c>
      <c r="M172" s="256">
        <f t="shared" si="9"/>
        <v>-1.1080000000000001</v>
      </c>
      <c r="N172" s="256">
        <f t="shared" si="9"/>
        <v>-1.1080000000000001</v>
      </c>
      <c r="O172" s="256">
        <f t="shared" si="9"/>
        <v>-1.1080000000000001</v>
      </c>
      <c r="P172" s="256">
        <f t="shared" si="9"/>
        <v>0</v>
      </c>
      <c r="Q172" s="256">
        <f t="shared" si="9"/>
        <v>-1.1080000000000001</v>
      </c>
      <c r="R172" s="256">
        <f t="shared" si="9"/>
        <v>-1.1080000000000001</v>
      </c>
      <c r="S172" s="256">
        <f t="shared" si="9"/>
        <v>-1.1080000000000001</v>
      </c>
      <c r="T172" s="279"/>
      <c r="U172" s="279"/>
    </row>
    <row r="173" spans="5:23" x14ac:dyDescent="0.25">
      <c r="F173" s="293" t="s">
        <v>937</v>
      </c>
      <c r="G173" s="109" t="s">
        <v>428</v>
      </c>
      <c r="H173" s="90"/>
      <c r="J173" s="256">
        <f t="shared" si="9"/>
        <v>-1.0589999999999999</v>
      </c>
      <c r="K173" s="256">
        <f t="shared" si="9"/>
        <v>-1.0589999999999999</v>
      </c>
      <c r="L173" s="256">
        <f t="shared" si="9"/>
        <v>-1.0589999999999999</v>
      </c>
      <c r="M173" s="256">
        <f t="shared" si="9"/>
        <v>-1.0589999999999999</v>
      </c>
      <c r="N173" s="256">
        <f t="shared" si="9"/>
        <v>-1.0589999999999999</v>
      </c>
      <c r="O173" s="256">
        <f t="shared" si="9"/>
        <v>-1.0589999999999999</v>
      </c>
      <c r="P173" s="256">
        <f t="shared" si="9"/>
        <v>0</v>
      </c>
      <c r="Q173" s="256">
        <f t="shared" si="9"/>
        <v>-1.0589999999999999</v>
      </c>
      <c r="R173" s="256">
        <f t="shared" si="9"/>
        <v>-1.0589999999999999</v>
      </c>
      <c r="S173" s="256">
        <f t="shared" si="9"/>
        <v>0</v>
      </c>
      <c r="T173" s="279"/>
      <c r="U173" s="279"/>
    </row>
    <row r="174" spans="5:23" x14ac:dyDescent="0.25">
      <c r="F174" s="293" t="s">
        <v>938</v>
      </c>
      <c r="G174" s="109" t="s">
        <v>428</v>
      </c>
      <c r="H174" s="90"/>
      <c r="J174" s="256">
        <f t="shared" si="9"/>
        <v>-1.1080000000000001</v>
      </c>
      <c r="K174" s="256">
        <f t="shared" si="9"/>
        <v>-1.1080000000000001</v>
      </c>
      <c r="L174" s="256">
        <f t="shared" si="9"/>
        <v>-1.1080000000000001</v>
      </c>
      <c r="M174" s="256">
        <f t="shared" si="9"/>
        <v>-1.1080000000000001</v>
      </c>
      <c r="N174" s="256">
        <f t="shared" si="9"/>
        <v>-1.1080000000000001</v>
      </c>
      <c r="O174" s="256">
        <f t="shared" si="9"/>
        <v>-1.1080000000000001</v>
      </c>
      <c r="P174" s="256">
        <f t="shared" si="9"/>
        <v>0</v>
      </c>
      <c r="Q174" s="256">
        <f t="shared" si="9"/>
        <v>-1.1080000000000001</v>
      </c>
      <c r="R174" s="256">
        <f t="shared" si="9"/>
        <v>-1.1080000000000001</v>
      </c>
      <c r="S174" s="256">
        <f t="shared" si="9"/>
        <v>-1.1080000000000001</v>
      </c>
      <c r="T174" s="279"/>
      <c r="U174" s="279"/>
    </row>
    <row r="175" spans="5:23" x14ac:dyDescent="0.25">
      <c r="F175" s="293" t="s">
        <v>939</v>
      </c>
      <c r="G175" s="109" t="s">
        <v>428</v>
      </c>
      <c r="H175" s="90"/>
      <c r="J175" s="256">
        <f t="shared" si="9"/>
        <v>-1.1080000000000001</v>
      </c>
      <c r="K175" s="256">
        <f t="shared" si="9"/>
        <v>-1.1080000000000001</v>
      </c>
      <c r="L175" s="256">
        <f t="shared" si="9"/>
        <v>-1.1080000000000001</v>
      </c>
      <c r="M175" s="256">
        <f t="shared" si="9"/>
        <v>-1.1080000000000001</v>
      </c>
      <c r="N175" s="256">
        <f t="shared" si="9"/>
        <v>-1.1080000000000001</v>
      </c>
      <c r="O175" s="256">
        <f t="shared" si="9"/>
        <v>-1.1080000000000001</v>
      </c>
      <c r="P175" s="256">
        <f t="shared" si="9"/>
        <v>0</v>
      </c>
      <c r="Q175" s="256">
        <f t="shared" si="9"/>
        <v>-1.1080000000000001</v>
      </c>
      <c r="R175" s="256">
        <f t="shared" si="9"/>
        <v>-1.1080000000000001</v>
      </c>
      <c r="S175" s="256">
        <f t="shared" si="9"/>
        <v>-1.1080000000000001</v>
      </c>
      <c r="T175" s="279"/>
      <c r="U175" s="279"/>
    </row>
    <row r="176" spans="5:23" x14ac:dyDescent="0.25">
      <c r="F176" s="293" t="s">
        <v>940</v>
      </c>
      <c r="G176" s="109" t="s">
        <v>428</v>
      </c>
      <c r="H176" s="90"/>
      <c r="J176" s="256">
        <f t="shared" si="9"/>
        <v>-1.0589999999999999</v>
      </c>
      <c r="K176" s="256">
        <f t="shared" si="9"/>
        <v>-1.0589999999999999</v>
      </c>
      <c r="L176" s="256">
        <f t="shared" si="9"/>
        <v>-1.0589999999999999</v>
      </c>
      <c r="M176" s="256">
        <f t="shared" si="9"/>
        <v>-1.0589999999999999</v>
      </c>
      <c r="N176" s="256">
        <f t="shared" si="9"/>
        <v>-1.0589999999999999</v>
      </c>
      <c r="O176" s="256">
        <f t="shared" si="9"/>
        <v>-1.0589999999999999</v>
      </c>
      <c r="P176" s="256">
        <f t="shared" si="9"/>
        <v>0</v>
      </c>
      <c r="Q176" s="256">
        <f t="shared" si="9"/>
        <v>-1.0589999999999999</v>
      </c>
      <c r="R176" s="256">
        <f t="shared" si="9"/>
        <v>-1.0589999999999999</v>
      </c>
      <c r="S176" s="256">
        <f t="shared" si="9"/>
        <v>0</v>
      </c>
      <c r="T176" s="279"/>
      <c r="U176" s="279"/>
    </row>
    <row r="177" spans="2:24" x14ac:dyDescent="0.25">
      <c r="F177" s="293" t="s">
        <v>941</v>
      </c>
      <c r="G177" s="109" t="s">
        <v>428</v>
      </c>
      <c r="H177" s="90"/>
      <c r="J177" s="256">
        <f t="shared" si="9"/>
        <v>-1.0589999999999999</v>
      </c>
      <c r="K177" s="256">
        <f t="shared" si="9"/>
        <v>-1.0589999999999999</v>
      </c>
      <c r="L177" s="256">
        <f t="shared" si="9"/>
        <v>-1.0589999999999999</v>
      </c>
      <c r="M177" s="256">
        <f t="shared" si="9"/>
        <v>-1.0589999999999999</v>
      </c>
      <c r="N177" s="256">
        <f t="shared" si="9"/>
        <v>-1.0589999999999999</v>
      </c>
      <c r="O177" s="256">
        <f t="shared" si="9"/>
        <v>-1.0589999999999999</v>
      </c>
      <c r="P177" s="256">
        <f t="shared" si="9"/>
        <v>0</v>
      </c>
      <c r="Q177" s="256">
        <f t="shared" si="9"/>
        <v>-1.0589999999999999</v>
      </c>
      <c r="R177" s="256">
        <f t="shared" si="9"/>
        <v>-1.0589999999999999</v>
      </c>
      <c r="S177" s="256">
        <f t="shared" si="9"/>
        <v>0</v>
      </c>
      <c r="T177" s="279"/>
      <c r="U177" s="279"/>
    </row>
    <row r="178" spans="2:24" x14ac:dyDescent="0.25">
      <c r="F178" s="293" t="s">
        <v>942</v>
      </c>
      <c r="G178" s="109" t="s">
        <v>428</v>
      </c>
      <c r="H178" s="90"/>
      <c r="J178" s="256">
        <f t="shared" si="9"/>
        <v>-1.0369999999999999</v>
      </c>
      <c r="K178" s="256">
        <f t="shared" si="9"/>
        <v>-1.0369999999999999</v>
      </c>
      <c r="L178" s="256">
        <f t="shared" si="9"/>
        <v>-1.0369999999999999</v>
      </c>
      <c r="M178" s="256">
        <f t="shared" si="9"/>
        <v>-1.0369999999999999</v>
      </c>
      <c r="N178" s="256">
        <f t="shared" si="9"/>
        <v>-1.0369999999999999</v>
      </c>
      <c r="O178" s="256">
        <f t="shared" si="9"/>
        <v>-1.0369999999999999</v>
      </c>
      <c r="P178" s="256">
        <f t="shared" si="9"/>
        <v>0</v>
      </c>
      <c r="Q178" s="256">
        <f t="shared" si="9"/>
        <v>-1.0369999999999999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4" x14ac:dyDescent="0.25">
      <c r="F179" s="93" t="s">
        <v>943</v>
      </c>
      <c r="G179" s="36" t="s">
        <v>428</v>
      </c>
      <c r="H179" s="187"/>
      <c r="I179" s="93"/>
      <c r="J179" s="258">
        <f t="shared" si="9"/>
        <v>-1.0369999999999999</v>
      </c>
      <c r="K179" s="258">
        <f t="shared" si="9"/>
        <v>-1.0369999999999999</v>
      </c>
      <c r="L179" s="258">
        <f t="shared" si="9"/>
        <v>-1.0369999999999999</v>
      </c>
      <c r="M179" s="258">
        <f t="shared" si="9"/>
        <v>-1.0369999999999999</v>
      </c>
      <c r="N179" s="258">
        <f t="shared" si="9"/>
        <v>-1.0369999999999999</v>
      </c>
      <c r="O179" s="258">
        <f t="shared" si="9"/>
        <v>-1.0369999999999999</v>
      </c>
      <c r="P179" s="258">
        <f t="shared" si="9"/>
        <v>0</v>
      </c>
      <c r="Q179" s="258">
        <f t="shared" si="9"/>
        <v>-1.0369999999999999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4" x14ac:dyDescent="0.25">
      <c r="G180" s="108"/>
    </row>
    <row r="181" spans="2:24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</row>
    <row r="182" spans="2:24" x14ac:dyDescent="0.25">
      <c r="G182" s="108"/>
    </row>
    <row r="183" spans="2:24" x14ac:dyDescent="0.25">
      <c r="E183" s="293" t="s">
        <v>416</v>
      </c>
      <c r="G183" s="122" t="s">
        <v>589</v>
      </c>
      <c r="H183" s="310">
        <f t="array" ref="H183">SUM(IF(ISERROR(H19:W181), 1))</f>
        <v>0</v>
      </c>
    </row>
    <row r="185" spans="2:24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00000000-0002-0000-1200-000000000000}">
      <formula1>0</formula1>
      <formula2>4</formula2>
    </dataValidation>
  </dataValidations>
  <hyperlinks>
    <hyperlink ref="B5:F5" location="'Model map'!A1" display="Click here to return to model map" xr:uid="{00000000-0004-0000-12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93" width="24.5703125" style="293" hidden="1" customWidth="1"/>
    <col min="294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795</v>
      </c>
    </row>
    <row r="10" spans="1:23" x14ac:dyDescent="0.25">
      <c r="C10" s="82" t="s">
        <v>796</v>
      </c>
    </row>
    <row r="12" spans="1:23" x14ac:dyDescent="0.2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426</v>
      </c>
    </row>
    <row r="16" spans="1:23" x14ac:dyDescent="0.25">
      <c r="C16" s="7" t="str">
        <f ca="1">INDEX('Version control'!$H$34:$H$60,MATCH($A$1,'Version control'!$F$34:$F$60,0),1)&amp;"-A: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703</v>
      </c>
    </row>
    <row r="19" spans="5:23" x14ac:dyDescent="0.2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928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929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930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931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932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933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934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935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936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937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938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939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940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941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942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943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control'!$H$34:$H$60,MATCH($A$1,'Version control'!$F$34:$F$60,0),1)&amp;"-B: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521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713</v>
      </c>
    </row>
    <row r="41" spans="3:23" x14ac:dyDescent="0.2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267</v>
      </c>
      <c r="K42" s="388" t="s">
        <v>43</v>
      </c>
      <c r="L42" s="388" t="s">
        <v>44</v>
      </c>
      <c r="M42" s="388" t="s">
        <v>45</v>
      </c>
      <c r="N42" s="388" t="s">
        <v>46</v>
      </c>
      <c r="O42" s="388" t="s">
        <v>47</v>
      </c>
      <c r="P42" s="388" t="s">
        <v>51</v>
      </c>
      <c r="Q42" s="388" t="s">
        <v>48</v>
      </c>
      <c r="R42" s="388" t="s">
        <v>49</v>
      </c>
      <c r="S42" s="388" t="s">
        <v>50</v>
      </c>
      <c r="T42" s="388" t="s">
        <v>124</v>
      </c>
      <c r="U42" s="388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0.32635129017655001</v>
      </c>
      <c r="R43" s="143">
        <f>'Inputs by network level'!R29</f>
        <v>0.71097285067873295</v>
      </c>
      <c r="S43" s="143">
        <f>'Inputs by network level'!S29</f>
        <v>0.93094869075781095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0.32635129017655001</v>
      </c>
      <c r="R44" s="143">
        <f>'Inputs by network level'!R30</f>
        <v>0.71097285067873295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0.29443019943019899</v>
      </c>
      <c r="O45" s="143">
        <f>'Inputs by network level'!O31</f>
        <v>0.14317058823529399</v>
      </c>
      <c r="P45" s="143">
        <f>'Inputs by network level'!P31</f>
        <v>0</v>
      </c>
      <c r="Q45" s="143">
        <f>'Inputs by network level'!Q31</f>
        <v>0.73429040289723801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89">
        <f>'Inputs by network level'!L32</f>
        <v>0</v>
      </c>
      <c r="M46" s="389">
        <f>'Inputs by network level'!M32</f>
        <v>0</v>
      </c>
      <c r="N46" s="389">
        <f>'Inputs by network level'!N32</f>
        <v>0.29443019943019899</v>
      </c>
      <c r="O46" s="389">
        <f>'Inputs by network level'!O32</f>
        <v>0.14317058823529399</v>
      </c>
      <c r="P46" s="389">
        <f>'Inputs by network level'!P32</f>
        <v>0</v>
      </c>
      <c r="Q46" s="389">
        <f>'Inputs by network level'!Q32</f>
        <v>0</v>
      </c>
      <c r="R46" s="389">
        <f>'Inputs by network level'!R32</f>
        <v>0</v>
      </c>
      <c r="S46" s="389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522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267</v>
      </c>
      <c r="K50" s="388" t="s">
        <v>43</v>
      </c>
      <c r="L50" s="388" t="s">
        <v>44</v>
      </c>
      <c r="M50" s="388" t="s">
        <v>45</v>
      </c>
      <c r="N50" s="388" t="s">
        <v>46</v>
      </c>
      <c r="O50" s="388" t="s">
        <v>47</v>
      </c>
      <c r="P50" s="388" t="s">
        <v>51</v>
      </c>
      <c r="Q50" s="388" t="s">
        <v>48</v>
      </c>
      <c r="R50" s="388" t="s">
        <v>49</v>
      </c>
      <c r="S50" s="388" t="s">
        <v>50</v>
      </c>
      <c r="T50" s="388" t="s">
        <v>124</v>
      </c>
      <c r="U50" s="388" t="s">
        <v>123</v>
      </c>
      <c r="W50" s="88"/>
    </row>
    <row r="51" spans="5:23" x14ac:dyDescent="0.25">
      <c r="F51" s="14" t="s">
        <v>928</v>
      </c>
      <c r="G51" s="14"/>
      <c r="H51" s="109" t="s">
        <v>94</v>
      </c>
      <c r="J51" s="369"/>
      <c r="K51" s="369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0.32635129017655001</v>
      </c>
      <c r="R51" s="17">
        <f t="shared" si="0"/>
        <v>0.71097285067873295</v>
      </c>
      <c r="S51" s="17">
        <f t="shared" si="0"/>
        <v>0.93094869075781095</v>
      </c>
      <c r="T51" s="369"/>
      <c r="U51" s="369"/>
    </row>
    <row r="52" spans="5:23" x14ac:dyDescent="0.25">
      <c r="F52" s="14" t="s">
        <v>929</v>
      </c>
      <c r="G52" s="14"/>
      <c r="H52" s="109" t="s">
        <v>94</v>
      </c>
      <c r="J52" s="369"/>
      <c r="K52" s="369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0.32635129017655001</v>
      </c>
      <c r="R52" s="17">
        <f t="shared" si="0"/>
        <v>0.71097285067873295</v>
      </c>
      <c r="S52" s="17">
        <f t="shared" si="0"/>
        <v>0.93094869075781095</v>
      </c>
      <c r="T52" s="369"/>
      <c r="U52" s="369"/>
    </row>
    <row r="53" spans="5:23" x14ac:dyDescent="0.25">
      <c r="F53" s="14" t="s">
        <v>930</v>
      </c>
      <c r="G53" s="14"/>
      <c r="H53" s="109" t="s">
        <v>94</v>
      </c>
      <c r="J53" s="369"/>
      <c r="K53" s="369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0.32635129017655001</v>
      </c>
      <c r="R53" s="17">
        <f t="shared" si="0"/>
        <v>0.71097285067873295</v>
      </c>
      <c r="S53" s="17">
        <f t="shared" si="0"/>
        <v>0.93094869075781095</v>
      </c>
      <c r="T53" s="369"/>
      <c r="U53" s="369"/>
    </row>
    <row r="54" spans="5:23" x14ac:dyDescent="0.25">
      <c r="F54" s="14" t="s">
        <v>931</v>
      </c>
      <c r="G54" s="14"/>
      <c r="H54" s="109" t="s">
        <v>94</v>
      </c>
      <c r="J54" s="369"/>
      <c r="K54" s="369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0.32635129017655001</v>
      </c>
      <c r="R54" s="17">
        <f t="shared" si="0"/>
        <v>0.71097285067873295</v>
      </c>
      <c r="S54" s="17">
        <f t="shared" si="0"/>
        <v>0.93094869075781095</v>
      </c>
      <c r="T54" s="369"/>
      <c r="U54" s="369"/>
    </row>
    <row r="55" spans="5:23" x14ac:dyDescent="0.25">
      <c r="F55" s="14" t="s">
        <v>932</v>
      </c>
      <c r="G55" s="14"/>
      <c r="H55" s="109" t="s">
        <v>94</v>
      </c>
      <c r="J55" s="369"/>
      <c r="K55" s="369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0.32635129017655001</v>
      </c>
      <c r="R55" s="17">
        <f t="shared" si="0"/>
        <v>0.71097285067873295</v>
      </c>
      <c r="S55" s="17">
        <f t="shared" si="0"/>
        <v>0.93094869075781095</v>
      </c>
      <c r="T55" s="369"/>
      <c r="U55" s="369"/>
    </row>
    <row r="56" spans="5:23" x14ac:dyDescent="0.25">
      <c r="F56" s="14" t="s">
        <v>933</v>
      </c>
      <c r="G56" s="14"/>
      <c r="H56" s="109" t="s">
        <v>94</v>
      </c>
      <c r="J56" s="369"/>
      <c r="K56" s="369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0.32635129017655001</v>
      </c>
      <c r="R56" s="17">
        <f t="shared" si="0"/>
        <v>0.71097285067873295</v>
      </c>
      <c r="S56" s="17">
        <f t="shared" si="0"/>
        <v>0</v>
      </c>
      <c r="T56" s="369"/>
      <c r="U56" s="369"/>
    </row>
    <row r="57" spans="5:23" x14ac:dyDescent="0.25">
      <c r="F57" s="14" t="s">
        <v>934</v>
      </c>
      <c r="G57" s="14"/>
      <c r="H57" s="109" t="s">
        <v>94</v>
      </c>
      <c r="J57" s="369"/>
      <c r="K57" s="369"/>
      <c r="L57" s="17">
        <f t="shared" si="0"/>
        <v>0</v>
      </c>
      <c r="M57" s="17">
        <f t="shared" si="0"/>
        <v>0</v>
      </c>
      <c r="N57" s="17">
        <f t="shared" si="0"/>
        <v>0.29443019943019899</v>
      </c>
      <c r="O57" s="17">
        <f t="shared" si="0"/>
        <v>0.14317058823529399</v>
      </c>
      <c r="P57" s="17">
        <f t="shared" si="0"/>
        <v>0</v>
      </c>
      <c r="Q57" s="17">
        <f t="shared" si="0"/>
        <v>0.73429040289723801</v>
      </c>
      <c r="R57" s="17">
        <f t="shared" si="0"/>
        <v>0</v>
      </c>
      <c r="S57" s="17">
        <f t="shared" si="0"/>
        <v>0</v>
      </c>
      <c r="T57" s="369"/>
      <c r="U57" s="369"/>
    </row>
    <row r="58" spans="5:23" x14ac:dyDescent="0.25">
      <c r="F58" s="14" t="s">
        <v>935</v>
      </c>
      <c r="G58" s="14"/>
      <c r="H58" s="109" t="s">
        <v>94</v>
      </c>
      <c r="J58" s="369"/>
      <c r="K58" s="369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0.32635129017655001</v>
      </c>
      <c r="R58" s="17">
        <f t="shared" si="0"/>
        <v>0.71097285067873295</v>
      </c>
      <c r="S58" s="17">
        <f t="shared" si="0"/>
        <v>0.93094869075781095</v>
      </c>
      <c r="T58" s="369"/>
      <c r="U58" s="369"/>
    </row>
    <row r="59" spans="5:23" x14ac:dyDescent="0.25">
      <c r="F59" s="14" t="s">
        <v>936</v>
      </c>
      <c r="G59" s="14"/>
      <c r="H59" s="109" t="s">
        <v>94</v>
      </c>
      <c r="J59" s="369"/>
      <c r="K59" s="369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0.32635129017655001</v>
      </c>
      <c r="R59" s="17">
        <f t="shared" si="0"/>
        <v>0.71097285067873295</v>
      </c>
      <c r="S59" s="17">
        <f t="shared" si="0"/>
        <v>0.93094869075781095</v>
      </c>
      <c r="T59" s="369"/>
      <c r="U59" s="369"/>
    </row>
    <row r="60" spans="5:23" x14ac:dyDescent="0.25">
      <c r="F60" s="14" t="s">
        <v>937</v>
      </c>
      <c r="G60" s="14"/>
      <c r="H60" s="109" t="s">
        <v>94</v>
      </c>
      <c r="J60" s="369"/>
      <c r="K60" s="369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0.32635129017655001</v>
      </c>
      <c r="R60" s="17">
        <f t="shared" si="0"/>
        <v>0.71097285067873295</v>
      </c>
      <c r="S60" s="17">
        <f t="shared" si="0"/>
        <v>0</v>
      </c>
      <c r="T60" s="369"/>
      <c r="U60" s="369"/>
    </row>
    <row r="61" spans="5:23" x14ac:dyDescent="0.25">
      <c r="F61" s="14" t="s">
        <v>938</v>
      </c>
      <c r="G61" s="14"/>
      <c r="H61" s="109" t="s">
        <v>94</v>
      </c>
      <c r="J61" s="369"/>
      <c r="K61" s="369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0.32635129017655001</v>
      </c>
      <c r="R61" s="17">
        <f t="shared" si="0"/>
        <v>0.71097285067873295</v>
      </c>
      <c r="S61" s="17">
        <f t="shared" si="0"/>
        <v>0.93094869075781095</v>
      </c>
      <c r="T61" s="369"/>
      <c r="U61" s="369"/>
    </row>
    <row r="62" spans="5:23" x14ac:dyDescent="0.25">
      <c r="F62" s="14" t="s">
        <v>939</v>
      </c>
      <c r="G62" s="14"/>
      <c r="H62" s="109" t="s">
        <v>94</v>
      </c>
      <c r="J62" s="369"/>
      <c r="K62" s="369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0.32635129017655001</v>
      </c>
      <c r="R62" s="17">
        <f t="shared" si="0"/>
        <v>0.71097285067873295</v>
      </c>
      <c r="S62" s="17">
        <f t="shared" si="0"/>
        <v>0.93094869075781095</v>
      </c>
      <c r="T62" s="369"/>
      <c r="U62" s="369"/>
    </row>
    <row r="63" spans="5:23" x14ac:dyDescent="0.25">
      <c r="F63" s="14" t="s">
        <v>940</v>
      </c>
      <c r="G63" s="14"/>
      <c r="H63" s="109" t="s">
        <v>94</v>
      </c>
      <c r="J63" s="369"/>
      <c r="K63" s="369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0.32635129017655001</v>
      </c>
      <c r="R63" s="17">
        <f t="shared" si="0"/>
        <v>0.71097285067873295</v>
      </c>
      <c r="S63" s="17">
        <f t="shared" si="0"/>
        <v>0</v>
      </c>
      <c r="T63" s="369"/>
      <c r="U63" s="369"/>
    </row>
    <row r="64" spans="5:23" x14ac:dyDescent="0.25">
      <c r="F64" s="14" t="s">
        <v>941</v>
      </c>
      <c r="G64" s="14"/>
      <c r="H64" s="109" t="s">
        <v>94</v>
      </c>
      <c r="J64" s="369"/>
      <c r="K64" s="369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0.32635129017655001</v>
      </c>
      <c r="R64" s="17">
        <f t="shared" si="0"/>
        <v>0.71097285067873295</v>
      </c>
      <c r="S64" s="17">
        <f t="shared" si="0"/>
        <v>0</v>
      </c>
      <c r="T64" s="369"/>
      <c r="U64" s="369"/>
    </row>
    <row r="65" spans="2:23" x14ac:dyDescent="0.25">
      <c r="F65" s="14" t="s">
        <v>942</v>
      </c>
      <c r="G65" s="14"/>
      <c r="H65" s="109" t="s">
        <v>94</v>
      </c>
      <c r="J65" s="369"/>
      <c r="K65" s="369"/>
      <c r="L65" s="17">
        <f t="shared" si="0"/>
        <v>0</v>
      </c>
      <c r="M65" s="17">
        <f t="shared" si="0"/>
        <v>0</v>
      </c>
      <c r="N65" s="17">
        <f t="shared" si="0"/>
        <v>0.29443019943019899</v>
      </c>
      <c r="O65" s="17">
        <f t="shared" si="0"/>
        <v>0.14317058823529399</v>
      </c>
      <c r="P65" s="17">
        <f t="shared" si="0"/>
        <v>0</v>
      </c>
      <c r="Q65" s="17">
        <f t="shared" si="0"/>
        <v>0.73429040289723801</v>
      </c>
      <c r="R65" s="17">
        <f t="shared" si="0"/>
        <v>0</v>
      </c>
      <c r="S65" s="17">
        <f t="shared" si="0"/>
        <v>0</v>
      </c>
      <c r="T65" s="369"/>
      <c r="U65" s="369"/>
    </row>
    <row r="66" spans="2:23" x14ac:dyDescent="0.25">
      <c r="F66" s="15" t="s">
        <v>943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0.29443019943019899</v>
      </c>
      <c r="O66" s="18">
        <f t="shared" si="0"/>
        <v>0.14317058823529399</v>
      </c>
      <c r="P66" s="18">
        <f t="shared" si="0"/>
        <v>0</v>
      </c>
      <c r="Q66" s="18">
        <f t="shared" si="0"/>
        <v>0.73429040289723801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3" t="s">
        <v>416</v>
      </c>
      <c r="G70" s="122" t="s">
        <v>589</v>
      </c>
      <c r="H70" s="310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00000000-0004-0000-13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335</v>
      </c>
    </row>
    <row r="10" spans="1:43" x14ac:dyDescent="0.25">
      <c r="C10" s="82" t="s">
        <v>578</v>
      </c>
    </row>
    <row r="11" spans="1:43" x14ac:dyDescent="0.25">
      <c r="C11" s="82" t="s">
        <v>579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control'!$H$34:$H$60,MATCH($A$1,'Version control'!$F$34:$F$60,0),1)&amp;"-A: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337</v>
      </c>
    </row>
    <row r="18" spans="4:43" x14ac:dyDescent="0.25">
      <c r="D18" s="82" t="s">
        <v>338</v>
      </c>
    </row>
    <row r="19" spans="4:43" x14ac:dyDescent="0.25">
      <c r="D19" s="82"/>
    </row>
    <row r="20" spans="4:43" x14ac:dyDescent="0.2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336</v>
      </c>
      <c r="AA21" s="293" t="s">
        <v>714</v>
      </c>
    </row>
    <row r="22" spans="4:43" x14ac:dyDescent="0.25">
      <c r="F22" s="91" t="s">
        <v>66</v>
      </c>
      <c r="G22" s="91" t="s">
        <v>94</v>
      </c>
      <c r="H22" s="137">
        <f>'General inputs'!H33</f>
        <v>0.37965428939083246</v>
      </c>
      <c r="AQ22" s="88"/>
    </row>
    <row r="23" spans="4:43" x14ac:dyDescent="0.25">
      <c r="F23" s="293" t="s">
        <v>67</v>
      </c>
      <c r="G23" s="293" t="s">
        <v>94</v>
      </c>
      <c r="H23" s="143">
        <f>'General inputs'!H34</f>
        <v>0.54896300131614539</v>
      </c>
      <c r="AQ23" s="88"/>
    </row>
    <row r="24" spans="4:43" x14ac:dyDescent="0.25">
      <c r="F24" s="293" t="s">
        <v>68</v>
      </c>
      <c r="G24" s="293" t="s">
        <v>94</v>
      </c>
      <c r="H24" s="143">
        <f>'General inputs'!H35</f>
        <v>0.27129203207220204</v>
      </c>
      <c r="AQ24" s="88"/>
    </row>
    <row r="25" spans="4:43" x14ac:dyDescent="0.25">
      <c r="F25" s="93" t="s">
        <v>69</v>
      </c>
      <c r="G25" s="93" t="s">
        <v>94</v>
      </c>
      <c r="H25" s="389">
        <f>'General inputs'!H36</f>
        <v>0.17674798485106219</v>
      </c>
      <c r="AQ25" s="88"/>
    </row>
    <row r="27" spans="4:43" x14ac:dyDescent="0.25">
      <c r="E27" s="96" t="s">
        <v>157</v>
      </c>
      <c r="I27" s="293" t="s">
        <v>359</v>
      </c>
      <c r="AA27" s="293" t="s">
        <v>917</v>
      </c>
      <c r="AQ27" s="88"/>
    </row>
    <row r="28" spans="4:43" x14ac:dyDescent="0.25">
      <c r="E28" s="82" t="s">
        <v>576</v>
      </c>
    </row>
    <row r="29" spans="4:43" x14ac:dyDescent="0.25">
      <c r="E29" s="82" t="s">
        <v>577</v>
      </c>
    </row>
    <row r="30" spans="4:43" x14ac:dyDescent="0.2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2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0">
        <f t="shared" ref="J34:Y34" si="0">J30 * $H$22</f>
        <v>0.37965428939083246</v>
      </c>
      <c r="K34" s="390">
        <f t="shared" si="0"/>
        <v>0.37965428939083246</v>
      </c>
      <c r="L34" s="390">
        <f t="shared" si="0"/>
        <v>0.37965428939083246</v>
      </c>
      <c r="M34" s="390">
        <f t="shared" si="0"/>
        <v>0.37965428939083246</v>
      </c>
      <c r="N34" s="390">
        <f t="shared" si="0"/>
        <v>0.37965428939083246</v>
      </c>
      <c r="O34" s="390">
        <f t="shared" si="0"/>
        <v>0</v>
      </c>
      <c r="P34" s="390">
        <f t="shared" si="0"/>
        <v>0</v>
      </c>
      <c r="Q34" s="390">
        <f t="shared" si="0"/>
        <v>0.37965428939083246</v>
      </c>
      <c r="R34" s="390">
        <f t="shared" si="0"/>
        <v>0</v>
      </c>
      <c r="S34" s="390">
        <f t="shared" si="0"/>
        <v>0</v>
      </c>
      <c r="T34" s="390">
        <f t="shared" si="0"/>
        <v>0</v>
      </c>
      <c r="U34" s="390">
        <f t="shared" si="0"/>
        <v>0</v>
      </c>
      <c r="V34" s="390">
        <f t="shared" si="0"/>
        <v>0</v>
      </c>
      <c r="W34" s="390">
        <f t="shared" si="0"/>
        <v>0</v>
      </c>
      <c r="X34" s="390">
        <f t="shared" si="0"/>
        <v>0</v>
      </c>
      <c r="Y34" s="390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0">
        <f t="shared" ref="J35:Y35" si="1">SUMPRODUCT(J31:J33,$H$23:$H$25)</f>
        <v>0.54896300131614539</v>
      </c>
      <c r="K35" s="390">
        <f t="shared" si="1"/>
        <v>0.54896300131614539</v>
      </c>
      <c r="L35" s="390">
        <f t="shared" si="1"/>
        <v>0.54896300131614539</v>
      </c>
      <c r="M35" s="390">
        <f t="shared" si="1"/>
        <v>0.54896300131614539</v>
      </c>
      <c r="N35" s="390">
        <f t="shared" si="1"/>
        <v>0.54896300131614539</v>
      </c>
      <c r="O35" s="390">
        <f t="shared" si="1"/>
        <v>0.27129203207220204</v>
      </c>
      <c r="P35" s="390">
        <f t="shared" si="1"/>
        <v>0.17674798485106219</v>
      </c>
      <c r="Q35" s="390">
        <f t="shared" si="1"/>
        <v>0.54896300131614539</v>
      </c>
      <c r="R35" s="390">
        <f t="shared" si="1"/>
        <v>0</v>
      </c>
      <c r="S35" s="390">
        <f t="shared" si="1"/>
        <v>0</v>
      </c>
      <c r="T35" s="390">
        <f t="shared" si="1"/>
        <v>0</v>
      </c>
      <c r="U35" s="390">
        <f t="shared" si="1"/>
        <v>0</v>
      </c>
      <c r="V35" s="390">
        <f t="shared" si="1"/>
        <v>0</v>
      </c>
      <c r="W35" s="390">
        <f t="shared" si="1"/>
        <v>0</v>
      </c>
      <c r="X35" s="390">
        <f t="shared" si="1"/>
        <v>0</v>
      </c>
      <c r="Y35" s="390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3" t="s">
        <v>359</v>
      </c>
      <c r="AA37" s="293" t="s">
        <v>917</v>
      </c>
      <c r="AQ37" s="88"/>
    </row>
    <row r="38" spans="4:43" x14ac:dyDescent="0.25">
      <c r="E38" s="82" t="s">
        <v>339</v>
      </c>
    </row>
    <row r="39" spans="4:43" x14ac:dyDescent="0.25">
      <c r="F39" s="14" t="s">
        <v>368</v>
      </c>
      <c r="G39" s="14" t="s">
        <v>174</v>
      </c>
      <c r="J39" s="391" t="b">
        <f>'Fixed inputs'!J105</f>
        <v>0</v>
      </c>
      <c r="K39" s="391" t="b">
        <f>'Fixed inputs'!K105</f>
        <v>0</v>
      </c>
      <c r="L39" s="391" t="b">
        <f>'Fixed inputs'!L105</f>
        <v>0</v>
      </c>
      <c r="M39" s="391" t="b">
        <f>'Fixed inputs'!M105</f>
        <v>0</v>
      </c>
      <c r="N39" s="391" t="b">
        <f>'Fixed inputs'!N105</f>
        <v>0</v>
      </c>
      <c r="O39" s="391" t="b">
        <f>'Fixed inputs'!O105</f>
        <v>0</v>
      </c>
      <c r="P39" s="391" t="b">
        <f>'Fixed inputs'!P105</f>
        <v>0</v>
      </c>
      <c r="Q39" s="391" t="b">
        <f>'Fixed inputs'!Q105</f>
        <v>0</v>
      </c>
      <c r="R39" s="391" t="b">
        <f>'Fixed inputs'!R105</f>
        <v>1</v>
      </c>
      <c r="S39" s="391" t="b">
        <f>'Fixed inputs'!S105</f>
        <v>1</v>
      </c>
      <c r="T39" s="391" t="b">
        <f>'Fixed inputs'!T105</f>
        <v>1</v>
      </c>
      <c r="U39" s="391" t="b">
        <f>'Fixed inputs'!U105</f>
        <v>1</v>
      </c>
      <c r="V39" s="391" t="b">
        <f>'Fixed inputs'!V105</f>
        <v>1</v>
      </c>
      <c r="W39" s="391" t="b">
        <f>'Fixed inputs'!W105</f>
        <v>1</v>
      </c>
      <c r="X39" s="391" t="b">
        <f>'Fixed inputs'!X105</f>
        <v>1</v>
      </c>
      <c r="Y39" s="391" t="b">
        <f>'Fixed inputs'!Y105</f>
        <v>1</v>
      </c>
      <c r="AQ39" s="88"/>
    </row>
    <row r="40" spans="4:43" x14ac:dyDescent="0.25">
      <c r="F40" s="14" t="s">
        <v>369</v>
      </c>
      <c r="G40" s="14" t="s">
        <v>174</v>
      </c>
      <c r="J40" s="391" t="b">
        <f>'Fixed inputs'!J109</f>
        <v>0</v>
      </c>
      <c r="K40" s="391" t="b">
        <f>'Fixed inputs'!K109</f>
        <v>0</v>
      </c>
      <c r="L40" s="391" t="b">
        <f>'Fixed inputs'!L109</f>
        <v>0</v>
      </c>
      <c r="M40" s="391" t="b">
        <f>'Fixed inputs'!M109</f>
        <v>0</v>
      </c>
      <c r="N40" s="391" t="b">
        <f>'Fixed inputs'!N109</f>
        <v>0</v>
      </c>
      <c r="O40" s="391" t="b">
        <f>'Fixed inputs'!O109</f>
        <v>0</v>
      </c>
      <c r="P40" s="391" t="b">
        <f>'Fixed inputs'!P109</f>
        <v>0</v>
      </c>
      <c r="Q40" s="391" t="b">
        <f>'Fixed inputs'!Q109</f>
        <v>0</v>
      </c>
      <c r="R40" s="391" t="b">
        <f>'Fixed inputs'!R109</f>
        <v>1</v>
      </c>
      <c r="S40" s="391" t="b">
        <f>'Fixed inputs'!S109</f>
        <v>1</v>
      </c>
      <c r="T40" s="391" t="b">
        <f>'Fixed inputs'!T109</f>
        <v>1</v>
      </c>
      <c r="U40" s="391" t="b">
        <f>'Fixed inputs'!U109</f>
        <v>1</v>
      </c>
      <c r="V40" s="391" t="b">
        <f>'Fixed inputs'!V109</f>
        <v>1</v>
      </c>
      <c r="W40" s="391" t="b">
        <f>'Fixed inputs'!W109</f>
        <v>1</v>
      </c>
      <c r="X40" s="391" t="b">
        <f>'Fixed inputs'!X109</f>
        <v>1</v>
      </c>
      <c r="Y40" s="391" t="b">
        <f>'Fixed inputs'!Y109</f>
        <v>1</v>
      </c>
      <c r="AQ40" s="88"/>
    </row>
    <row r="41" spans="4:43" x14ac:dyDescent="0.25">
      <c r="F41" s="14" t="s">
        <v>370</v>
      </c>
      <c r="G41" s="14" t="s">
        <v>174</v>
      </c>
      <c r="J41" s="391" t="b">
        <f>'Fixed inputs'!J113</f>
        <v>0</v>
      </c>
      <c r="K41" s="391" t="b">
        <f>'Fixed inputs'!K113</f>
        <v>0</v>
      </c>
      <c r="L41" s="391" t="b">
        <f>'Fixed inputs'!L113</f>
        <v>0</v>
      </c>
      <c r="M41" s="391" t="b">
        <f>'Fixed inputs'!M113</f>
        <v>0</v>
      </c>
      <c r="N41" s="391" t="b">
        <f>'Fixed inputs'!N113</f>
        <v>0</v>
      </c>
      <c r="O41" s="391" t="b">
        <f>'Fixed inputs'!O113</f>
        <v>0</v>
      </c>
      <c r="P41" s="391" t="b">
        <f>'Fixed inputs'!P113</f>
        <v>0</v>
      </c>
      <c r="Q41" s="391" t="b">
        <f>'Fixed inputs'!Q113</f>
        <v>0</v>
      </c>
      <c r="R41" s="391" t="b">
        <f>'Fixed inputs'!R113</f>
        <v>1</v>
      </c>
      <c r="S41" s="391" t="b">
        <f>'Fixed inputs'!S113</f>
        <v>1</v>
      </c>
      <c r="T41" s="391" t="b">
        <f>'Fixed inputs'!T113</f>
        <v>1</v>
      </c>
      <c r="U41" s="391" t="b">
        <f>'Fixed inputs'!U113</f>
        <v>1</v>
      </c>
      <c r="V41" s="391" t="b">
        <f>'Fixed inputs'!V113</f>
        <v>1</v>
      </c>
      <c r="W41" s="391" t="b">
        <f>'Fixed inputs'!W113</f>
        <v>1</v>
      </c>
      <c r="X41" s="391" t="b">
        <f>'Fixed inputs'!X113</f>
        <v>1</v>
      </c>
      <c r="Y41" s="391" t="b">
        <f>'Fixed inputs'!Y113</f>
        <v>1</v>
      </c>
      <c r="AQ41" s="88"/>
    </row>
    <row r="42" spans="4:43" x14ac:dyDescent="0.25">
      <c r="F42" s="14" t="s">
        <v>371</v>
      </c>
      <c r="G42" s="14" t="s">
        <v>174</v>
      </c>
      <c r="J42" s="391" t="b">
        <f>'Fixed inputs'!J117</f>
        <v>0</v>
      </c>
      <c r="K42" s="391" t="b">
        <f>'Fixed inputs'!K117</f>
        <v>0</v>
      </c>
      <c r="L42" s="391" t="b">
        <f>'Fixed inputs'!L117</f>
        <v>0</v>
      </c>
      <c r="M42" s="391" t="b">
        <f>'Fixed inputs'!M117</f>
        <v>0</v>
      </c>
      <c r="N42" s="391" t="b">
        <f>'Fixed inputs'!N117</f>
        <v>0</v>
      </c>
      <c r="O42" s="391" t="b">
        <f>'Fixed inputs'!O117</f>
        <v>0</v>
      </c>
      <c r="P42" s="391" t="b">
        <f>'Fixed inputs'!P117</f>
        <v>0</v>
      </c>
      <c r="Q42" s="391" t="b">
        <f>'Fixed inputs'!Q117</f>
        <v>0</v>
      </c>
      <c r="R42" s="391" t="b">
        <f>'Fixed inputs'!R117</f>
        <v>1</v>
      </c>
      <c r="S42" s="391" t="b">
        <f>'Fixed inputs'!S117</f>
        <v>1</v>
      </c>
      <c r="T42" s="391" t="b">
        <f>'Fixed inputs'!T117</f>
        <v>1</v>
      </c>
      <c r="U42" s="391" t="b">
        <f>'Fixed inputs'!U117</f>
        <v>1</v>
      </c>
      <c r="V42" s="391" t="b">
        <f>'Fixed inputs'!V117</f>
        <v>1</v>
      </c>
      <c r="W42" s="391" t="b">
        <f>'Fixed inputs'!W117</f>
        <v>1</v>
      </c>
      <c r="X42" s="391" t="b">
        <f>'Fixed inputs'!X117</f>
        <v>1</v>
      </c>
      <c r="Y42" s="391" t="b">
        <f>'Fixed inputs'!Y117</f>
        <v>1</v>
      </c>
      <c r="AQ42" s="88"/>
    </row>
    <row r="43" spans="4:43" x14ac:dyDescent="0.25">
      <c r="F43" s="14" t="s">
        <v>372</v>
      </c>
      <c r="G43" s="14" t="s">
        <v>174</v>
      </c>
      <c r="J43" s="391" t="b">
        <f>'Fixed inputs'!J121</f>
        <v>0</v>
      </c>
      <c r="K43" s="391" t="b">
        <f>'Fixed inputs'!K121</f>
        <v>0</v>
      </c>
      <c r="L43" s="391" t="b">
        <f>'Fixed inputs'!L121</f>
        <v>0</v>
      </c>
      <c r="M43" s="391" t="b">
        <f>'Fixed inputs'!M121</f>
        <v>0</v>
      </c>
      <c r="N43" s="391" t="b">
        <f>'Fixed inputs'!N121</f>
        <v>0</v>
      </c>
      <c r="O43" s="391" t="b">
        <f>'Fixed inputs'!O121</f>
        <v>0</v>
      </c>
      <c r="P43" s="391" t="b">
        <f>'Fixed inputs'!P121</f>
        <v>0</v>
      </c>
      <c r="Q43" s="391" t="b">
        <f>'Fixed inputs'!Q121</f>
        <v>0</v>
      </c>
      <c r="R43" s="391" t="b">
        <f>'Fixed inputs'!R121</f>
        <v>1</v>
      </c>
      <c r="S43" s="391" t="b">
        <f>'Fixed inputs'!S121</f>
        <v>1</v>
      </c>
      <c r="T43" s="391" t="b">
        <f>'Fixed inputs'!T121</f>
        <v>1</v>
      </c>
      <c r="U43" s="391" t="b">
        <f>'Fixed inputs'!U121</f>
        <v>1</v>
      </c>
      <c r="V43" s="391" t="b">
        <f>'Fixed inputs'!V121</f>
        <v>1</v>
      </c>
      <c r="W43" s="391" t="b">
        <f>'Fixed inputs'!W121</f>
        <v>1</v>
      </c>
      <c r="X43" s="391" t="b">
        <f>'Fixed inputs'!X121</f>
        <v>1</v>
      </c>
      <c r="Y43" s="391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7" t="str">
        <f ca="1">INDEX('Version control'!$H$34:$H$60,MATCH($A$1,'Version control'!$F$34:$F$60,0),1)&amp;"-B: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25">
      <c r="C54" s="82"/>
      <c r="AQ54" s="88"/>
    </row>
    <row r="55" spans="2:43" x14ac:dyDescent="0.25">
      <c r="C55" s="82"/>
      <c r="D55" s="82" t="s">
        <v>1074</v>
      </c>
      <c r="AQ55" s="88"/>
    </row>
    <row r="56" spans="2:43" x14ac:dyDescent="0.25">
      <c r="C56" s="82"/>
      <c r="AQ56" s="88"/>
    </row>
    <row r="57" spans="2:43" x14ac:dyDescent="0.25">
      <c r="C57" s="82"/>
      <c r="E57" s="96" t="s">
        <v>1045</v>
      </c>
      <c r="G57" s="108"/>
      <c r="I57" s="293" t="s">
        <v>359</v>
      </c>
      <c r="AQ57" s="88"/>
    </row>
    <row r="58" spans="2:43" x14ac:dyDescent="0.2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50.685541167972772</v>
      </c>
      <c r="L58" s="272">
        <f>'Inputs by customer type'!L26</f>
        <v>0</v>
      </c>
      <c r="M58" s="272">
        <f>'Inputs by customer type'!M26</f>
        <v>6.1226977807298875</v>
      </c>
      <c r="N58" s="272">
        <f>'Inputs by customer type'!N26</f>
        <v>0</v>
      </c>
      <c r="O58" s="272">
        <f>'Inputs by customer type'!O26</f>
        <v>0</v>
      </c>
      <c r="P58" s="272">
        <f>'Inputs by customer type'!P26</f>
        <v>0</v>
      </c>
      <c r="Q58" s="238"/>
      <c r="R58" s="272">
        <f>'Inputs by customer type'!R26</f>
        <v>138.20714502602834</v>
      </c>
      <c r="S58" s="272">
        <f>'Inputs by customer type'!S26</f>
        <v>19.850977162721037</v>
      </c>
      <c r="T58" s="272">
        <f>'Inputs by customer type'!T26</f>
        <v>4602.4299730524672</v>
      </c>
      <c r="U58" s="272">
        <f>'Inputs by customer type'!U26</f>
        <v>0</v>
      </c>
      <c r="V58" s="272">
        <f>'Inputs by customer type'!V26</f>
        <v>1319.5926901394901</v>
      </c>
      <c r="W58" s="272">
        <f>'Inputs by customer type'!W26</f>
        <v>0</v>
      </c>
      <c r="X58" s="272">
        <f>'Inputs by customer type'!X26</f>
        <v>42346.377102139319</v>
      </c>
      <c r="Y58" s="272">
        <f>'Inputs by customer type'!Y26</f>
        <v>0</v>
      </c>
      <c r="AQ58" s="88"/>
    </row>
    <row r="59" spans="2:43" x14ac:dyDescent="0.25">
      <c r="E59" s="96"/>
      <c r="F59" s="109" t="s">
        <v>200</v>
      </c>
      <c r="G59" s="109" t="s">
        <v>120</v>
      </c>
      <c r="J59" s="239"/>
      <c r="K59" s="472">
        <f>'Inputs by customer type'!K27</f>
        <v>876.88932002307558</v>
      </c>
      <c r="L59" s="472">
        <f>'Inputs by customer type'!L27</f>
        <v>0</v>
      </c>
      <c r="M59" s="472">
        <f>'Inputs by customer type'!M27</f>
        <v>315.99830541136959</v>
      </c>
      <c r="N59" s="472">
        <f>'Inputs by customer type'!N27</f>
        <v>0</v>
      </c>
      <c r="O59" s="472">
        <f>'Inputs by customer type'!O27</f>
        <v>0</v>
      </c>
      <c r="P59" s="472">
        <f>'Inputs by customer type'!P27</f>
        <v>0</v>
      </c>
      <c r="Q59" s="239"/>
      <c r="R59" s="472">
        <f>'Inputs by customer type'!R27</f>
        <v>675.42262204083556</v>
      </c>
      <c r="S59" s="472">
        <f>'Inputs by customer type'!S27</f>
        <v>89.283262919470644</v>
      </c>
      <c r="T59" s="472">
        <f>'Inputs by customer type'!T27</f>
        <v>22397.414037263683</v>
      </c>
      <c r="U59" s="472">
        <f>'Inputs by customer type'!U27</f>
        <v>0</v>
      </c>
      <c r="V59" s="472">
        <f>'Inputs by customer type'!V27</f>
        <v>5938.0182101575592</v>
      </c>
      <c r="W59" s="472">
        <f>'Inputs by customer type'!W27</f>
        <v>0</v>
      </c>
      <c r="X59" s="472">
        <f>'Inputs by customer type'!X27</f>
        <v>169950.37671525255</v>
      </c>
      <c r="Y59" s="472">
        <f>'Inputs by customer type'!Y27</f>
        <v>0</v>
      </c>
      <c r="AQ59" s="88"/>
    </row>
    <row r="60" spans="2:43" x14ac:dyDescent="0.25">
      <c r="E60" s="96"/>
      <c r="F60" s="109" t="s">
        <v>201</v>
      </c>
      <c r="G60" s="109" t="s">
        <v>120</v>
      </c>
      <c r="J60" s="239"/>
      <c r="K60" s="472">
        <f>'Inputs by customer type'!K28</f>
        <v>11792.873278266205</v>
      </c>
      <c r="L60" s="472">
        <f>'Inputs by customer type'!L28</f>
        <v>0</v>
      </c>
      <c r="M60" s="472">
        <f>'Inputs by customer type'!M28</f>
        <v>3822.6277485878222</v>
      </c>
      <c r="N60" s="472">
        <f>'Inputs by customer type'!N28</f>
        <v>0</v>
      </c>
      <c r="O60" s="472">
        <f>'Inputs by customer type'!O28</f>
        <v>0</v>
      </c>
      <c r="P60" s="472">
        <f>'Inputs by customer type'!P28</f>
        <v>0</v>
      </c>
      <c r="Q60" s="239"/>
      <c r="R60" s="472">
        <f>'Inputs by customer type'!R28</f>
        <v>734.62430353180275</v>
      </c>
      <c r="S60" s="472">
        <f>'Inputs by customer type'!S28</f>
        <v>112.33780697547499</v>
      </c>
      <c r="T60" s="472">
        <f>'Inputs by customer type'!T28</f>
        <v>25989.195328374855</v>
      </c>
      <c r="U60" s="472">
        <f>'Inputs by customer type'!U28</f>
        <v>0</v>
      </c>
      <c r="V60" s="472">
        <f>'Inputs by customer type'!V28</f>
        <v>7475.1781511239524</v>
      </c>
      <c r="W60" s="472">
        <f>'Inputs by customer type'!W28</f>
        <v>0</v>
      </c>
      <c r="X60" s="472">
        <f>'Inputs by customer type'!X28</f>
        <v>176946.04662843214</v>
      </c>
      <c r="Y60" s="472">
        <f>'Inputs by customer type'!Y28</f>
        <v>0</v>
      </c>
      <c r="AQ60" s="88"/>
    </row>
    <row r="61" spans="2:43" x14ac:dyDescent="0.25">
      <c r="E61" s="96"/>
      <c r="F61" s="109" t="s">
        <v>74</v>
      </c>
      <c r="G61" s="109" t="s">
        <v>74</v>
      </c>
      <c r="J61" s="239"/>
      <c r="K61" s="472">
        <f>'Inputs by customer type'!K29</f>
        <v>3156</v>
      </c>
      <c r="L61" s="472">
        <f>'Inputs by customer type'!L29</f>
        <v>0</v>
      </c>
      <c r="M61" s="472">
        <f>'Inputs by customer type'!M29</f>
        <v>997</v>
      </c>
      <c r="N61" s="472">
        <f>'Inputs by customer type'!N29</f>
        <v>0</v>
      </c>
      <c r="O61" s="472">
        <f>'Inputs by customer type'!O29</f>
        <v>0</v>
      </c>
      <c r="P61" s="472">
        <f>'Inputs by customer type'!P29</f>
        <v>0</v>
      </c>
      <c r="Q61" s="239"/>
      <c r="R61" s="472">
        <f>'Inputs by customer type'!R29</f>
        <v>283</v>
      </c>
      <c r="S61" s="472">
        <f>'Inputs by customer type'!S29</f>
        <v>25</v>
      </c>
      <c r="T61" s="472">
        <f>'Inputs by customer type'!T29</f>
        <v>317</v>
      </c>
      <c r="U61" s="472">
        <f>'Inputs by customer type'!U29</f>
        <v>0</v>
      </c>
      <c r="V61" s="472">
        <f>'Inputs by customer type'!V29</f>
        <v>41</v>
      </c>
      <c r="W61" s="472">
        <f>'Inputs by customer type'!W29</f>
        <v>0</v>
      </c>
      <c r="X61" s="472">
        <f>'Inputs by customer type'!X29</f>
        <v>138</v>
      </c>
      <c r="Y61" s="472">
        <f>'Inputs by customer type'!Y29</f>
        <v>0</v>
      </c>
      <c r="AQ61" s="88"/>
    </row>
    <row r="62" spans="2:43" x14ac:dyDescent="0.25">
      <c r="E62" s="96"/>
      <c r="F62" s="109" t="s">
        <v>202</v>
      </c>
      <c r="G62" s="109" t="s">
        <v>169</v>
      </c>
      <c r="J62" s="239"/>
      <c r="K62" s="472">
        <f>'Inputs by customer type'!K30</f>
        <v>0</v>
      </c>
      <c r="L62" s="472">
        <f>'Inputs by customer type'!L30</f>
        <v>0</v>
      </c>
      <c r="M62" s="472">
        <f>'Inputs by customer type'!M30</f>
        <v>0</v>
      </c>
      <c r="N62" s="472">
        <f>'Inputs by customer type'!N30</f>
        <v>0</v>
      </c>
      <c r="O62" s="472">
        <f>'Inputs by customer type'!O30</f>
        <v>0</v>
      </c>
      <c r="P62" s="472">
        <f>'Inputs by customer type'!P30</f>
        <v>0</v>
      </c>
      <c r="Q62" s="239"/>
      <c r="R62" s="472">
        <f>'Inputs by customer type'!R30</f>
        <v>0</v>
      </c>
      <c r="S62" s="472">
        <f>'Inputs by customer type'!S30</f>
        <v>0</v>
      </c>
      <c r="T62" s="472">
        <f>'Inputs by customer type'!T30</f>
        <v>0</v>
      </c>
      <c r="U62" s="472">
        <f>'Inputs by customer type'!U30</f>
        <v>0</v>
      </c>
      <c r="V62" s="472">
        <f>'Inputs by customer type'!V30</f>
        <v>0</v>
      </c>
      <c r="W62" s="472">
        <f>'Inputs by customer type'!W30</f>
        <v>0</v>
      </c>
      <c r="X62" s="472">
        <f>'Inputs by customer type'!X30</f>
        <v>0</v>
      </c>
      <c r="Y62" s="472">
        <f>'Inputs by customer type'!Y30</f>
        <v>0</v>
      </c>
      <c r="AQ62" s="88"/>
    </row>
    <row r="63" spans="2:43" x14ac:dyDescent="0.25">
      <c r="E63" s="96"/>
      <c r="F63" s="109" t="s">
        <v>203</v>
      </c>
      <c r="G63" s="109" t="s">
        <v>169</v>
      </c>
      <c r="J63" s="239"/>
      <c r="K63" s="472">
        <f>'Inputs by customer type'!K31</f>
        <v>0</v>
      </c>
      <c r="L63" s="472">
        <f>'Inputs by customer type'!L31</f>
        <v>0</v>
      </c>
      <c r="M63" s="472">
        <f>'Inputs by customer type'!M31</f>
        <v>0</v>
      </c>
      <c r="N63" s="472">
        <f>'Inputs by customer type'!N31</f>
        <v>0</v>
      </c>
      <c r="O63" s="472">
        <f>'Inputs by customer type'!O31</f>
        <v>0</v>
      </c>
      <c r="P63" s="472">
        <f>'Inputs by customer type'!P31</f>
        <v>0</v>
      </c>
      <c r="Q63" s="239"/>
      <c r="R63" s="472">
        <f>'Inputs by customer type'!R31</f>
        <v>0</v>
      </c>
      <c r="S63" s="472">
        <f>'Inputs by customer type'!S31</f>
        <v>0</v>
      </c>
      <c r="T63" s="472">
        <f>'Inputs by customer type'!T31</f>
        <v>0</v>
      </c>
      <c r="U63" s="472">
        <f>'Inputs by customer type'!U31</f>
        <v>0</v>
      </c>
      <c r="V63" s="472">
        <f>'Inputs by customer type'!V31</f>
        <v>0</v>
      </c>
      <c r="W63" s="472">
        <f>'Inputs by customer type'!W31</f>
        <v>0</v>
      </c>
      <c r="X63" s="472">
        <f>'Inputs by customer type'!X31</f>
        <v>0</v>
      </c>
      <c r="Y63" s="472">
        <f>'Inputs by customer type'!Y31</f>
        <v>0</v>
      </c>
      <c r="AQ63" s="88"/>
    </row>
    <row r="64" spans="2:43" x14ac:dyDescent="0.2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0</v>
      </c>
      <c r="O64" s="274">
        <f>'Inputs by customer type'!O32</f>
        <v>0</v>
      </c>
      <c r="P64" s="274">
        <f>'Inputs by customer type'!P32</f>
        <v>0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4390.8</v>
      </c>
      <c r="U64" s="274">
        <f>'Inputs by customer type'!U32</f>
        <v>0</v>
      </c>
      <c r="V64" s="274">
        <f>'Inputs by customer type'!V32</f>
        <v>172.2</v>
      </c>
      <c r="W64" s="274">
        <f>'Inputs by customer type'!W32</f>
        <v>0</v>
      </c>
      <c r="X64" s="274">
        <f>'Inputs by customer type'!X32</f>
        <v>7419.6</v>
      </c>
      <c r="Y64" s="274">
        <f>'Inputs by customer type'!Y32</f>
        <v>0</v>
      </c>
      <c r="AQ64" s="88"/>
    </row>
    <row r="65" spans="3:43" x14ac:dyDescent="0.25">
      <c r="C65" s="82"/>
      <c r="AQ65" s="88"/>
    </row>
    <row r="66" spans="3:43" x14ac:dyDescent="0.25">
      <c r="C66" s="82"/>
      <c r="E66" s="96" t="s">
        <v>1046</v>
      </c>
      <c r="G66" s="108"/>
      <c r="I66" s="293" t="s">
        <v>359</v>
      </c>
      <c r="AQ66" s="88"/>
    </row>
    <row r="67" spans="3:43" x14ac:dyDescent="0.2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645101.52351777873</v>
      </c>
      <c r="K67" s="238"/>
      <c r="L67" s="272">
        <f>'Inputs by customer type'!L35</f>
        <v>4302.2725458270779</v>
      </c>
      <c r="M67" s="238"/>
      <c r="N67" s="272">
        <f>'Inputs by customer type'!N35</f>
        <v>23229.56627147234</v>
      </c>
      <c r="O67" s="272">
        <f>'Inputs by customer type'!O35</f>
        <v>10012.851732523844</v>
      </c>
      <c r="P67" s="272">
        <f>'Inputs by customer type'!P35</f>
        <v>13670.707267099029</v>
      </c>
      <c r="Q67" s="272">
        <f>'Inputs by customer type'!Q35</f>
        <v>6448.805011825264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25">
      <c r="E68" s="96"/>
      <c r="F68" s="109" t="s">
        <v>200</v>
      </c>
      <c r="G68" s="109" t="s">
        <v>120</v>
      </c>
      <c r="J68" s="472">
        <f>'Inputs by customer type'!J36</f>
        <v>2282979.7633559168</v>
      </c>
      <c r="K68" s="239"/>
      <c r="L68" s="472">
        <f>'Inputs by customer type'!L36</f>
        <v>22616.911393841136</v>
      </c>
      <c r="M68" s="239"/>
      <c r="N68" s="472">
        <f>'Inputs by customer type'!N36</f>
        <v>105605.32008342462</v>
      </c>
      <c r="O68" s="472">
        <f>'Inputs by customer type'!O36</f>
        <v>48392.295029037203</v>
      </c>
      <c r="P68" s="472">
        <f>'Inputs by customer type'!P36</f>
        <v>62662.967623764293</v>
      </c>
      <c r="Q68" s="472">
        <f>'Inputs by customer type'!Q36</f>
        <v>52561.370964961032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25">
      <c r="E69" s="96"/>
      <c r="F69" s="109" t="s">
        <v>201</v>
      </c>
      <c r="G69" s="109" t="s">
        <v>120</v>
      </c>
      <c r="J69" s="472">
        <f>'Inputs by customer type'!J37</f>
        <v>2148924.2598723704</v>
      </c>
      <c r="K69" s="239"/>
      <c r="L69" s="472">
        <f>'Inputs by customer type'!L37</f>
        <v>21902.846365427391</v>
      </c>
      <c r="M69" s="239"/>
      <c r="N69" s="472">
        <f>'Inputs by customer type'!N37</f>
        <v>90753.054151254735</v>
      </c>
      <c r="O69" s="472">
        <f>'Inputs by customer type'!O37</f>
        <v>42812.191930088127</v>
      </c>
      <c r="P69" s="472">
        <f>'Inputs by customer type'!P37</f>
        <v>68016.795019391779</v>
      </c>
      <c r="Q69" s="472">
        <f>'Inputs by customer type'!Q37</f>
        <v>88880.57358714845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25">
      <c r="E70" s="96"/>
      <c r="F70" s="109" t="s">
        <v>74</v>
      </c>
      <c r="G70" s="109" t="s">
        <v>74</v>
      </c>
      <c r="J70" s="472">
        <f>'Inputs by customer type'!J38</f>
        <v>1393317</v>
      </c>
      <c r="K70" s="239"/>
      <c r="L70" s="472">
        <f>'Inputs by customer type'!L38</f>
        <v>37920</v>
      </c>
      <c r="M70" s="239"/>
      <c r="N70" s="472">
        <f>'Inputs by customer type'!N38</f>
        <v>2873</v>
      </c>
      <c r="O70" s="472">
        <f>'Inputs by customer type'!O38</f>
        <v>1023</v>
      </c>
      <c r="P70" s="472">
        <f>'Inputs by customer type'!P38</f>
        <v>298</v>
      </c>
      <c r="Q70" s="472">
        <f>'Inputs by customer type'!Q38</f>
        <v>574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25">
      <c r="E71" s="96"/>
      <c r="F71" s="109" t="s">
        <v>202</v>
      </c>
      <c r="G71" s="109" t="s">
        <v>169</v>
      </c>
      <c r="J71" s="472">
        <f>'Inputs by customer type'!J39</f>
        <v>0</v>
      </c>
      <c r="K71" s="239"/>
      <c r="L71" s="472">
        <f>'Inputs by customer type'!L39</f>
        <v>0</v>
      </c>
      <c r="M71" s="239"/>
      <c r="N71" s="472">
        <f>'Inputs by customer type'!N39</f>
        <v>146223</v>
      </c>
      <c r="O71" s="472">
        <f>'Inputs by customer type'!O39</f>
        <v>53930</v>
      </c>
      <c r="P71" s="472">
        <f>'Inputs by customer type'!P39</f>
        <v>55246</v>
      </c>
      <c r="Q71" s="472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25">
      <c r="E72" s="96"/>
      <c r="F72" s="109" t="s">
        <v>203</v>
      </c>
      <c r="G72" s="109" t="s">
        <v>169</v>
      </c>
      <c r="J72" s="472">
        <f>'Inputs by customer type'!J40</f>
        <v>0</v>
      </c>
      <c r="K72" s="239"/>
      <c r="L72" s="472">
        <f>'Inputs by customer type'!L40</f>
        <v>0</v>
      </c>
      <c r="M72" s="239"/>
      <c r="N72" s="472">
        <f>'Inputs by customer type'!N40</f>
        <v>3303</v>
      </c>
      <c r="O72" s="472">
        <f>'Inputs by customer type'!O40</f>
        <v>3548</v>
      </c>
      <c r="P72" s="472">
        <f>'Inputs by customer type'!P40</f>
        <v>920</v>
      </c>
      <c r="Q72" s="472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2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20500.91</v>
      </c>
      <c r="O73" s="274">
        <f>'Inputs by customer type'!O41</f>
        <v>24847.258000000002</v>
      </c>
      <c r="P73" s="274">
        <f>'Inputs by customer type'!P41</f>
        <v>9223.2129999999997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25">
      <c r="AQ74" s="88"/>
    </row>
    <row r="75" spans="3:43" x14ac:dyDescent="0.25">
      <c r="C75" s="82"/>
      <c r="E75" s="96" t="s">
        <v>1047</v>
      </c>
      <c r="G75" s="108"/>
      <c r="I75" s="293" t="s">
        <v>359</v>
      </c>
      <c r="AQ75" s="88"/>
    </row>
    <row r="76" spans="3:43" x14ac:dyDescent="0.2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18965.918563437568</v>
      </c>
      <c r="M76" s="238"/>
      <c r="N76" s="272">
        <f>'Inputs by customer type'!N44</f>
        <v>33534.682752874403</v>
      </c>
      <c r="O76" s="272">
        <f>'Inputs by customer type'!O44</f>
        <v>17892.045644607373</v>
      </c>
      <c r="P76" s="272">
        <f>'Inputs by customer type'!P44</f>
        <v>49258.290425073465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25">
      <c r="E77" s="96"/>
      <c r="F77" s="109" t="s">
        <v>200</v>
      </c>
      <c r="G77" s="109" t="s">
        <v>120</v>
      </c>
      <c r="J77" s="239"/>
      <c r="K77" s="239"/>
      <c r="L77" s="472">
        <f>'Inputs by customer type'!L45</f>
        <v>99703.237087601126</v>
      </c>
      <c r="M77" s="239"/>
      <c r="N77" s="472">
        <f>'Inputs by customer type'!N45</f>
        <v>152454.02624510284</v>
      </c>
      <c r="O77" s="472">
        <f>'Inputs by customer type'!O45</f>
        <v>86472.582900076217</v>
      </c>
      <c r="P77" s="472">
        <f>'Inputs by customer type'!P45</f>
        <v>225787.19577566956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25">
      <c r="E78" s="96"/>
      <c r="F78" s="109" t="s">
        <v>201</v>
      </c>
      <c r="G78" s="109" t="s">
        <v>120</v>
      </c>
      <c r="J78" s="239"/>
      <c r="K78" s="239"/>
      <c r="L78" s="472">
        <f>'Inputs by customer type'!L46</f>
        <v>96555.38928539028</v>
      </c>
      <c r="M78" s="239"/>
      <c r="N78" s="472">
        <f>'Inputs by customer type'!N46</f>
        <v>131012.98768347013</v>
      </c>
      <c r="O78" s="472">
        <f>'Inputs by customer type'!O46</f>
        <v>76501.451596522384</v>
      </c>
      <c r="P78" s="472">
        <f>'Inputs by customer type'!P46</f>
        <v>245078.10586444187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25">
      <c r="E79" s="96"/>
      <c r="F79" s="109" t="s">
        <v>74</v>
      </c>
      <c r="G79" s="109" t="s">
        <v>74</v>
      </c>
      <c r="J79" s="239"/>
      <c r="K79" s="239"/>
      <c r="L79" s="472">
        <f>'Inputs by customer type'!L47</f>
        <v>30846</v>
      </c>
      <c r="M79" s="239"/>
      <c r="N79" s="472">
        <f>'Inputs by customer type'!N47</f>
        <v>1818</v>
      </c>
      <c r="O79" s="472">
        <f>'Inputs by customer type'!O47</f>
        <v>805</v>
      </c>
      <c r="P79" s="472">
        <f>'Inputs by customer type'!P47</f>
        <v>286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25">
      <c r="E80" s="96"/>
      <c r="F80" s="109" t="s">
        <v>202</v>
      </c>
      <c r="G80" s="109" t="s">
        <v>169</v>
      </c>
      <c r="J80" s="239"/>
      <c r="K80" s="239"/>
      <c r="L80" s="472">
        <f>'Inputs by customer type'!L48</f>
        <v>0</v>
      </c>
      <c r="M80" s="239"/>
      <c r="N80" s="472">
        <f>'Inputs by customer type'!N48</f>
        <v>211091</v>
      </c>
      <c r="O80" s="472">
        <f>'Inputs by customer type'!O48</f>
        <v>96368</v>
      </c>
      <c r="P80" s="472">
        <f>'Inputs by customer type'!P48</f>
        <v>199062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25">
      <c r="E81" s="96"/>
      <c r="F81" s="109" t="s">
        <v>203</v>
      </c>
      <c r="G81" s="109" t="s">
        <v>169</v>
      </c>
      <c r="J81" s="239"/>
      <c r="K81" s="239"/>
      <c r="L81" s="472">
        <f>'Inputs by customer type'!L49</f>
        <v>0</v>
      </c>
      <c r="M81" s="239"/>
      <c r="N81" s="472">
        <f>'Inputs by customer type'!N49</f>
        <v>4768</v>
      </c>
      <c r="O81" s="472">
        <f>'Inputs by customer type'!O49</f>
        <v>5122</v>
      </c>
      <c r="P81" s="472">
        <f>'Inputs by customer type'!P49</f>
        <v>3314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2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29595.538</v>
      </c>
      <c r="O82" s="274">
        <f>'Inputs by customer type'!O50</f>
        <v>35870.017</v>
      </c>
      <c r="P82" s="274">
        <f>'Inputs by customer type'!P50</f>
        <v>33233.078999999998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25">
      <c r="AQ83" s="88"/>
    </row>
    <row r="84" spans="3:43" x14ac:dyDescent="0.25">
      <c r="C84" s="82"/>
      <c r="E84" s="96" t="s">
        <v>1048</v>
      </c>
      <c r="G84" s="108"/>
      <c r="I84" s="293" t="s">
        <v>359</v>
      </c>
      <c r="AQ84" s="88"/>
    </row>
    <row r="85" spans="3:43" x14ac:dyDescent="0.2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24026.000360174683</v>
      </c>
      <c r="M85" s="238"/>
      <c r="N85" s="272">
        <f>'Inputs by customer type'!N53</f>
        <v>12892.306864482678</v>
      </c>
      <c r="O85" s="272">
        <f>'Inputs by customer type'!O53</f>
        <v>15402.127398549308</v>
      </c>
      <c r="P85" s="272">
        <f>'Inputs by customer type'!P53</f>
        <v>44233.949301125933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25">
      <c r="E86" s="96"/>
      <c r="F86" s="109" t="s">
        <v>200</v>
      </c>
      <c r="G86" s="109" t="s">
        <v>120</v>
      </c>
      <c r="J86" s="239"/>
      <c r="K86" s="239"/>
      <c r="L86" s="472">
        <f>'Inputs by customer type'!L54</f>
        <v>126303.92786749937</v>
      </c>
      <c r="M86" s="239"/>
      <c r="N86" s="472">
        <f>'Inputs by customer type'!N54</f>
        <v>58610.487045961156</v>
      </c>
      <c r="O86" s="472">
        <f>'Inputs by customer type'!O54</f>
        <v>74438.762607897253</v>
      </c>
      <c r="P86" s="472">
        <f>'Inputs by customer type'!P54</f>
        <v>202756.92243067667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25">
      <c r="E87" s="96"/>
      <c r="F87" s="109" t="s">
        <v>201</v>
      </c>
      <c r="G87" s="109" t="s">
        <v>120</v>
      </c>
      <c r="J87" s="239"/>
      <c r="K87" s="239"/>
      <c r="L87" s="472">
        <f>'Inputs by customer type'!L55</f>
        <v>122316.23846681342</v>
      </c>
      <c r="M87" s="239"/>
      <c r="N87" s="472">
        <f>'Inputs by customer type'!N55</f>
        <v>50367.54493534637</v>
      </c>
      <c r="O87" s="472">
        <f>'Inputs by customer type'!O55</f>
        <v>65855.248028540766</v>
      </c>
      <c r="P87" s="472">
        <f>'Inputs by customer type'!P55</f>
        <v>220080.16145248769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25">
      <c r="E88" s="96"/>
      <c r="F88" s="109" t="s">
        <v>74</v>
      </c>
      <c r="G88" s="109" t="s">
        <v>74</v>
      </c>
      <c r="J88" s="239"/>
      <c r="K88" s="239"/>
      <c r="L88" s="472">
        <f>'Inputs by customer type'!L56</f>
        <v>15709</v>
      </c>
      <c r="M88" s="239"/>
      <c r="N88" s="472">
        <f>'Inputs by customer type'!N56</f>
        <v>425</v>
      </c>
      <c r="O88" s="472">
        <f>'Inputs by customer type'!O56</f>
        <v>426</v>
      </c>
      <c r="P88" s="472">
        <f>'Inputs by customer type'!P56</f>
        <v>127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25">
      <c r="E89" s="96"/>
      <c r="F89" s="109" t="s">
        <v>202</v>
      </c>
      <c r="G89" s="109" t="s">
        <v>169</v>
      </c>
      <c r="J89" s="239"/>
      <c r="K89" s="239"/>
      <c r="L89" s="472">
        <f>'Inputs by customer type'!L57</f>
        <v>0</v>
      </c>
      <c r="M89" s="239"/>
      <c r="N89" s="472">
        <f>'Inputs by customer type'!N57</f>
        <v>81153</v>
      </c>
      <c r="O89" s="472">
        <f>'Inputs by customer type'!O57</f>
        <v>82957</v>
      </c>
      <c r="P89" s="472">
        <f>'Inputs by customer type'!P57</f>
        <v>178758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25">
      <c r="E90" s="96"/>
      <c r="F90" s="109" t="s">
        <v>203</v>
      </c>
      <c r="G90" s="109" t="s">
        <v>169</v>
      </c>
      <c r="J90" s="239"/>
      <c r="K90" s="239"/>
      <c r="L90" s="472">
        <f>'Inputs by customer type'!L58</f>
        <v>0</v>
      </c>
      <c r="M90" s="239"/>
      <c r="N90" s="472">
        <f>'Inputs by customer type'!N58</f>
        <v>1833</v>
      </c>
      <c r="O90" s="472">
        <f>'Inputs by customer type'!O58</f>
        <v>1969</v>
      </c>
      <c r="P90" s="472">
        <f>'Inputs by customer type'!P58</f>
        <v>2976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2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11377.915000000001</v>
      </c>
      <c r="O91" s="274">
        <f>'Inputs by customer type'!O59</f>
        <v>13790.119000000001</v>
      </c>
      <c r="P91" s="274">
        <f>'Inputs by customer type'!P59</f>
        <v>29843.308000000001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25">
      <c r="AQ92" s="88"/>
    </row>
    <row r="93" spans="3:43" x14ac:dyDescent="0.25">
      <c r="C93" s="82"/>
      <c r="E93" s="96" t="s">
        <v>1049</v>
      </c>
      <c r="G93" s="108"/>
      <c r="I93" s="293" t="s">
        <v>359</v>
      </c>
      <c r="AQ93" s="88"/>
    </row>
    <row r="94" spans="3:43" x14ac:dyDescent="0.2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82076.332418060643</v>
      </c>
      <c r="M94" s="238"/>
      <c r="N94" s="272">
        <f>'Inputs by customer type'!N62</f>
        <v>17231.444255448405</v>
      </c>
      <c r="O94" s="272">
        <f>'Inputs by customer type'!O62</f>
        <v>61930.185239457518</v>
      </c>
      <c r="P94" s="272">
        <f>'Inputs by customer type'!P62</f>
        <v>58874.529382200897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25">
      <c r="E95" s="96"/>
      <c r="F95" s="109" t="s">
        <v>200</v>
      </c>
      <c r="G95" s="109" t="s">
        <v>120</v>
      </c>
      <c r="J95" s="239"/>
      <c r="K95" s="239"/>
      <c r="L95" s="472">
        <f>'Inputs by customer type'!L63</f>
        <v>431472.69682652509</v>
      </c>
      <c r="M95" s="239"/>
      <c r="N95" s="472">
        <f>'Inputs by customer type'!N63</f>
        <v>78336.898968754555</v>
      </c>
      <c r="O95" s="472">
        <f>'Inputs by customer type'!O63</f>
        <v>299309.7146915748</v>
      </c>
      <c r="P95" s="472">
        <f>'Inputs by customer type'!P63</f>
        <v>269865.534859345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25">
      <c r="E96" s="96"/>
      <c r="F96" s="109" t="s">
        <v>201</v>
      </c>
      <c r="G96" s="109" t="s">
        <v>120</v>
      </c>
      <c r="J96" s="239"/>
      <c r="K96" s="239"/>
      <c r="L96" s="472">
        <f>'Inputs by customer type'!L64</f>
        <v>417850.16640430799</v>
      </c>
      <c r="M96" s="239"/>
      <c r="N96" s="472">
        <f>'Inputs by customer type'!N64</f>
        <v>67319.646666821689</v>
      </c>
      <c r="O96" s="472">
        <f>'Inputs by customer type'!O64</f>
        <v>264796.38843800803</v>
      </c>
      <c r="P96" s="472">
        <f>'Inputs by customer type'!P64</f>
        <v>292922.43031856517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25">
      <c r="E97" s="96"/>
      <c r="F97" s="109" t="s">
        <v>74</v>
      </c>
      <c r="G97" s="109" t="s">
        <v>74</v>
      </c>
      <c r="J97" s="239"/>
      <c r="K97" s="239"/>
      <c r="L97" s="472">
        <f>'Inputs by customer type'!L65</f>
        <v>16398</v>
      </c>
      <c r="M97" s="239"/>
      <c r="N97" s="472">
        <f>'Inputs by customer type'!N65</f>
        <v>283</v>
      </c>
      <c r="O97" s="472">
        <f>'Inputs by customer type'!O65</f>
        <v>821</v>
      </c>
      <c r="P97" s="472">
        <f>'Inputs by customer type'!P65</f>
        <v>90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25">
      <c r="E98" s="96"/>
      <c r="F98" s="109" t="s">
        <v>202</v>
      </c>
      <c r="G98" s="109" t="s">
        <v>169</v>
      </c>
      <c r="J98" s="239"/>
      <c r="K98" s="239"/>
      <c r="L98" s="472">
        <f>'Inputs by customer type'!L66</f>
        <v>0</v>
      </c>
      <c r="M98" s="239"/>
      <c r="N98" s="472">
        <f>'Inputs by customer type'!N66</f>
        <v>108467</v>
      </c>
      <c r="O98" s="472">
        <f>'Inputs by customer type'!O66</f>
        <v>333562</v>
      </c>
      <c r="P98" s="472">
        <f>'Inputs by customer type'!P66</f>
        <v>237923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25">
      <c r="E99" s="96"/>
      <c r="F99" s="109" t="s">
        <v>203</v>
      </c>
      <c r="G99" s="109" t="s">
        <v>169</v>
      </c>
      <c r="J99" s="239"/>
      <c r="K99" s="239"/>
      <c r="L99" s="472">
        <f>'Inputs by customer type'!L67</f>
        <v>0</v>
      </c>
      <c r="M99" s="239"/>
      <c r="N99" s="472">
        <f>'Inputs by customer type'!N67</f>
        <v>2450</v>
      </c>
      <c r="O99" s="472">
        <f>'Inputs by customer type'!O67</f>
        <v>2632</v>
      </c>
      <c r="P99" s="472">
        <f>'Inputs by customer type'!P67</f>
        <v>3961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2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15207.356</v>
      </c>
      <c r="O100" s="274">
        <f>'Inputs by customer type'!O68</f>
        <v>18431.431</v>
      </c>
      <c r="P100" s="274">
        <f>'Inputs by customer type'!P68</f>
        <v>39720.864000000001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25">
      <c r="AQ101" s="88"/>
    </row>
    <row r="102" spans="3:43" x14ac:dyDescent="0.25">
      <c r="C102" s="82"/>
      <c r="D102" s="82" t="s">
        <v>1075</v>
      </c>
      <c r="AQ102" s="88"/>
    </row>
    <row r="103" spans="3:43" x14ac:dyDescent="0.25">
      <c r="AQ103" s="88"/>
    </row>
    <row r="104" spans="3:43" x14ac:dyDescent="0.25">
      <c r="E104" s="96" t="s">
        <v>1051</v>
      </c>
      <c r="G104" s="108"/>
      <c r="I104" s="293" t="s">
        <v>359</v>
      </c>
      <c r="AQ104" s="88"/>
    </row>
    <row r="105" spans="3:43" x14ac:dyDescent="0.2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0</v>
      </c>
      <c r="L105" s="272">
        <f>'Inputs by customer type'!L73</f>
        <v>0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0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25">
      <c r="E106" s="96"/>
      <c r="F106" s="109" t="s">
        <v>200</v>
      </c>
      <c r="G106" s="109" t="s">
        <v>120</v>
      </c>
      <c r="J106" s="239"/>
      <c r="K106" s="472">
        <f>'Inputs by customer type'!K74</f>
        <v>0</v>
      </c>
      <c r="L106" s="472">
        <f>'Inputs by customer type'!L74</f>
        <v>0</v>
      </c>
      <c r="M106" s="472">
        <f>'Inputs by customer type'!M74</f>
        <v>0</v>
      </c>
      <c r="N106" s="472">
        <f>'Inputs by customer type'!N74</f>
        <v>0</v>
      </c>
      <c r="O106" s="472">
        <f>'Inputs by customer type'!O74</f>
        <v>0</v>
      </c>
      <c r="P106" s="472">
        <f>'Inputs by customer type'!P74</f>
        <v>0</v>
      </c>
      <c r="Q106" s="239"/>
      <c r="R106" s="472">
        <f>'Inputs by customer type'!R74</f>
        <v>0</v>
      </c>
      <c r="S106" s="239"/>
      <c r="T106" s="472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25">
      <c r="E107" s="96"/>
      <c r="F107" s="109" t="s">
        <v>201</v>
      </c>
      <c r="G107" s="109" t="s">
        <v>120</v>
      </c>
      <c r="J107" s="239"/>
      <c r="K107" s="472">
        <f>'Inputs by customer type'!K75</f>
        <v>0</v>
      </c>
      <c r="L107" s="472">
        <f>'Inputs by customer type'!L75</f>
        <v>0</v>
      </c>
      <c r="M107" s="472">
        <f>'Inputs by customer type'!M75</f>
        <v>0</v>
      </c>
      <c r="N107" s="472">
        <f>'Inputs by customer type'!N75</f>
        <v>0</v>
      </c>
      <c r="O107" s="472">
        <f>'Inputs by customer type'!O75</f>
        <v>0</v>
      </c>
      <c r="P107" s="472">
        <f>'Inputs by customer type'!P75</f>
        <v>0</v>
      </c>
      <c r="Q107" s="239"/>
      <c r="R107" s="472">
        <f>'Inputs by customer type'!R75</f>
        <v>0</v>
      </c>
      <c r="S107" s="239"/>
      <c r="T107" s="472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25">
      <c r="E108" s="96"/>
      <c r="F108" s="109" t="s">
        <v>74</v>
      </c>
      <c r="G108" s="109" t="s">
        <v>74</v>
      </c>
      <c r="J108" s="239"/>
      <c r="K108" s="472">
        <f>'Inputs by customer type'!K76</f>
        <v>0</v>
      </c>
      <c r="L108" s="472">
        <f>'Inputs by customer type'!L76</f>
        <v>0</v>
      </c>
      <c r="M108" s="472">
        <f>'Inputs by customer type'!M76</f>
        <v>0</v>
      </c>
      <c r="N108" s="472">
        <f>'Inputs by customer type'!N76</f>
        <v>0</v>
      </c>
      <c r="O108" s="472">
        <f>'Inputs by customer type'!O76</f>
        <v>0</v>
      </c>
      <c r="P108" s="472">
        <f>'Inputs by customer type'!P76</f>
        <v>0</v>
      </c>
      <c r="Q108" s="239"/>
      <c r="R108" s="472">
        <f>'Inputs by customer type'!R76</f>
        <v>0</v>
      </c>
      <c r="S108" s="239"/>
      <c r="T108" s="472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25">
      <c r="E109" s="96"/>
      <c r="F109" s="109" t="s">
        <v>202</v>
      </c>
      <c r="G109" s="109" t="s">
        <v>169</v>
      </c>
      <c r="J109" s="239"/>
      <c r="K109" s="472">
        <f>'Inputs by customer type'!K77</f>
        <v>0</v>
      </c>
      <c r="L109" s="472">
        <f>'Inputs by customer type'!L77</f>
        <v>0</v>
      </c>
      <c r="M109" s="472">
        <f>'Inputs by customer type'!M77</f>
        <v>0</v>
      </c>
      <c r="N109" s="472">
        <f>'Inputs by customer type'!N77</f>
        <v>0</v>
      </c>
      <c r="O109" s="472">
        <f>'Inputs by customer type'!O77</f>
        <v>0</v>
      </c>
      <c r="P109" s="472">
        <f>'Inputs by customer type'!P77</f>
        <v>0</v>
      </c>
      <c r="Q109" s="239"/>
      <c r="R109" s="472">
        <f>'Inputs by customer type'!R77</f>
        <v>0</v>
      </c>
      <c r="S109" s="239"/>
      <c r="T109" s="472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25">
      <c r="E110" s="96"/>
      <c r="F110" s="109" t="s">
        <v>203</v>
      </c>
      <c r="G110" s="109" t="s">
        <v>169</v>
      </c>
      <c r="J110" s="239"/>
      <c r="K110" s="472">
        <f>'Inputs by customer type'!K78</f>
        <v>0</v>
      </c>
      <c r="L110" s="472">
        <f>'Inputs by customer type'!L78</f>
        <v>0</v>
      </c>
      <c r="M110" s="472">
        <f>'Inputs by customer type'!M78</f>
        <v>0</v>
      </c>
      <c r="N110" s="472">
        <f>'Inputs by customer type'!N78</f>
        <v>0</v>
      </c>
      <c r="O110" s="472">
        <f>'Inputs by customer type'!O78</f>
        <v>0</v>
      </c>
      <c r="P110" s="472">
        <f>'Inputs by customer type'!P78</f>
        <v>0</v>
      </c>
      <c r="Q110" s="239"/>
      <c r="R110" s="472">
        <f>'Inputs by customer type'!R78</f>
        <v>0</v>
      </c>
      <c r="S110" s="239"/>
      <c r="T110" s="472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2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25">
      <c r="C112" s="82"/>
      <c r="AQ112" s="88"/>
    </row>
    <row r="113" spans="5:43" x14ac:dyDescent="0.25">
      <c r="E113" s="96" t="s">
        <v>1052</v>
      </c>
      <c r="G113" s="108"/>
      <c r="I113" s="293" t="s">
        <v>359</v>
      </c>
      <c r="AQ113" s="88"/>
    </row>
    <row r="114" spans="5:43" x14ac:dyDescent="0.2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8306.6021289228665</v>
      </c>
      <c r="K114" s="238"/>
      <c r="L114" s="272">
        <f>'Inputs by customer type'!L82</f>
        <v>7.2436713889719169</v>
      </c>
      <c r="M114" s="238"/>
      <c r="N114" s="272">
        <f>'Inputs by customer type'!N82</f>
        <v>34.413257999999992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4.0484626290277781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25">
      <c r="E115" s="96"/>
      <c r="F115" s="109" t="s">
        <v>200</v>
      </c>
      <c r="G115" s="109" t="s">
        <v>120</v>
      </c>
      <c r="J115" s="472">
        <f>'Inputs by customer type'!J83</f>
        <v>29533.933561876322</v>
      </c>
      <c r="K115" s="239"/>
      <c r="L115" s="472">
        <f>'Inputs by customer type'!L83</f>
        <v>38.060246396439958</v>
      </c>
      <c r="M115" s="239"/>
      <c r="N115" s="472">
        <f>'Inputs by customer type'!N83</f>
        <v>157.41759572889416</v>
      </c>
      <c r="O115" s="472">
        <f>'Inputs by customer type'!O83</f>
        <v>0</v>
      </c>
      <c r="P115" s="472">
        <f>'Inputs by customer type'!P83</f>
        <v>0</v>
      </c>
      <c r="Q115" s="472">
        <f>'Inputs by customer type'!Q83</f>
        <v>53.178547581699839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25">
      <c r="E116" s="96"/>
      <c r="F116" s="109" t="s">
        <v>201</v>
      </c>
      <c r="G116" s="109" t="s">
        <v>120</v>
      </c>
      <c r="J116" s="472">
        <f>'Inputs by customer type'!J84</f>
        <v>27775.710046862965</v>
      </c>
      <c r="K116" s="239"/>
      <c r="L116" s="472">
        <f>'Inputs by customer type'!L84</f>
        <v>36.921677671108576</v>
      </c>
      <c r="M116" s="239"/>
      <c r="N116" s="472">
        <f>'Inputs by customer type'!N84</f>
        <v>143.7306318763377</v>
      </c>
      <c r="O116" s="472">
        <f>'Inputs by customer type'!O84</f>
        <v>0</v>
      </c>
      <c r="P116" s="472">
        <f>'Inputs by customer type'!P84</f>
        <v>0</v>
      </c>
      <c r="Q116" s="472">
        <f>'Inputs by customer type'!Q84</f>
        <v>60.454134059674857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25">
      <c r="E117" s="96"/>
      <c r="F117" s="109" t="s">
        <v>74</v>
      </c>
      <c r="G117" s="109" t="s">
        <v>74</v>
      </c>
      <c r="J117" s="472">
        <f>'Inputs by customer type'!J85</f>
        <v>23151</v>
      </c>
      <c r="K117" s="239"/>
      <c r="L117" s="472">
        <f>'Inputs by customer type'!L85</f>
        <v>12</v>
      </c>
      <c r="M117" s="239"/>
      <c r="N117" s="472">
        <f>'Inputs by customer type'!N85</f>
        <v>5</v>
      </c>
      <c r="O117" s="472">
        <f>'Inputs by customer type'!O85</f>
        <v>0</v>
      </c>
      <c r="P117" s="472">
        <f>'Inputs by customer type'!P85</f>
        <v>0</v>
      </c>
      <c r="Q117" s="472">
        <f>'Inputs by customer type'!Q85</f>
        <v>14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25">
      <c r="E118" s="96"/>
      <c r="F118" s="109" t="s">
        <v>202</v>
      </c>
      <c r="G118" s="109" t="s">
        <v>169</v>
      </c>
      <c r="J118" s="472">
        <f>'Inputs by customer type'!J86</f>
        <v>0</v>
      </c>
      <c r="K118" s="239"/>
      <c r="L118" s="472">
        <f>'Inputs by customer type'!L86</f>
        <v>0</v>
      </c>
      <c r="M118" s="239"/>
      <c r="N118" s="472">
        <f>'Inputs by customer type'!N86</f>
        <v>264</v>
      </c>
      <c r="O118" s="472">
        <f>'Inputs by customer type'!O86</f>
        <v>0</v>
      </c>
      <c r="P118" s="472">
        <f>'Inputs by customer type'!P86</f>
        <v>0</v>
      </c>
      <c r="Q118" s="472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25">
      <c r="E119" s="96"/>
      <c r="F119" s="109" t="s">
        <v>203</v>
      </c>
      <c r="G119" s="109" t="s">
        <v>169</v>
      </c>
      <c r="J119" s="472">
        <f>'Inputs by customer type'!J87</f>
        <v>0</v>
      </c>
      <c r="K119" s="239"/>
      <c r="L119" s="472">
        <f>'Inputs by customer type'!L87</f>
        <v>0</v>
      </c>
      <c r="M119" s="239"/>
      <c r="N119" s="472">
        <f>'Inputs by customer type'!N87</f>
        <v>0</v>
      </c>
      <c r="O119" s="472">
        <f>'Inputs by customer type'!O87</f>
        <v>0</v>
      </c>
      <c r="P119" s="472">
        <f>'Inputs by customer type'!P87</f>
        <v>0</v>
      </c>
      <c r="Q119" s="472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2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12.011767862068968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25">
      <c r="AQ121" s="88"/>
    </row>
    <row r="122" spans="5:43" x14ac:dyDescent="0.25">
      <c r="E122" s="96" t="s">
        <v>1053</v>
      </c>
      <c r="G122" s="108"/>
      <c r="I122" s="293" t="s">
        <v>359</v>
      </c>
      <c r="AQ122" s="88"/>
    </row>
    <row r="123" spans="5:43" x14ac:dyDescent="0.2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31.932630999120803</v>
      </c>
      <c r="M123" s="238"/>
      <c r="N123" s="272">
        <f>'Inputs by customer type'!N91</f>
        <v>356.25543224999996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25">
      <c r="E124" s="96"/>
      <c r="F124" s="109" t="s">
        <v>200</v>
      </c>
      <c r="G124" s="109" t="s">
        <v>120</v>
      </c>
      <c r="J124" s="239"/>
      <c r="K124" s="239"/>
      <c r="L124" s="472">
        <f>'Inputs by customer type'!L92</f>
        <v>167.78284638414956</v>
      </c>
      <c r="M124" s="239"/>
      <c r="N124" s="472">
        <f>'Inputs by customer type'!N92</f>
        <v>1629.6298830570747</v>
      </c>
      <c r="O124" s="472">
        <f>'Inputs by customer type'!O92</f>
        <v>0</v>
      </c>
      <c r="P124" s="472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25">
      <c r="E125" s="96"/>
      <c r="F125" s="109" t="s">
        <v>201</v>
      </c>
      <c r="G125" s="109" t="s">
        <v>120</v>
      </c>
      <c r="J125" s="239"/>
      <c r="K125" s="239"/>
      <c r="L125" s="472">
        <f>'Inputs by customer type'!L93</f>
        <v>162.76363816488958</v>
      </c>
      <c r="M125" s="239"/>
      <c r="N125" s="472">
        <f>'Inputs by customer type'!N93</f>
        <v>1487.9387004470868</v>
      </c>
      <c r="O125" s="472">
        <f>'Inputs by customer type'!O93</f>
        <v>0</v>
      </c>
      <c r="P125" s="472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25">
      <c r="E126" s="96"/>
      <c r="F126" s="109" t="s">
        <v>74</v>
      </c>
      <c r="G126" s="109" t="s">
        <v>74</v>
      </c>
      <c r="J126" s="239"/>
      <c r="K126" s="239"/>
      <c r="L126" s="472">
        <f>'Inputs by customer type'!L94</f>
        <v>55</v>
      </c>
      <c r="M126" s="239"/>
      <c r="N126" s="472">
        <f>'Inputs by customer type'!N94</f>
        <v>23</v>
      </c>
      <c r="O126" s="472">
        <f>'Inputs by customer type'!O94</f>
        <v>0</v>
      </c>
      <c r="P126" s="472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25">
      <c r="E127" s="96"/>
      <c r="F127" s="109" t="s">
        <v>202</v>
      </c>
      <c r="G127" s="109" t="s">
        <v>169</v>
      </c>
      <c r="J127" s="239"/>
      <c r="K127" s="239"/>
      <c r="L127" s="472">
        <f>'Inputs by customer type'!L95</f>
        <v>0</v>
      </c>
      <c r="M127" s="239"/>
      <c r="N127" s="472">
        <f>'Inputs by customer type'!N95</f>
        <v>2733</v>
      </c>
      <c r="O127" s="472">
        <f>'Inputs by customer type'!O95</f>
        <v>0</v>
      </c>
      <c r="P127" s="472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25">
      <c r="E128" s="96"/>
      <c r="F128" s="109" t="s">
        <v>203</v>
      </c>
      <c r="G128" s="109" t="s">
        <v>169</v>
      </c>
      <c r="J128" s="239"/>
      <c r="K128" s="239"/>
      <c r="L128" s="472">
        <f>'Inputs by customer type'!L96</f>
        <v>0</v>
      </c>
      <c r="M128" s="239"/>
      <c r="N128" s="472">
        <f>'Inputs by customer type'!N96</f>
        <v>0</v>
      </c>
      <c r="O128" s="472">
        <f>'Inputs by customer type'!O96</f>
        <v>0</v>
      </c>
      <c r="P128" s="472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2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124.3490968448276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25">
      <c r="AQ130" s="88"/>
    </row>
    <row r="131" spans="5:43" x14ac:dyDescent="0.25">
      <c r="E131" s="96" t="s">
        <v>1054</v>
      </c>
      <c r="G131" s="108"/>
      <c r="I131" s="293" t="s">
        <v>359</v>
      </c>
      <c r="AQ131" s="88"/>
    </row>
    <row r="132" spans="5:43" x14ac:dyDescent="0.2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40.452214392886461</v>
      </c>
      <c r="M132" s="238"/>
      <c r="N132" s="272">
        <f>'Inputs by customer type'!N100</f>
        <v>205.69742849999994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25">
      <c r="E133" s="96"/>
      <c r="F133" s="109" t="s">
        <v>200</v>
      </c>
      <c r="G133" s="109" t="s">
        <v>120</v>
      </c>
      <c r="J133" s="239"/>
      <c r="K133" s="239"/>
      <c r="L133" s="472">
        <f>'Inputs by customer type'!L101</f>
        <v>212.54708619428266</v>
      </c>
      <c r="M133" s="239"/>
      <c r="N133" s="472">
        <f>'Inputs by customer type'!N101</f>
        <v>940.92790174316281</v>
      </c>
      <c r="O133" s="472">
        <f>'Inputs by customer type'!O101</f>
        <v>0</v>
      </c>
      <c r="P133" s="472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25">
      <c r="E134" s="96"/>
      <c r="F134" s="109" t="s">
        <v>201</v>
      </c>
      <c r="G134" s="109" t="s">
        <v>120</v>
      </c>
      <c r="J134" s="239"/>
      <c r="K134" s="239"/>
      <c r="L134" s="472">
        <f>'Inputs by customer type'!L102</f>
        <v>206.18875991125159</v>
      </c>
      <c r="M134" s="239"/>
      <c r="N134" s="472">
        <f>'Inputs by customer type'!N102</f>
        <v>859.11718598810933</v>
      </c>
      <c r="O134" s="472">
        <f>'Inputs by customer type'!O102</f>
        <v>0</v>
      </c>
      <c r="P134" s="472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25">
      <c r="E135" s="96"/>
      <c r="F135" s="109" t="s">
        <v>74</v>
      </c>
      <c r="G135" s="109" t="s">
        <v>74</v>
      </c>
      <c r="J135" s="239"/>
      <c r="K135" s="239"/>
      <c r="L135" s="472">
        <f>'Inputs by customer type'!L103</f>
        <v>69</v>
      </c>
      <c r="M135" s="239"/>
      <c r="N135" s="472">
        <f>'Inputs by customer type'!N103</f>
        <v>8</v>
      </c>
      <c r="O135" s="472">
        <f>'Inputs by customer type'!O103</f>
        <v>0</v>
      </c>
      <c r="P135" s="472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25">
      <c r="E136" s="96"/>
      <c r="F136" s="109" t="s">
        <v>202</v>
      </c>
      <c r="G136" s="109" t="s">
        <v>169</v>
      </c>
      <c r="J136" s="239"/>
      <c r="K136" s="239"/>
      <c r="L136" s="472">
        <f>'Inputs by customer type'!L104</f>
        <v>0</v>
      </c>
      <c r="M136" s="239"/>
      <c r="N136" s="472">
        <f>'Inputs by customer type'!N104</f>
        <v>1578</v>
      </c>
      <c r="O136" s="472">
        <f>'Inputs by customer type'!O104</f>
        <v>0</v>
      </c>
      <c r="P136" s="472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25">
      <c r="E137" s="96"/>
      <c r="F137" s="109" t="s">
        <v>203</v>
      </c>
      <c r="G137" s="109" t="s">
        <v>169</v>
      </c>
      <c r="J137" s="239"/>
      <c r="K137" s="239"/>
      <c r="L137" s="472">
        <f>'Inputs by customer type'!L105</f>
        <v>0</v>
      </c>
      <c r="M137" s="239"/>
      <c r="N137" s="472">
        <f>'Inputs by customer type'!N105</f>
        <v>0</v>
      </c>
      <c r="O137" s="472">
        <f>'Inputs by customer type'!O105</f>
        <v>0</v>
      </c>
      <c r="P137" s="472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2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71.797612448275856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25">
      <c r="AQ139" s="88"/>
    </row>
    <row r="140" spans="5:43" x14ac:dyDescent="0.25">
      <c r="E140" s="96" t="s">
        <v>1055</v>
      </c>
      <c r="G140" s="108"/>
      <c r="I140" s="293" t="s">
        <v>359</v>
      </c>
      <c r="AQ140" s="88"/>
    </row>
    <row r="141" spans="5:43" x14ac:dyDescent="0.2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138.1906828346134</v>
      </c>
      <c r="M141" s="238"/>
      <c r="N141" s="272">
        <f>'Inputs by customer type'!N109</f>
        <v>159.68273124999999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25">
      <c r="E142" s="96"/>
      <c r="F142" s="109" t="s">
        <v>200</v>
      </c>
      <c r="G142" s="109" t="s">
        <v>120</v>
      </c>
      <c r="J142" s="239"/>
      <c r="K142" s="239"/>
      <c r="L142" s="472">
        <f>'Inputs by customer type'!L110</f>
        <v>726.09194370482794</v>
      </c>
      <c r="M142" s="239"/>
      <c r="N142" s="472">
        <f>'Inputs by customer type'!N110</f>
        <v>730.44149533293705</v>
      </c>
      <c r="O142" s="472">
        <f>'Inputs by customer type'!O110</f>
        <v>0</v>
      </c>
      <c r="P142" s="472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25">
      <c r="E143" s="96"/>
      <c r="F143" s="109" t="s">
        <v>201</v>
      </c>
      <c r="G143" s="109" t="s">
        <v>120</v>
      </c>
      <c r="J143" s="239"/>
      <c r="K143" s="239"/>
      <c r="L143" s="472">
        <f>'Inputs by customer type'!L111</f>
        <v>704.37097085020366</v>
      </c>
      <c r="M143" s="239"/>
      <c r="N143" s="472">
        <f>'Inputs by customer type'!N111</f>
        <v>666.9319092746731</v>
      </c>
      <c r="O143" s="472">
        <f>'Inputs by customer type'!O111</f>
        <v>0</v>
      </c>
      <c r="P143" s="472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25">
      <c r="E144" s="96"/>
      <c r="F144" s="109" t="s">
        <v>74</v>
      </c>
      <c r="G144" s="109" t="s">
        <v>74</v>
      </c>
      <c r="J144" s="239"/>
      <c r="K144" s="239"/>
      <c r="L144" s="472">
        <f>'Inputs by customer type'!L112</f>
        <v>237</v>
      </c>
      <c r="M144" s="239"/>
      <c r="N144" s="472">
        <f>'Inputs by customer type'!N112</f>
        <v>4</v>
      </c>
      <c r="O144" s="472">
        <f>'Inputs by customer type'!O112</f>
        <v>0</v>
      </c>
      <c r="P144" s="472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25">
      <c r="E145" s="96"/>
      <c r="F145" s="109" t="s">
        <v>202</v>
      </c>
      <c r="G145" s="109" t="s">
        <v>169</v>
      </c>
      <c r="J145" s="239"/>
      <c r="K145" s="239"/>
      <c r="L145" s="472">
        <f>'Inputs by customer type'!L113</f>
        <v>0</v>
      </c>
      <c r="M145" s="239"/>
      <c r="N145" s="472">
        <f>'Inputs by customer type'!N113</f>
        <v>1225</v>
      </c>
      <c r="O145" s="472">
        <f>'Inputs by customer type'!O113</f>
        <v>0</v>
      </c>
      <c r="P145" s="472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25">
      <c r="E146" s="96"/>
      <c r="F146" s="109" t="s">
        <v>203</v>
      </c>
      <c r="G146" s="109" t="s">
        <v>169</v>
      </c>
      <c r="J146" s="239"/>
      <c r="K146" s="239"/>
      <c r="L146" s="472">
        <f>'Inputs by customer type'!L114</f>
        <v>0</v>
      </c>
      <c r="M146" s="239"/>
      <c r="N146" s="472">
        <f>'Inputs by customer type'!N114</f>
        <v>0</v>
      </c>
      <c r="O146" s="472">
        <f>'Inputs by customer type'!O114</f>
        <v>0</v>
      </c>
      <c r="P146" s="472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2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55.736422844827587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25">
      <c r="AQ148" s="88"/>
    </row>
    <row r="149" spans="3:43" x14ac:dyDescent="0.25">
      <c r="C149" s="82"/>
      <c r="D149" s="82" t="s">
        <v>1076</v>
      </c>
      <c r="AQ149" s="88"/>
    </row>
    <row r="150" spans="3:43" x14ac:dyDescent="0.25">
      <c r="AQ150" s="88"/>
    </row>
    <row r="151" spans="3:43" x14ac:dyDescent="0.25">
      <c r="E151" s="96" t="s">
        <v>1057</v>
      </c>
      <c r="G151" s="108"/>
      <c r="I151" s="293" t="s">
        <v>359</v>
      </c>
      <c r="AQ151" s="88"/>
    </row>
    <row r="152" spans="3:43" x14ac:dyDescent="0.2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0</v>
      </c>
      <c r="L152" s="272">
        <f>'Inputs by customer type'!L120</f>
        <v>0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0</v>
      </c>
      <c r="S152" s="272">
        <f>'Inputs by customer type'!S120</f>
        <v>0</v>
      </c>
      <c r="T152" s="272">
        <f>'Inputs by customer type'!T120</f>
        <v>50.298000000000002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25">
      <c r="E153" s="96"/>
      <c r="F153" s="109" t="s">
        <v>200</v>
      </c>
      <c r="G153" s="109" t="s">
        <v>120</v>
      </c>
      <c r="J153" s="239"/>
      <c r="K153" s="472">
        <f>'Inputs by customer type'!K121</f>
        <v>0</v>
      </c>
      <c r="L153" s="472">
        <f>'Inputs by customer type'!L121</f>
        <v>0</v>
      </c>
      <c r="M153" s="472">
        <f>'Inputs by customer type'!M121</f>
        <v>0</v>
      </c>
      <c r="N153" s="472">
        <f>'Inputs by customer type'!N121</f>
        <v>0</v>
      </c>
      <c r="O153" s="472">
        <f>'Inputs by customer type'!O121</f>
        <v>0</v>
      </c>
      <c r="P153" s="472">
        <f>'Inputs by customer type'!P121</f>
        <v>0</v>
      </c>
      <c r="Q153" s="239"/>
      <c r="R153" s="472">
        <f>'Inputs by customer type'!R121</f>
        <v>0</v>
      </c>
      <c r="S153" s="472">
        <f>'Inputs by customer type'!S121</f>
        <v>0</v>
      </c>
      <c r="T153" s="472">
        <f>'Inputs by customer type'!T121</f>
        <v>0</v>
      </c>
      <c r="U153" s="472">
        <f>'Inputs by customer type'!U121</f>
        <v>0</v>
      </c>
      <c r="V153" s="472">
        <f>'Inputs by customer type'!V121</f>
        <v>0</v>
      </c>
      <c r="W153" s="472">
        <f>'Inputs by customer type'!W121</f>
        <v>0</v>
      </c>
      <c r="X153" s="472">
        <f>'Inputs by customer type'!X121</f>
        <v>0</v>
      </c>
      <c r="Y153" s="472">
        <f>'Inputs by customer type'!Y121</f>
        <v>0</v>
      </c>
      <c r="AQ153" s="88"/>
    </row>
    <row r="154" spans="3:43" x14ac:dyDescent="0.25">
      <c r="E154" s="96"/>
      <c r="F154" s="109" t="s">
        <v>201</v>
      </c>
      <c r="G154" s="109" t="s">
        <v>120</v>
      </c>
      <c r="J154" s="239"/>
      <c r="K154" s="472">
        <f>'Inputs by customer type'!K122</f>
        <v>0</v>
      </c>
      <c r="L154" s="472">
        <f>'Inputs by customer type'!L122</f>
        <v>0</v>
      </c>
      <c r="M154" s="472">
        <f>'Inputs by customer type'!M122</f>
        <v>0</v>
      </c>
      <c r="N154" s="472">
        <f>'Inputs by customer type'!N122</f>
        <v>0</v>
      </c>
      <c r="O154" s="472">
        <f>'Inputs by customer type'!O122</f>
        <v>0</v>
      </c>
      <c r="P154" s="472">
        <f>'Inputs by customer type'!P122</f>
        <v>0</v>
      </c>
      <c r="Q154" s="239"/>
      <c r="R154" s="472">
        <f>'Inputs by customer type'!R122</f>
        <v>0</v>
      </c>
      <c r="S154" s="472">
        <f>'Inputs by customer type'!S122</f>
        <v>0</v>
      </c>
      <c r="T154" s="472">
        <f>'Inputs by customer type'!T122</f>
        <v>0</v>
      </c>
      <c r="U154" s="472">
        <f>'Inputs by customer type'!U122</f>
        <v>0</v>
      </c>
      <c r="V154" s="472">
        <f>'Inputs by customer type'!V122</f>
        <v>0</v>
      </c>
      <c r="W154" s="472">
        <f>'Inputs by customer type'!W122</f>
        <v>0</v>
      </c>
      <c r="X154" s="472">
        <f>'Inputs by customer type'!X122</f>
        <v>0</v>
      </c>
      <c r="Y154" s="472">
        <f>'Inputs by customer type'!Y122</f>
        <v>0</v>
      </c>
      <c r="AQ154" s="88"/>
    </row>
    <row r="155" spans="3:43" x14ac:dyDescent="0.25">
      <c r="E155" s="96"/>
      <c r="F155" s="109" t="s">
        <v>74</v>
      </c>
      <c r="G155" s="109" t="s">
        <v>74</v>
      </c>
      <c r="J155" s="239"/>
      <c r="K155" s="472">
        <f>'Inputs by customer type'!K123</f>
        <v>0</v>
      </c>
      <c r="L155" s="472">
        <f>'Inputs by customer type'!L123</f>
        <v>0</v>
      </c>
      <c r="M155" s="472">
        <f>'Inputs by customer type'!M123</f>
        <v>0</v>
      </c>
      <c r="N155" s="472">
        <f>'Inputs by customer type'!N123</f>
        <v>0</v>
      </c>
      <c r="O155" s="472">
        <f>'Inputs by customer type'!O123</f>
        <v>0</v>
      </c>
      <c r="P155" s="472">
        <f>'Inputs by customer type'!P123</f>
        <v>0</v>
      </c>
      <c r="Q155" s="239"/>
      <c r="R155" s="472">
        <f>'Inputs by customer type'!R123</f>
        <v>0</v>
      </c>
      <c r="S155" s="472">
        <f>'Inputs by customer type'!S123</f>
        <v>0</v>
      </c>
      <c r="T155" s="472">
        <f>'Inputs by customer type'!T123</f>
        <v>1</v>
      </c>
      <c r="U155" s="472">
        <f>'Inputs by customer type'!U123</f>
        <v>0</v>
      </c>
      <c r="V155" s="472">
        <f>'Inputs by customer type'!V123</f>
        <v>0</v>
      </c>
      <c r="W155" s="472">
        <f>'Inputs by customer type'!W123</f>
        <v>0</v>
      </c>
      <c r="X155" s="472">
        <f>'Inputs by customer type'!X123</f>
        <v>0</v>
      </c>
      <c r="Y155" s="472">
        <f>'Inputs by customer type'!Y123</f>
        <v>0</v>
      </c>
      <c r="AQ155" s="88"/>
    </row>
    <row r="156" spans="3:43" x14ac:dyDescent="0.25">
      <c r="E156" s="96"/>
      <c r="F156" s="109" t="s">
        <v>202</v>
      </c>
      <c r="G156" s="109" t="s">
        <v>169</v>
      </c>
      <c r="J156" s="239"/>
      <c r="K156" s="472">
        <f>'Inputs by customer type'!K124</f>
        <v>0</v>
      </c>
      <c r="L156" s="472">
        <f>'Inputs by customer type'!L124</f>
        <v>0</v>
      </c>
      <c r="M156" s="472">
        <f>'Inputs by customer type'!M124</f>
        <v>0</v>
      </c>
      <c r="N156" s="472">
        <f>'Inputs by customer type'!N124</f>
        <v>0</v>
      </c>
      <c r="O156" s="472">
        <f>'Inputs by customer type'!O124</f>
        <v>0</v>
      </c>
      <c r="P156" s="472">
        <f>'Inputs by customer type'!P124</f>
        <v>0</v>
      </c>
      <c r="Q156" s="239"/>
      <c r="R156" s="472">
        <f>'Inputs by customer type'!R124</f>
        <v>0</v>
      </c>
      <c r="S156" s="472">
        <f>'Inputs by customer type'!S124</f>
        <v>0</v>
      </c>
      <c r="T156" s="472">
        <f>'Inputs by customer type'!T124</f>
        <v>0</v>
      </c>
      <c r="U156" s="472">
        <f>'Inputs by customer type'!U124</f>
        <v>0</v>
      </c>
      <c r="V156" s="472">
        <f>'Inputs by customer type'!V124</f>
        <v>0</v>
      </c>
      <c r="W156" s="472">
        <f>'Inputs by customer type'!W124</f>
        <v>0</v>
      </c>
      <c r="X156" s="472">
        <f>'Inputs by customer type'!X124</f>
        <v>0</v>
      </c>
      <c r="Y156" s="472">
        <f>'Inputs by customer type'!Y124</f>
        <v>0</v>
      </c>
      <c r="AQ156" s="88"/>
    </row>
    <row r="157" spans="3:43" x14ac:dyDescent="0.25">
      <c r="E157" s="96"/>
      <c r="F157" s="109" t="s">
        <v>203</v>
      </c>
      <c r="G157" s="109" t="s">
        <v>169</v>
      </c>
      <c r="J157" s="239"/>
      <c r="K157" s="472">
        <f>'Inputs by customer type'!K125</f>
        <v>0</v>
      </c>
      <c r="L157" s="472">
        <f>'Inputs by customer type'!L125</f>
        <v>0</v>
      </c>
      <c r="M157" s="472">
        <f>'Inputs by customer type'!M125</f>
        <v>0</v>
      </c>
      <c r="N157" s="472">
        <f>'Inputs by customer type'!N125</f>
        <v>0</v>
      </c>
      <c r="O157" s="472">
        <f>'Inputs by customer type'!O125</f>
        <v>0</v>
      </c>
      <c r="P157" s="472">
        <f>'Inputs by customer type'!P125</f>
        <v>0</v>
      </c>
      <c r="Q157" s="239"/>
      <c r="R157" s="472">
        <f>'Inputs by customer type'!R125</f>
        <v>0</v>
      </c>
      <c r="S157" s="472">
        <f>'Inputs by customer type'!S125</f>
        <v>0</v>
      </c>
      <c r="T157" s="472">
        <f>'Inputs by customer type'!T125</f>
        <v>0</v>
      </c>
      <c r="U157" s="472">
        <f>'Inputs by customer type'!U125</f>
        <v>0</v>
      </c>
      <c r="V157" s="472">
        <f>'Inputs by customer type'!V125</f>
        <v>0</v>
      </c>
      <c r="W157" s="472">
        <f>'Inputs by customer type'!W125</f>
        <v>0</v>
      </c>
      <c r="X157" s="472">
        <f>'Inputs by customer type'!X125</f>
        <v>0</v>
      </c>
      <c r="Y157" s="472">
        <f>'Inputs by customer type'!Y125</f>
        <v>0</v>
      </c>
      <c r="AQ157" s="88"/>
    </row>
    <row r="158" spans="3:43" x14ac:dyDescent="0.2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36.967100000000002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25">
      <c r="AQ159" s="88"/>
    </row>
    <row r="160" spans="3:43" x14ac:dyDescent="0.25">
      <c r="E160" s="96" t="s">
        <v>1058</v>
      </c>
      <c r="G160" s="108"/>
      <c r="I160" s="293" t="s">
        <v>359</v>
      </c>
      <c r="AQ160" s="88"/>
    </row>
    <row r="161" spans="5:43" x14ac:dyDescent="0.2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11575.563194024691</v>
      </c>
      <c r="K161" s="238"/>
      <c r="L161" s="272">
        <f>'Inputs by customer type'!L129</f>
        <v>28.385778382189841</v>
      </c>
      <c r="M161" s="238"/>
      <c r="N161" s="272">
        <f>'Inputs by customer type'!N129</f>
        <v>4024.2458965719497</v>
      </c>
      <c r="O161" s="272">
        <f>'Inputs by customer type'!O129</f>
        <v>102.09339619095061</v>
      </c>
      <c r="P161" s="272">
        <f>'Inputs by customer type'!P129</f>
        <v>160.39226894387983</v>
      </c>
      <c r="Q161" s="272">
        <f>'Inputs by customer type'!Q129</f>
        <v>8.6509294967914947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25">
      <c r="E162" s="96"/>
      <c r="F162" s="109" t="s">
        <v>200</v>
      </c>
      <c r="G162" s="109" t="s">
        <v>120</v>
      </c>
      <c r="J162" s="472">
        <f>'Inputs by customer type'!J130</f>
        <v>41142.372442524007</v>
      </c>
      <c r="K162" s="239"/>
      <c r="L162" s="472">
        <f>'Inputs by customer type'!L130</f>
        <v>149.09742335497364</v>
      </c>
      <c r="M162" s="239"/>
      <c r="N162" s="472">
        <f>'Inputs by customer type'!N130</f>
        <v>17388.083455144802</v>
      </c>
      <c r="O162" s="472">
        <f>'Inputs by customer type'!O130</f>
        <v>477.06649957759964</v>
      </c>
      <c r="P162" s="472">
        <f>'Inputs by customer type'!P130</f>
        <v>730.94570099748273</v>
      </c>
      <c r="Q162" s="472">
        <f>'Inputs by customer type'!Q130</f>
        <v>108.36283197839724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25">
      <c r="E163" s="96"/>
      <c r="F163" s="109" t="s">
        <v>201</v>
      </c>
      <c r="G163" s="109" t="s">
        <v>120</v>
      </c>
      <c r="J163" s="472">
        <f>'Inputs by customer type'!J131</f>
        <v>38695.794593341067</v>
      </c>
      <c r="K163" s="239"/>
      <c r="L163" s="472">
        <f>'Inputs by customer type'!L131</f>
        <v>144.76753584314579</v>
      </c>
      <c r="M163" s="239"/>
      <c r="N163" s="472">
        <f>'Inputs by customer type'!N131</f>
        <v>16116.968384823227</v>
      </c>
      <c r="O163" s="472">
        <f>'Inputs by customer type'!O131</f>
        <v>460.45030881905086</v>
      </c>
      <c r="P163" s="472">
        <f>'Inputs by customer type'!P131</f>
        <v>755.43069781871247</v>
      </c>
      <c r="Q163" s="472">
        <f>'Inputs by customer type'!Q131</f>
        <v>123.18908683710534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25">
      <c r="E164" s="96"/>
      <c r="F164" s="109" t="s">
        <v>74</v>
      </c>
      <c r="G164" s="109" t="s">
        <v>74</v>
      </c>
      <c r="J164" s="472">
        <f>'Inputs by customer type'!J132</f>
        <v>31794</v>
      </c>
      <c r="K164" s="239"/>
      <c r="L164" s="472">
        <f>'Inputs by customer type'!L132</f>
        <v>22</v>
      </c>
      <c r="M164" s="239"/>
      <c r="N164" s="472">
        <f>'Inputs by customer type'!N132</f>
        <v>223</v>
      </c>
      <c r="O164" s="472">
        <f>'Inputs by customer type'!O132</f>
        <v>4</v>
      </c>
      <c r="P164" s="472">
        <f>'Inputs by customer type'!P132</f>
        <v>4</v>
      </c>
      <c r="Q164" s="472">
        <f>'Inputs by customer type'!Q132</f>
        <v>59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25">
      <c r="E165" s="96"/>
      <c r="F165" s="109" t="s">
        <v>202</v>
      </c>
      <c r="G165" s="109" t="s">
        <v>169</v>
      </c>
      <c r="J165" s="472">
        <f>'Inputs by customer type'!J133</f>
        <v>0</v>
      </c>
      <c r="K165" s="239"/>
      <c r="L165" s="472">
        <f>'Inputs by customer type'!L133</f>
        <v>0</v>
      </c>
      <c r="M165" s="239"/>
      <c r="N165" s="472">
        <f>'Inputs by customer type'!N133</f>
        <v>37677</v>
      </c>
      <c r="O165" s="472">
        <f>'Inputs by customer type'!O133</f>
        <v>972</v>
      </c>
      <c r="P165" s="472">
        <f>'Inputs by customer type'!P133</f>
        <v>1084</v>
      </c>
      <c r="Q165" s="472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25">
      <c r="E166" s="96"/>
      <c r="F166" s="109" t="s">
        <v>203</v>
      </c>
      <c r="G166" s="109" t="s">
        <v>169</v>
      </c>
      <c r="J166" s="472">
        <f>'Inputs by customer type'!J134</f>
        <v>0</v>
      </c>
      <c r="K166" s="239"/>
      <c r="L166" s="472">
        <f>'Inputs by customer type'!L134</f>
        <v>0</v>
      </c>
      <c r="M166" s="239"/>
      <c r="N166" s="472">
        <f>'Inputs by customer type'!N134</f>
        <v>31.817881709863652</v>
      </c>
      <c r="O166" s="472">
        <f>'Inputs by customer type'!O134</f>
        <v>0</v>
      </c>
      <c r="P166" s="472">
        <f>'Inputs by customer type'!P134</f>
        <v>0.61091356991796231</v>
      </c>
      <c r="Q166" s="472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2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2579.3713654173321</v>
      </c>
      <c r="O167" s="274">
        <f>'Inputs by customer type'!O135</f>
        <v>257.47357870280734</v>
      </c>
      <c r="P167" s="274">
        <f>'Inputs by customer type'!P135</f>
        <v>25.730190699295822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25">
      <c r="AQ168" s="88"/>
    </row>
    <row r="169" spans="5:43" x14ac:dyDescent="0.25">
      <c r="E169" s="96" t="s">
        <v>1059</v>
      </c>
      <c r="G169" s="108"/>
      <c r="I169" s="293" t="s">
        <v>359</v>
      </c>
      <c r="AQ169" s="88"/>
    </row>
    <row r="170" spans="5:43" x14ac:dyDescent="0.2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125.13441568888412</v>
      </c>
      <c r="M170" s="238"/>
      <c r="N170" s="272">
        <f>'Inputs by customer type'!N138</f>
        <v>2430.0134934551165</v>
      </c>
      <c r="O170" s="272">
        <f>'Inputs by customer type'!O138</f>
        <v>1150.8614630290597</v>
      </c>
      <c r="P170" s="272">
        <f>'Inputs by customer type'!P138</f>
        <v>733.7502414139301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25">
      <c r="E171" s="96"/>
      <c r="F171" s="109" t="s">
        <v>200</v>
      </c>
      <c r="G171" s="109" t="s">
        <v>120</v>
      </c>
      <c r="J171" s="239"/>
      <c r="K171" s="239"/>
      <c r="L171" s="472">
        <f>'Inputs by customer type'!L139</f>
        <v>657.27346634781577</v>
      </c>
      <c r="M171" s="239"/>
      <c r="N171" s="472">
        <f>'Inputs by customer type'!N139</f>
        <v>10499.675841707125</v>
      </c>
      <c r="O171" s="472">
        <f>'Inputs by customer type'!O139</f>
        <v>5377.7959216787649</v>
      </c>
      <c r="P171" s="472">
        <f>'Inputs by customer type'!P139</f>
        <v>3343.8742908178201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25">
      <c r="E172" s="96"/>
      <c r="F172" s="109" t="s">
        <v>201</v>
      </c>
      <c r="G172" s="109" t="s">
        <v>120</v>
      </c>
      <c r="J172" s="239"/>
      <c r="K172" s="239"/>
      <c r="L172" s="472">
        <f>'Inputs by customer type'!L140</f>
        <v>638.18581137862441</v>
      </c>
      <c r="M172" s="239"/>
      <c r="N172" s="472">
        <f>'Inputs by customer type'!N140</f>
        <v>9732.1216583887599</v>
      </c>
      <c r="O172" s="472">
        <f>'Inputs by customer type'!O140</f>
        <v>5190.4876890229843</v>
      </c>
      <c r="P172" s="472">
        <f>'Inputs by customer type'!P140</f>
        <v>3455.886374984314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25">
      <c r="E173" s="96"/>
      <c r="F173" s="109" t="s">
        <v>74</v>
      </c>
      <c r="G173" s="109" t="s">
        <v>74</v>
      </c>
      <c r="J173" s="239"/>
      <c r="K173" s="239"/>
      <c r="L173" s="472">
        <f>'Inputs by customer type'!L141</f>
        <v>97</v>
      </c>
      <c r="M173" s="239"/>
      <c r="N173" s="472">
        <f>'Inputs by customer type'!N141</f>
        <v>36</v>
      </c>
      <c r="O173" s="472">
        <f>'Inputs by customer type'!O141</f>
        <v>16</v>
      </c>
      <c r="P173" s="472">
        <f>'Inputs by customer type'!P141</f>
        <v>8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25">
      <c r="E174" s="96"/>
      <c r="F174" s="109" t="s">
        <v>202</v>
      </c>
      <c r="G174" s="109" t="s">
        <v>169</v>
      </c>
      <c r="J174" s="239"/>
      <c r="K174" s="239"/>
      <c r="L174" s="472">
        <f>'Inputs by customer type'!L142</f>
        <v>0</v>
      </c>
      <c r="M174" s="239"/>
      <c r="N174" s="472">
        <f>'Inputs by customer type'!N142</f>
        <v>22751</v>
      </c>
      <c r="O174" s="472">
        <f>'Inputs by customer type'!O142</f>
        <v>10957</v>
      </c>
      <c r="P174" s="472">
        <f>'Inputs by customer type'!P142</f>
        <v>4959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25">
      <c r="E175" s="96"/>
      <c r="F175" s="109" t="s">
        <v>203</v>
      </c>
      <c r="G175" s="109" t="s">
        <v>169</v>
      </c>
      <c r="J175" s="239"/>
      <c r="K175" s="239"/>
      <c r="L175" s="472">
        <f>'Inputs by customer type'!L143</f>
        <v>0</v>
      </c>
      <c r="M175" s="239"/>
      <c r="N175" s="472">
        <f>'Inputs by customer type'!N143</f>
        <v>19.213011300822995</v>
      </c>
      <c r="O175" s="472">
        <f>'Inputs by customer type'!O143</f>
        <v>0</v>
      </c>
      <c r="P175" s="472">
        <f>'Inputs by customer type'!P143</f>
        <v>2.7947605103534827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2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1557.5358424134015</v>
      </c>
      <c r="O176" s="274">
        <f>'Inputs by customer type'!O144</f>
        <v>2902.4053516940949</v>
      </c>
      <c r="P176" s="274">
        <f>'Inputs by customer type'!P144</f>
        <v>117.70850154779335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25">
      <c r="AQ177" s="88"/>
    </row>
    <row r="178" spans="5:43" x14ac:dyDescent="0.25">
      <c r="E178" s="96" t="s">
        <v>1060</v>
      </c>
      <c r="G178" s="108"/>
      <c r="I178" s="293" t="s">
        <v>359</v>
      </c>
      <c r="AQ178" s="88"/>
    </row>
    <row r="179" spans="5:43" x14ac:dyDescent="0.2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158.52011102732766</v>
      </c>
      <c r="M179" s="238"/>
      <c r="N179" s="272">
        <f>'Inputs by customer type'!N147</f>
        <v>288.384529573593</v>
      </c>
      <c r="O179" s="272">
        <f>'Inputs by customer type'!O147</f>
        <v>157.55153733171392</v>
      </c>
      <c r="P179" s="272">
        <f>'Inputs by customer type'!P147</f>
        <v>547.46438661656407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25">
      <c r="E180" s="96"/>
      <c r="F180" s="109" t="s">
        <v>200</v>
      </c>
      <c r="G180" s="109" t="s">
        <v>120</v>
      </c>
      <c r="J180" s="239"/>
      <c r="K180" s="239"/>
      <c r="L180" s="472">
        <f>'Inputs by customer type'!L148</f>
        <v>832.63315121730921</v>
      </c>
      <c r="M180" s="239"/>
      <c r="N180" s="472">
        <f>'Inputs by customer type'!N148</f>
        <v>1246.0606027255612</v>
      </c>
      <c r="O180" s="472">
        <f>'Inputs by customer type'!O148</f>
        <v>736.2137339160488</v>
      </c>
      <c r="P180" s="472">
        <f>'Inputs by customer type'!P148</f>
        <v>2494.9253631832894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25">
      <c r="E181" s="96"/>
      <c r="F181" s="109" t="s">
        <v>201</v>
      </c>
      <c r="G181" s="109" t="s">
        <v>120</v>
      </c>
      <c r="J181" s="239"/>
      <c r="K181" s="239"/>
      <c r="L181" s="472">
        <f>'Inputs by customer type'!L149</f>
        <v>808.4529353405643</v>
      </c>
      <c r="M181" s="239"/>
      <c r="N181" s="472">
        <f>'Inputs by customer type'!N149</f>
        <v>1154.9702640609053</v>
      </c>
      <c r="O181" s="472">
        <f>'Inputs by customer type'!O149</f>
        <v>710.57146422693029</v>
      </c>
      <c r="P181" s="472">
        <f>'Inputs by customer type'!P149</f>
        <v>2578.4996143258641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25">
      <c r="E182" s="96"/>
      <c r="F182" s="109" t="s">
        <v>74</v>
      </c>
      <c r="G182" s="109" t="s">
        <v>74</v>
      </c>
      <c r="J182" s="239"/>
      <c r="K182" s="239"/>
      <c r="L182" s="472">
        <f>'Inputs by customer type'!L150</f>
        <v>123</v>
      </c>
      <c r="M182" s="239"/>
      <c r="N182" s="472">
        <f>'Inputs by customer type'!N150</f>
        <v>2</v>
      </c>
      <c r="O182" s="472">
        <f>'Inputs by customer type'!O150</f>
        <v>1</v>
      </c>
      <c r="P182" s="472">
        <f>'Inputs by customer type'!P150</f>
        <v>3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25">
      <c r="E183" s="96"/>
      <c r="F183" s="109" t="s">
        <v>202</v>
      </c>
      <c r="G183" s="109" t="s">
        <v>169</v>
      </c>
      <c r="J183" s="239"/>
      <c r="K183" s="239"/>
      <c r="L183" s="472">
        <f>'Inputs by customer type'!L151</f>
        <v>0</v>
      </c>
      <c r="M183" s="239"/>
      <c r="N183" s="472">
        <f>'Inputs by customer type'!N151</f>
        <v>2700</v>
      </c>
      <c r="O183" s="472">
        <f>'Inputs by customer type'!O151</f>
        <v>1500</v>
      </c>
      <c r="P183" s="472">
        <f>'Inputs by customer type'!P151</f>
        <v>3700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25">
      <c r="E184" s="96"/>
      <c r="F184" s="109" t="s">
        <v>203</v>
      </c>
      <c r="G184" s="109" t="s">
        <v>169</v>
      </c>
      <c r="J184" s="239"/>
      <c r="K184" s="239"/>
      <c r="L184" s="472">
        <f>'Inputs by customer type'!L152</f>
        <v>0</v>
      </c>
      <c r="M184" s="239"/>
      <c r="N184" s="472">
        <f>'Inputs by customer type'!N152</f>
        <v>2.2801252917332024</v>
      </c>
      <c r="O184" s="472">
        <f>'Inputs by customer type'!O152</f>
        <v>0</v>
      </c>
      <c r="P184" s="472">
        <f>'Inputs by customer type'!P152</f>
        <v>2.085221594738432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2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184.8422827355362</v>
      </c>
      <c r="O185" s="274">
        <f>'Inputs by customer type'!O153</f>
        <v>397.33576960309773</v>
      </c>
      <c r="P185" s="274">
        <f>'Inputs by customer type'!P153</f>
        <v>87.824451648887944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25">
      <c r="AQ186" s="88"/>
    </row>
    <row r="187" spans="5:43" x14ac:dyDescent="0.25">
      <c r="E187" s="96" t="s">
        <v>1061</v>
      </c>
      <c r="G187" s="108"/>
      <c r="I187" s="293" t="s">
        <v>359</v>
      </c>
      <c r="AQ187" s="88"/>
    </row>
    <row r="188" spans="5:43" x14ac:dyDescent="0.2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541.5278919746188</v>
      </c>
      <c r="M188" s="238"/>
      <c r="N188" s="272">
        <f>'Inputs by customer type'!N156</f>
        <v>213.61817005451337</v>
      </c>
      <c r="O188" s="272">
        <f>'Inputs by customer type'!O156</f>
        <v>0</v>
      </c>
      <c r="P188" s="272">
        <f>'Inputs by customer type'!P156</f>
        <v>680.63139957734995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25">
      <c r="E189" s="96"/>
      <c r="F189" s="109" t="s">
        <v>200</v>
      </c>
      <c r="G189" s="109" t="s">
        <v>120</v>
      </c>
      <c r="J189" s="239"/>
      <c r="K189" s="239"/>
      <c r="L189" s="472">
        <f>'Inputs by customer type'!L157</f>
        <v>2844.3966651598089</v>
      </c>
      <c r="M189" s="239"/>
      <c r="N189" s="472">
        <f>'Inputs by customer type'!N157</f>
        <v>923.00785387078599</v>
      </c>
      <c r="O189" s="472">
        <f>'Inputs by customer type'!O157</f>
        <v>0</v>
      </c>
      <c r="P189" s="472">
        <f>'Inputs by customer type'!P157</f>
        <v>3101.7991001738196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25">
      <c r="E190" s="96"/>
      <c r="F190" s="109" t="s">
        <v>201</v>
      </c>
      <c r="G190" s="109" t="s">
        <v>120</v>
      </c>
      <c r="J190" s="239"/>
      <c r="K190" s="239"/>
      <c r="L190" s="472">
        <f>'Inputs by customer type'!L158</f>
        <v>2761.793509974234</v>
      </c>
      <c r="M190" s="239"/>
      <c r="N190" s="472">
        <f>'Inputs by customer type'!N158</f>
        <v>855.5335289340037</v>
      </c>
      <c r="O190" s="472">
        <f>'Inputs by customer type'!O158</f>
        <v>0</v>
      </c>
      <c r="P190" s="472">
        <f>'Inputs by customer type'!P158</f>
        <v>3205.7022232159393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25">
      <c r="E191" s="96"/>
      <c r="F191" s="109" t="s">
        <v>74</v>
      </c>
      <c r="G191" s="109" t="s">
        <v>74</v>
      </c>
      <c r="J191" s="239"/>
      <c r="K191" s="239"/>
      <c r="L191" s="472">
        <f>'Inputs by customer type'!L159</f>
        <v>420</v>
      </c>
      <c r="M191" s="239"/>
      <c r="N191" s="472">
        <f>'Inputs by customer type'!N159</f>
        <v>1</v>
      </c>
      <c r="O191" s="472">
        <f>'Inputs by customer type'!O159</f>
        <v>0</v>
      </c>
      <c r="P191" s="472">
        <f>'Inputs by customer type'!P159</f>
        <v>2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25">
      <c r="E192" s="96"/>
      <c r="F192" s="109" t="s">
        <v>202</v>
      </c>
      <c r="G192" s="109" t="s">
        <v>169</v>
      </c>
      <c r="J192" s="239"/>
      <c r="K192" s="239"/>
      <c r="L192" s="472">
        <f>'Inputs by customer type'!L160</f>
        <v>0</v>
      </c>
      <c r="M192" s="239"/>
      <c r="N192" s="472">
        <f>'Inputs by customer type'!N160</f>
        <v>2000</v>
      </c>
      <c r="O192" s="472">
        <f>'Inputs by customer type'!O160</f>
        <v>0</v>
      </c>
      <c r="P192" s="472">
        <f>'Inputs by customer type'!P160</f>
        <v>4600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25">
      <c r="E193" s="96"/>
      <c r="F193" s="109" t="s">
        <v>203</v>
      </c>
      <c r="G193" s="109" t="s">
        <v>169</v>
      </c>
      <c r="J193" s="239"/>
      <c r="K193" s="239"/>
      <c r="L193" s="472">
        <f>'Inputs by customer type'!L161</f>
        <v>0</v>
      </c>
      <c r="M193" s="239"/>
      <c r="N193" s="472">
        <f>'Inputs by customer type'!N161</f>
        <v>1.6889816975801499</v>
      </c>
      <c r="O193" s="472">
        <f>'Inputs by customer type'!O161</f>
        <v>0</v>
      </c>
      <c r="P193" s="472">
        <f>'Inputs by customer type'!P161</f>
        <v>2.5924376583234565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2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136.92020943373052</v>
      </c>
      <c r="O194" s="274">
        <f>'Inputs by customer type'!O162</f>
        <v>0</v>
      </c>
      <c r="P194" s="274">
        <f>'Inputs by customer type'!P162</f>
        <v>109.18715610402288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25">
      <c r="AQ195" s="88"/>
    </row>
    <row r="196" spans="4:43" x14ac:dyDescent="0.25">
      <c r="D196" s="82" t="s">
        <v>1077</v>
      </c>
      <c r="AQ196" s="88"/>
    </row>
    <row r="197" spans="4:43" x14ac:dyDescent="0.25">
      <c r="AQ197" s="88"/>
    </row>
    <row r="198" spans="4:43" x14ac:dyDescent="0.25">
      <c r="E198" s="96" t="s">
        <v>901</v>
      </c>
      <c r="G198" s="108"/>
      <c r="I198" s="293" t="s">
        <v>359</v>
      </c>
      <c r="AA198" s="293" t="s">
        <v>692</v>
      </c>
    </row>
    <row r="199" spans="4:43" x14ac:dyDescent="0.2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645101.52351777873</v>
      </c>
      <c r="K199" s="267">
        <f t="shared" si="2"/>
        <v>50.685541167972772</v>
      </c>
      <c r="L199" s="267">
        <f t="shared" si="2"/>
        <v>129370.52388749998</v>
      </c>
      <c r="M199" s="267">
        <f t="shared" si="2"/>
        <v>6.1226977807298875</v>
      </c>
      <c r="N199" s="267">
        <f t="shared" si="2"/>
        <v>86888.000144277845</v>
      </c>
      <c r="O199" s="267">
        <f t="shared" si="2"/>
        <v>105237.21001513804</v>
      </c>
      <c r="P199" s="267">
        <f t="shared" si="2"/>
        <v>166037.47637549933</v>
      </c>
      <c r="Q199" s="267">
        <f t="shared" si="2"/>
        <v>6448.805011825264</v>
      </c>
      <c r="R199" s="267">
        <f t="shared" si="2"/>
        <v>138.20714502602834</v>
      </c>
      <c r="S199" s="267">
        <f t="shared" si="2"/>
        <v>19.850977162721037</v>
      </c>
      <c r="T199" s="267">
        <f t="shared" si="2"/>
        <v>4602.4299730524672</v>
      </c>
      <c r="U199" s="267">
        <f t="shared" si="2"/>
        <v>0</v>
      </c>
      <c r="V199" s="267">
        <f t="shared" si="2"/>
        <v>1319.5926901394901</v>
      </c>
      <c r="W199" s="267">
        <f t="shared" si="2"/>
        <v>0</v>
      </c>
      <c r="X199" s="267">
        <f t="shared" si="2"/>
        <v>42346.377102139319</v>
      </c>
      <c r="Y199" s="267">
        <f t="shared" si="2"/>
        <v>0</v>
      </c>
    </row>
    <row r="200" spans="4:43" x14ac:dyDescent="0.25">
      <c r="E200" s="96"/>
      <c r="F200" s="109" t="s">
        <v>200</v>
      </c>
      <c r="G200" s="109" t="s">
        <v>120</v>
      </c>
      <c r="J200" s="264">
        <f t="shared" si="2"/>
        <v>2282979.7633559168</v>
      </c>
      <c r="K200" s="264">
        <f t="shared" si="2"/>
        <v>876.88932002307558</v>
      </c>
      <c r="L200" s="264">
        <f t="shared" si="2"/>
        <v>680096.77317546669</v>
      </c>
      <c r="M200" s="264">
        <f t="shared" si="2"/>
        <v>315.99830541136959</v>
      </c>
      <c r="N200" s="264">
        <f t="shared" si="2"/>
        <v>395006.7323432432</v>
      </c>
      <c r="O200" s="264">
        <f t="shared" si="2"/>
        <v>508613.35522858548</v>
      </c>
      <c r="P200" s="264">
        <f t="shared" si="2"/>
        <v>761072.62068945542</v>
      </c>
      <c r="Q200" s="473">
        <f t="shared" si="2"/>
        <v>52561.370964961032</v>
      </c>
      <c r="R200" s="473">
        <f t="shared" si="2"/>
        <v>675.42262204083556</v>
      </c>
      <c r="S200" s="473">
        <f t="shared" si="2"/>
        <v>89.283262919470644</v>
      </c>
      <c r="T200" s="264">
        <f t="shared" si="2"/>
        <v>22397.414037263683</v>
      </c>
      <c r="U200" s="264">
        <f t="shared" si="2"/>
        <v>0</v>
      </c>
      <c r="V200" s="264">
        <f t="shared" si="2"/>
        <v>5938.0182101575592</v>
      </c>
      <c r="W200" s="264">
        <f t="shared" si="2"/>
        <v>0</v>
      </c>
      <c r="X200" s="264">
        <f t="shared" si="2"/>
        <v>169950.37671525255</v>
      </c>
      <c r="Y200" s="264">
        <f t="shared" si="2"/>
        <v>0</v>
      </c>
    </row>
    <row r="201" spans="4:43" x14ac:dyDescent="0.25">
      <c r="E201" s="96"/>
      <c r="F201" s="109" t="s">
        <v>201</v>
      </c>
      <c r="G201" s="109" t="s">
        <v>120</v>
      </c>
      <c r="J201" s="264">
        <f t="shared" si="2"/>
        <v>2148924.2598723704</v>
      </c>
      <c r="K201" s="264">
        <f t="shared" si="2"/>
        <v>11792.873278266205</v>
      </c>
      <c r="L201" s="264">
        <f t="shared" si="2"/>
        <v>658624.64052193915</v>
      </c>
      <c r="M201" s="264">
        <f t="shared" si="2"/>
        <v>3822.6277485878222</v>
      </c>
      <c r="N201" s="264">
        <f t="shared" si="2"/>
        <v>339453.23343689292</v>
      </c>
      <c r="O201" s="264">
        <f t="shared" si="2"/>
        <v>449965.27999315929</v>
      </c>
      <c r="P201" s="264">
        <f t="shared" si="2"/>
        <v>826097.49265488656</v>
      </c>
      <c r="Q201" s="473">
        <f t="shared" si="2"/>
        <v>88880.57358714845</v>
      </c>
      <c r="R201" s="473">
        <f t="shared" si="2"/>
        <v>734.62430353180275</v>
      </c>
      <c r="S201" s="473">
        <f t="shared" si="2"/>
        <v>112.33780697547499</v>
      </c>
      <c r="T201" s="264">
        <f t="shared" si="2"/>
        <v>25989.195328374855</v>
      </c>
      <c r="U201" s="264">
        <f t="shared" si="2"/>
        <v>0</v>
      </c>
      <c r="V201" s="264">
        <f t="shared" si="2"/>
        <v>7475.1781511239524</v>
      </c>
      <c r="W201" s="264">
        <f t="shared" si="2"/>
        <v>0</v>
      </c>
      <c r="X201" s="264">
        <f t="shared" si="2"/>
        <v>176946.04662843214</v>
      </c>
      <c r="Y201" s="264">
        <f t="shared" si="2"/>
        <v>0</v>
      </c>
    </row>
    <row r="202" spans="4:43" x14ac:dyDescent="0.25">
      <c r="E202" s="96"/>
      <c r="F202" s="109" t="s">
        <v>74</v>
      </c>
      <c r="G202" s="109" t="s">
        <v>74</v>
      </c>
      <c r="J202" s="264">
        <f t="shared" si="2"/>
        <v>1393317</v>
      </c>
      <c r="K202" s="264">
        <f t="shared" si="2"/>
        <v>3156</v>
      </c>
      <c r="L202" s="264">
        <f t="shared" si="2"/>
        <v>100873</v>
      </c>
      <c r="M202" s="264">
        <f t="shared" si="2"/>
        <v>997</v>
      </c>
      <c r="N202" s="264">
        <f t="shared" si="2"/>
        <v>5399</v>
      </c>
      <c r="O202" s="264">
        <f t="shared" si="2"/>
        <v>3075</v>
      </c>
      <c r="P202" s="264">
        <f t="shared" si="2"/>
        <v>801</v>
      </c>
      <c r="Q202" s="264">
        <f t="shared" si="2"/>
        <v>574</v>
      </c>
      <c r="R202" s="264">
        <f t="shared" si="2"/>
        <v>283</v>
      </c>
      <c r="S202" s="264">
        <f t="shared" si="2"/>
        <v>25</v>
      </c>
      <c r="T202" s="264">
        <f t="shared" si="2"/>
        <v>317</v>
      </c>
      <c r="U202" s="264">
        <f t="shared" si="2"/>
        <v>0</v>
      </c>
      <c r="V202" s="264">
        <f t="shared" si="2"/>
        <v>41</v>
      </c>
      <c r="W202" s="264">
        <f t="shared" si="2"/>
        <v>0</v>
      </c>
      <c r="X202" s="264">
        <f t="shared" si="2"/>
        <v>138</v>
      </c>
      <c r="Y202" s="264">
        <f t="shared" si="2"/>
        <v>0</v>
      </c>
    </row>
    <row r="203" spans="4:43" x14ac:dyDescent="0.2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546934</v>
      </c>
      <c r="O203" s="264">
        <f t="shared" si="2"/>
        <v>566817</v>
      </c>
      <c r="P203" s="264">
        <f t="shared" si="2"/>
        <v>670989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2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12354</v>
      </c>
      <c r="O204" s="264">
        <f t="shared" si="2"/>
        <v>13271</v>
      </c>
      <c r="P204" s="264">
        <f t="shared" si="2"/>
        <v>11171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2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76681.719000000012</v>
      </c>
      <c r="O205" s="268">
        <f t="shared" si="2"/>
        <v>92938.824999999997</v>
      </c>
      <c r="P205" s="268">
        <f t="shared" si="2"/>
        <v>112020.46400000001</v>
      </c>
      <c r="Q205" s="240"/>
      <c r="R205" s="240"/>
      <c r="S205" s="240"/>
      <c r="T205" s="268">
        <f>SUM( T73, T82, T91, T100, T64 )</f>
        <v>4390.8</v>
      </c>
      <c r="U205" s="240"/>
      <c r="V205" s="268">
        <f>SUM( V73, V82, V91, V100, V64 )</f>
        <v>172.2</v>
      </c>
      <c r="W205" s="240"/>
      <c r="X205" s="268">
        <f>SUM( X73, X82, X91, X100, X64 )</f>
        <v>7419.6</v>
      </c>
      <c r="Y205" s="240"/>
    </row>
    <row r="206" spans="4:43" s="374" customFormat="1" x14ac:dyDescent="0.25">
      <c r="E206" s="375"/>
      <c r="F206" s="376"/>
      <c r="G206" s="376"/>
      <c r="J206" s="377"/>
      <c r="K206" s="377"/>
      <c r="L206" s="377"/>
      <c r="M206" s="377"/>
      <c r="N206" s="378"/>
      <c r="O206" s="378"/>
      <c r="P206" s="378"/>
      <c r="Q206" s="377"/>
      <c r="R206" s="377"/>
      <c r="S206" s="377"/>
      <c r="T206" s="378"/>
      <c r="U206" s="377"/>
      <c r="V206" s="378"/>
      <c r="W206" s="377"/>
      <c r="X206" s="378"/>
      <c r="Y206" s="377"/>
    </row>
    <row r="207" spans="4:43" x14ac:dyDescent="0.25">
      <c r="E207" s="96" t="s">
        <v>902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692</v>
      </c>
    </row>
    <row r="208" spans="4:43" x14ac:dyDescent="0.2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8306.6021289228665</v>
      </c>
      <c r="K208" s="267">
        <f t="shared" si="3"/>
        <v>0</v>
      </c>
      <c r="L208" s="267">
        <f t="shared" si="3"/>
        <v>217.81919961559259</v>
      </c>
      <c r="M208" s="267">
        <f t="shared" si="3"/>
        <v>0</v>
      </c>
      <c r="N208" s="267">
        <f t="shared" si="3"/>
        <v>756.0488499999999</v>
      </c>
      <c r="O208" s="238"/>
      <c r="P208" s="238"/>
      <c r="Q208" s="267">
        <f t="shared" ref="Q208:R211" si="4">SUM( Q114, Q123, Q132, Q141, Q105 )</f>
        <v>4.0484626290277781</v>
      </c>
      <c r="R208" s="267">
        <f t="shared" si="4"/>
        <v>0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25">
      <c r="E209" s="96"/>
      <c r="F209" s="109" t="s">
        <v>200</v>
      </c>
      <c r="G209" s="109" t="s">
        <v>120</v>
      </c>
      <c r="J209" s="264">
        <f t="shared" si="3"/>
        <v>29533.933561876322</v>
      </c>
      <c r="K209" s="264">
        <f t="shared" si="3"/>
        <v>0</v>
      </c>
      <c r="L209" s="264">
        <f t="shared" si="3"/>
        <v>1144.4821226797001</v>
      </c>
      <c r="M209" s="264">
        <f t="shared" si="3"/>
        <v>0</v>
      </c>
      <c r="N209" s="264">
        <f t="shared" si="3"/>
        <v>3458.4168758620685</v>
      </c>
      <c r="O209" s="279"/>
      <c r="P209" s="279"/>
      <c r="Q209" s="473">
        <f t="shared" si="4"/>
        <v>53.178547581699839</v>
      </c>
      <c r="R209" s="473">
        <f t="shared" si="4"/>
        <v>0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25">
      <c r="E210" s="96"/>
      <c r="F210" s="109" t="s">
        <v>201</v>
      </c>
      <c r="G210" s="109" t="s">
        <v>120</v>
      </c>
      <c r="J210" s="264">
        <f t="shared" si="3"/>
        <v>27775.710046862965</v>
      </c>
      <c r="K210" s="264">
        <f t="shared" si="3"/>
        <v>0</v>
      </c>
      <c r="L210" s="264">
        <f t="shared" si="3"/>
        <v>1110.2450465974534</v>
      </c>
      <c r="M210" s="264">
        <f t="shared" si="3"/>
        <v>0</v>
      </c>
      <c r="N210" s="264">
        <f t="shared" si="3"/>
        <v>3157.7184275862069</v>
      </c>
      <c r="O210" s="279"/>
      <c r="P210" s="279"/>
      <c r="Q210" s="473">
        <f t="shared" si="4"/>
        <v>60.454134059674857</v>
      </c>
      <c r="R210" s="473">
        <f t="shared" si="4"/>
        <v>0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25">
      <c r="E211" s="96"/>
      <c r="F211" s="109" t="s">
        <v>74</v>
      </c>
      <c r="G211" s="109" t="s">
        <v>74</v>
      </c>
      <c r="J211" s="264">
        <f t="shared" si="3"/>
        <v>23151</v>
      </c>
      <c r="K211" s="264">
        <f t="shared" si="3"/>
        <v>0</v>
      </c>
      <c r="L211" s="264">
        <f t="shared" si="3"/>
        <v>373</v>
      </c>
      <c r="M211" s="264">
        <f t="shared" si="3"/>
        <v>0</v>
      </c>
      <c r="N211" s="264">
        <f t="shared" si="3"/>
        <v>40</v>
      </c>
      <c r="O211" s="279"/>
      <c r="P211" s="279"/>
      <c r="Q211" s="264">
        <f t="shared" si="4"/>
        <v>14</v>
      </c>
      <c r="R211" s="264">
        <f t="shared" si="4"/>
        <v>0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2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5800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2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0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2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263.89490000000001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4" customFormat="1" x14ac:dyDescent="0.25">
      <c r="E215" s="375"/>
      <c r="F215" s="376"/>
      <c r="G215" s="376"/>
      <c r="J215" s="377"/>
      <c r="K215" s="377"/>
      <c r="L215" s="377"/>
      <c r="M215" s="377"/>
      <c r="N215" s="378"/>
      <c r="O215" s="377"/>
      <c r="P215" s="377"/>
      <c r="Q215" s="377"/>
      <c r="R215" s="377"/>
      <c r="S215" s="377"/>
      <c r="T215" s="378"/>
      <c r="U215" s="377"/>
      <c r="V215" s="377"/>
      <c r="W215" s="377"/>
      <c r="X215" s="377"/>
      <c r="Y215" s="377"/>
    </row>
    <row r="216" spans="5:27" x14ac:dyDescent="0.25">
      <c r="E216" s="96" t="s">
        <v>903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692</v>
      </c>
    </row>
    <row r="217" spans="5:27" x14ac:dyDescent="0.25">
      <c r="F217" s="40" t="s">
        <v>199</v>
      </c>
      <c r="G217" s="109" t="s">
        <v>120</v>
      </c>
      <c r="I217" s="91"/>
      <c r="J217" s="267">
        <f t="shared" ref="J217:T223" si="5">SUM( J161, J170, J179, J188, J152 )</f>
        <v>11575.563194024691</v>
      </c>
      <c r="K217" s="267">
        <f t="shared" si="5"/>
        <v>0</v>
      </c>
      <c r="L217" s="267">
        <f t="shared" si="5"/>
        <v>853.56819707302043</v>
      </c>
      <c r="M217" s="267">
        <f t="shared" si="5"/>
        <v>0</v>
      </c>
      <c r="N217" s="267">
        <f t="shared" si="5"/>
        <v>6956.2620896551716</v>
      </c>
      <c r="O217" s="267">
        <f t="shared" si="5"/>
        <v>1410.5063965517243</v>
      </c>
      <c r="P217" s="267">
        <f t="shared" si="5"/>
        <v>2122.238296551724</v>
      </c>
      <c r="Q217" s="267">
        <f t="shared" si="5"/>
        <v>8.6509294967914947</v>
      </c>
      <c r="R217" s="267">
        <f t="shared" si="5"/>
        <v>0</v>
      </c>
      <c r="S217" s="267">
        <f t="shared" si="5"/>
        <v>0</v>
      </c>
      <c r="T217" s="267">
        <f t="shared" si="5"/>
        <v>50.298000000000002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25">
      <c r="F218" s="109" t="s">
        <v>200</v>
      </c>
      <c r="G218" s="109" t="s">
        <v>120</v>
      </c>
      <c r="J218" s="264">
        <f t="shared" si="5"/>
        <v>41142.372442524007</v>
      </c>
      <c r="K218" s="264">
        <f t="shared" si="5"/>
        <v>0</v>
      </c>
      <c r="L218" s="264">
        <f t="shared" si="5"/>
        <v>4483.4007060799076</v>
      </c>
      <c r="M218" s="264">
        <f t="shared" si="5"/>
        <v>0</v>
      </c>
      <c r="N218" s="264">
        <f t="shared" si="5"/>
        <v>30056.827753448273</v>
      </c>
      <c r="O218" s="264">
        <f t="shared" si="5"/>
        <v>6591.0761551724136</v>
      </c>
      <c r="P218" s="264">
        <f t="shared" si="5"/>
        <v>9671.5444551724122</v>
      </c>
      <c r="Q218" s="473">
        <f t="shared" si="5"/>
        <v>108.36283197839724</v>
      </c>
      <c r="R218" s="473">
        <f t="shared" si="5"/>
        <v>0</v>
      </c>
      <c r="S218" s="473">
        <f t="shared" si="5"/>
        <v>0</v>
      </c>
      <c r="T218" s="264">
        <f t="shared" si="5"/>
        <v>0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25">
      <c r="F219" s="109" t="s">
        <v>201</v>
      </c>
      <c r="G219" s="109" t="s">
        <v>120</v>
      </c>
      <c r="J219" s="264">
        <f t="shared" si="5"/>
        <v>38695.794593341067</v>
      </c>
      <c r="K219" s="264">
        <f t="shared" si="5"/>
        <v>0</v>
      </c>
      <c r="L219" s="264">
        <f t="shared" si="5"/>
        <v>4353.1997925365686</v>
      </c>
      <c r="M219" s="264">
        <f t="shared" si="5"/>
        <v>0</v>
      </c>
      <c r="N219" s="264">
        <f t="shared" si="5"/>
        <v>27859.593836206899</v>
      </c>
      <c r="O219" s="264">
        <f t="shared" si="5"/>
        <v>6361.5094620689651</v>
      </c>
      <c r="P219" s="264">
        <f t="shared" si="5"/>
        <v>9995.5189103448301</v>
      </c>
      <c r="Q219" s="473">
        <f t="shared" si="5"/>
        <v>123.18908683710534</v>
      </c>
      <c r="R219" s="473">
        <f t="shared" si="5"/>
        <v>0</v>
      </c>
      <c r="S219" s="473">
        <f t="shared" si="5"/>
        <v>0</v>
      </c>
      <c r="T219" s="264">
        <f t="shared" si="5"/>
        <v>0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25">
      <c r="F220" s="109" t="s">
        <v>74</v>
      </c>
      <c r="G220" s="109" t="s">
        <v>74</v>
      </c>
      <c r="J220" s="264">
        <f t="shared" si="5"/>
        <v>31794</v>
      </c>
      <c r="K220" s="264">
        <f t="shared" si="5"/>
        <v>0</v>
      </c>
      <c r="L220" s="264">
        <f t="shared" si="5"/>
        <v>662</v>
      </c>
      <c r="M220" s="264">
        <f t="shared" si="5"/>
        <v>0</v>
      </c>
      <c r="N220" s="264">
        <f t="shared" si="5"/>
        <v>262</v>
      </c>
      <c r="O220" s="264">
        <f t="shared" si="5"/>
        <v>21</v>
      </c>
      <c r="P220" s="264">
        <f t="shared" si="5"/>
        <v>17</v>
      </c>
      <c r="Q220" s="264">
        <f t="shared" si="5"/>
        <v>59</v>
      </c>
      <c r="R220" s="264">
        <f t="shared" si="5"/>
        <v>0</v>
      </c>
      <c r="S220" s="264">
        <f t="shared" si="5"/>
        <v>0</v>
      </c>
      <c r="T220" s="264">
        <f t="shared" si="5"/>
        <v>1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2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65128</v>
      </c>
      <c r="O221" s="264">
        <f t="shared" si="5"/>
        <v>13429</v>
      </c>
      <c r="P221" s="264">
        <f t="shared" si="5"/>
        <v>14343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2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54.999999999999993</v>
      </c>
      <c r="O222" s="264">
        <f t="shared" si="5"/>
        <v>0</v>
      </c>
      <c r="P222" s="264">
        <f t="shared" si="5"/>
        <v>8.0833333333333339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2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4458.6697000000004</v>
      </c>
      <c r="O223" s="268">
        <f t="shared" si="5"/>
        <v>3557.2147</v>
      </c>
      <c r="P223" s="268">
        <f t="shared" si="5"/>
        <v>340.45029999999997</v>
      </c>
      <c r="Q223" s="240"/>
      <c r="R223" s="240"/>
      <c r="S223" s="240"/>
      <c r="T223" s="268">
        <f>SUM( T167, T176, T185, T194, T158 )</f>
        <v>36.967100000000002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25">
      <c r="G224" s="108"/>
    </row>
    <row r="225" spans="3:43" x14ac:dyDescent="0.25">
      <c r="C225" s="7" t="str">
        <f ca="1">INDEX('Version control'!$H$34:$H$60,MATCH($A$1,'Version control'!$F$34:$F$60,0),1)&amp;"-C: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25">
      <c r="C226" s="96"/>
      <c r="AQ226" s="88"/>
    </row>
    <row r="227" spans="3:43" x14ac:dyDescent="0.25">
      <c r="C227" s="82" t="s">
        <v>503</v>
      </c>
      <c r="AQ227" s="88"/>
    </row>
    <row r="228" spans="3:43" x14ac:dyDescent="0.25">
      <c r="C228" s="96"/>
      <c r="AQ228" s="88"/>
    </row>
    <row r="229" spans="3:43" x14ac:dyDescent="0.25">
      <c r="C229" s="82"/>
      <c r="E229" s="96" t="s">
        <v>134</v>
      </c>
      <c r="I229" s="293" t="s">
        <v>359</v>
      </c>
      <c r="AA229" s="293" t="s">
        <v>694</v>
      </c>
      <c r="AQ229" s="88"/>
    </row>
    <row r="230" spans="3:43" x14ac:dyDescent="0.25">
      <c r="C230" s="82"/>
      <c r="E230" s="96"/>
      <c r="AQ230" s="88"/>
    </row>
    <row r="231" spans="3:43" x14ac:dyDescent="0.25">
      <c r="F231" s="14" t="s">
        <v>145</v>
      </c>
      <c r="G231" s="14" t="s">
        <v>120</v>
      </c>
      <c r="J231" s="275">
        <f t="shared" ref="J231:Y231" si="6">J$199</f>
        <v>645101.52351777873</v>
      </c>
      <c r="K231" s="275">
        <f t="shared" si="6"/>
        <v>50.685541167972772</v>
      </c>
      <c r="L231" s="275">
        <f t="shared" si="6"/>
        <v>129370.52388749998</v>
      </c>
      <c r="M231" s="275">
        <f t="shared" si="6"/>
        <v>6.1226977807298875</v>
      </c>
      <c r="N231" s="275">
        <f t="shared" si="6"/>
        <v>86888.000144277845</v>
      </c>
      <c r="O231" s="275">
        <f t="shared" si="6"/>
        <v>105237.21001513804</v>
      </c>
      <c r="P231" s="275">
        <f t="shared" si="6"/>
        <v>166037.47637549933</v>
      </c>
      <c r="Q231" s="275">
        <f t="shared" si="6"/>
        <v>6448.805011825264</v>
      </c>
      <c r="R231" s="275">
        <f t="shared" si="6"/>
        <v>138.20714502602834</v>
      </c>
      <c r="S231" s="275">
        <f t="shared" si="6"/>
        <v>19.850977162721037</v>
      </c>
      <c r="T231" s="275">
        <f t="shared" si="6"/>
        <v>4602.4299730524672</v>
      </c>
      <c r="U231" s="275">
        <f t="shared" si="6"/>
        <v>0</v>
      </c>
      <c r="V231" s="275">
        <f t="shared" si="6"/>
        <v>1319.5926901394901</v>
      </c>
      <c r="W231" s="275">
        <f t="shared" si="6"/>
        <v>0</v>
      </c>
      <c r="X231" s="275">
        <f t="shared" si="6"/>
        <v>42346.377102139319</v>
      </c>
      <c r="Y231" s="275">
        <f t="shared" si="6"/>
        <v>0</v>
      </c>
      <c r="AQ231" s="88"/>
    </row>
    <row r="232" spans="3:43" x14ac:dyDescent="0.25">
      <c r="F232" s="14" t="s">
        <v>146</v>
      </c>
      <c r="G232" s="14" t="s">
        <v>120</v>
      </c>
      <c r="J232" s="275">
        <f t="shared" ref="J232:Y232" si="7">J$208</f>
        <v>8306.6021289228665</v>
      </c>
      <c r="K232" s="275">
        <f t="shared" si="7"/>
        <v>0</v>
      </c>
      <c r="L232" s="275">
        <f t="shared" si="7"/>
        <v>217.81919961559259</v>
      </c>
      <c r="M232" s="275">
        <f t="shared" si="7"/>
        <v>0</v>
      </c>
      <c r="N232" s="275">
        <f t="shared" si="7"/>
        <v>756.0488499999999</v>
      </c>
      <c r="O232" s="275">
        <f t="shared" si="7"/>
        <v>0</v>
      </c>
      <c r="P232" s="275">
        <f t="shared" si="7"/>
        <v>0</v>
      </c>
      <c r="Q232" s="275">
        <f t="shared" si="7"/>
        <v>4.0484626290277781</v>
      </c>
      <c r="R232" s="275">
        <f t="shared" si="7"/>
        <v>0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25">
      <c r="F233" s="14" t="s">
        <v>147</v>
      </c>
      <c r="G233" s="14" t="s">
        <v>120</v>
      </c>
      <c r="J233" s="275">
        <f t="shared" ref="J233:Y233" si="8">J$217</f>
        <v>11575.563194024691</v>
      </c>
      <c r="K233" s="275">
        <f t="shared" si="8"/>
        <v>0</v>
      </c>
      <c r="L233" s="275">
        <f t="shared" si="8"/>
        <v>853.56819707302043</v>
      </c>
      <c r="M233" s="275">
        <f t="shared" si="8"/>
        <v>0</v>
      </c>
      <c r="N233" s="275">
        <f t="shared" si="8"/>
        <v>6956.2620896551716</v>
      </c>
      <c r="O233" s="275">
        <f t="shared" si="8"/>
        <v>1410.5063965517243</v>
      </c>
      <c r="P233" s="275">
        <f t="shared" si="8"/>
        <v>2122.238296551724</v>
      </c>
      <c r="Q233" s="275">
        <f t="shared" si="8"/>
        <v>8.6509294967914947</v>
      </c>
      <c r="R233" s="275">
        <f t="shared" si="8"/>
        <v>0</v>
      </c>
      <c r="S233" s="275">
        <f t="shared" si="8"/>
        <v>0</v>
      </c>
      <c r="T233" s="275">
        <f t="shared" si="8"/>
        <v>50.298000000000002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25">
      <c r="F234" s="14" t="s">
        <v>178</v>
      </c>
      <c r="G234" s="14" t="s">
        <v>94</v>
      </c>
      <c r="J234" s="474">
        <f>IF(J$39, J$45, J$34)</f>
        <v>0.37965428939083246</v>
      </c>
      <c r="K234" s="474">
        <f t="shared" ref="K234:Y234" si="9">IF(K$39, K$45, K$34)</f>
        <v>0.37965428939083246</v>
      </c>
      <c r="L234" s="474">
        <f t="shared" si="9"/>
        <v>0.37965428939083246</v>
      </c>
      <c r="M234" s="474">
        <f t="shared" si="9"/>
        <v>0.37965428939083246</v>
      </c>
      <c r="N234" s="474">
        <f t="shared" si="9"/>
        <v>0.37965428939083246</v>
      </c>
      <c r="O234" s="474">
        <f t="shared" si="9"/>
        <v>0</v>
      </c>
      <c r="P234" s="474">
        <f t="shared" si="9"/>
        <v>0</v>
      </c>
      <c r="Q234" s="474">
        <f t="shared" si="9"/>
        <v>0.37965428939083246</v>
      </c>
      <c r="R234" s="474">
        <f t="shared" si="9"/>
        <v>0</v>
      </c>
      <c r="S234" s="474">
        <f t="shared" si="9"/>
        <v>0</v>
      </c>
      <c r="T234" s="474">
        <f t="shared" si="9"/>
        <v>0</v>
      </c>
      <c r="U234" s="474">
        <f t="shared" si="9"/>
        <v>0</v>
      </c>
      <c r="V234" s="474">
        <f t="shared" si="9"/>
        <v>0</v>
      </c>
      <c r="W234" s="474">
        <f t="shared" si="9"/>
        <v>0</v>
      </c>
      <c r="X234" s="474">
        <f t="shared" si="9"/>
        <v>0</v>
      </c>
      <c r="Y234" s="474">
        <f t="shared" si="9"/>
        <v>0</v>
      </c>
      <c r="AQ234" s="88"/>
    </row>
    <row r="235" spans="3:43" x14ac:dyDescent="0.25">
      <c r="F235" s="14" t="s">
        <v>179</v>
      </c>
      <c r="G235" s="14" t="s">
        <v>94</v>
      </c>
      <c r="J235" s="474">
        <f>IF(J$39, J$45, J$35)</f>
        <v>0.54896300131614539</v>
      </c>
      <c r="K235" s="474">
        <f t="shared" ref="K235:Y235" si="10">IF(K$39, K$45, K$35)</f>
        <v>0.54896300131614539</v>
      </c>
      <c r="L235" s="474">
        <f t="shared" si="10"/>
        <v>0.54896300131614539</v>
      </c>
      <c r="M235" s="474">
        <f t="shared" si="10"/>
        <v>0.54896300131614539</v>
      </c>
      <c r="N235" s="474">
        <f t="shared" si="10"/>
        <v>0.54896300131614539</v>
      </c>
      <c r="O235" s="474">
        <f t="shared" si="10"/>
        <v>0.27129203207220204</v>
      </c>
      <c r="P235" s="474">
        <f t="shared" si="10"/>
        <v>0.17674798485106219</v>
      </c>
      <c r="Q235" s="474">
        <f t="shared" si="10"/>
        <v>0.54896300131614539</v>
      </c>
      <c r="R235" s="474">
        <f t="shared" si="10"/>
        <v>0</v>
      </c>
      <c r="S235" s="474">
        <f t="shared" si="10"/>
        <v>0</v>
      </c>
      <c r="T235" s="474">
        <f t="shared" si="10"/>
        <v>0</v>
      </c>
      <c r="U235" s="474">
        <f t="shared" si="10"/>
        <v>0</v>
      </c>
      <c r="V235" s="474">
        <f t="shared" si="10"/>
        <v>0</v>
      </c>
      <c r="W235" s="474">
        <f t="shared" si="10"/>
        <v>0</v>
      </c>
      <c r="X235" s="474">
        <f t="shared" si="10"/>
        <v>0</v>
      </c>
      <c r="Y235" s="474">
        <f t="shared" si="10"/>
        <v>0</v>
      </c>
      <c r="AQ235" s="88"/>
    </row>
    <row r="236" spans="3:43" x14ac:dyDescent="0.25">
      <c r="F236" s="14" t="s">
        <v>166</v>
      </c>
      <c r="G236" s="14" t="s">
        <v>120</v>
      </c>
      <c r="J236" s="275">
        <f t="shared" ref="J236:Y237" si="11">J232 * (1 - J234)</f>
        <v>5152.9650004142795</v>
      </c>
      <c r="K236" s="275">
        <f t="shared" si="11"/>
        <v>0</v>
      </c>
      <c r="L236" s="275">
        <f t="shared" si="11"/>
        <v>135.12320616985491</v>
      </c>
      <c r="M236" s="275">
        <f t="shared" si="11"/>
        <v>0</v>
      </c>
      <c r="N236" s="275">
        <f t="shared" si="11"/>
        <v>469.01166110849385</v>
      </c>
      <c r="O236" s="275">
        <f t="shared" si="11"/>
        <v>0</v>
      </c>
      <c r="P236" s="275">
        <f t="shared" si="11"/>
        <v>0</v>
      </c>
      <c r="Q236" s="275">
        <f t="shared" si="11"/>
        <v>2.5114464264788956</v>
      </c>
      <c r="R236" s="275">
        <f t="shared" si="11"/>
        <v>0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25">
      <c r="F237" s="15" t="s">
        <v>177</v>
      </c>
      <c r="G237" s="15" t="s">
        <v>120</v>
      </c>
      <c r="H237" s="93"/>
      <c r="I237" s="93"/>
      <c r="J237" s="268">
        <f t="shared" si="11"/>
        <v>5221.0072811081909</v>
      </c>
      <c r="K237" s="268">
        <f t="shared" si="11"/>
        <v>0</v>
      </c>
      <c r="L237" s="268">
        <f t="shared" si="11"/>
        <v>384.99083777980405</v>
      </c>
      <c r="M237" s="268">
        <f t="shared" si="11"/>
        <v>0</v>
      </c>
      <c r="N237" s="268">
        <f t="shared" si="11"/>
        <v>3137.5315749763472</v>
      </c>
      <c r="O237" s="268">
        <f t="shared" si="11"/>
        <v>1027.8472499803677</v>
      </c>
      <c r="P237" s="268">
        <f t="shared" si="11"/>
        <v>1747.1369542624557</v>
      </c>
      <c r="Q237" s="268">
        <f t="shared" si="11"/>
        <v>3.9018892760584643</v>
      </c>
      <c r="R237" s="268">
        <f t="shared" si="11"/>
        <v>0</v>
      </c>
      <c r="S237" s="268">
        <f t="shared" si="11"/>
        <v>0</v>
      </c>
      <c r="T237" s="268">
        <f t="shared" si="11"/>
        <v>50.298000000000002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25">
      <c r="F238" s="14" t="s">
        <v>167</v>
      </c>
      <c r="G238" s="14" t="s">
        <v>120</v>
      </c>
      <c r="J238" s="256">
        <f t="shared" ref="J238:Y238" si="12">J231 + J236 + J237</f>
        <v>655475.49579930119</v>
      </c>
      <c r="K238" s="256">
        <f t="shared" si="12"/>
        <v>50.685541167972772</v>
      </c>
      <c r="L238" s="256">
        <f t="shared" si="12"/>
        <v>129890.63793144963</v>
      </c>
      <c r="M238" s="256">
        <f t="shared" si="12"/>
        <v>6.1226977807298875</v>
      </c>
      <c r="N238" s="256">
        <f t="shared" si="12"/>
        <v>90494.543380362695</v>
      </c>
      <c r="O238" s="256">
        <f t="shared" si="12"/>
        <v>106265.0572651184</v>
      </c>
      <c r="P238" s="256">
        <f t="shared" si="12"/>
        <v>167784.61332976178</v>
      </c>
      <c r="Q238" s="256">
        <f t="shared" si="12"/>
        <v>6455.2183475278016</v>
      </c>
      <c r="R238" s="256">
        <f t="shared" si="12"/>
        <v>138.20714502602834</v>
      </c>
      <c r="S238" s="256">
        <f t="shared" si="12"/>
        <v>19.850977162721037</v>
      </c>
      <c r="T238" s="256">
        <f t="shared" si="12"/>
        <v>4652.727973052467</v>
      </c>
      <c r="U238" s="256">
        <f t="shared" si="12"/>
        <v>0</v>
      </c>
      <c r="V238" s="256">
        <f t="shared" si="12"/>
        <v>1319.5926901394901</v>
      </c>
      <c r="W238" s="256">
        <f t="shared" si="12"/>
        <v>0</v>
      </c>
      <c r="X238" s="256">
        <f t="shared" si="12"/>
        <v>42346.377102139319</v>
      </c>
      <c r="Y238" s="256">
        <f t="shared" si="12"/>
        <v>0</v>
      </c>
      <c r="AQ238" s="88"/>
    </row>
    <row r="239" spans="3:43" x14ac:dyDescent="0.2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2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694</v>
      </c>
      <c r="AQ240" s="88"/>
    </row>
    <row r="241" spans="5:43" x14ac:dyDescent="0.2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25">
      <c r="F242" s="14" t="s">
        <v>145</v>
      </c>
      <c r="G242" s="14" t="s">
        <v>120</v>
      </c>
      <c r="J242" s="275">
        <f t="shared" ref="J242:Y242" si="13">J$200</f>
        <v>2282979.7633559168</v>
      </c>
      <c r="K242" s="275">
        <f t="shared" si="13"/>
        <v>876.88932002307558</v>
      </c>
      <c r="L242" s="275">
        <f t="shared" si="13"/>
        <v>680096.77317546669</v>
      </c>
      <c r="M242" s="275">
        <f t="shared" si="13"/>
        <v>315.99830541136959</v>
      </c>
      <c r="N242" s="275">
        <f t="shared" si="13"/>
        <v>395006.7323432432</v>
      </c>
      <c r="O242" s="275">
        <f t="shared" si="13"/>
        <v>508613.35522858548</v>
      </c>
      <c r="P242" s="275">
        <f t="shared" si="13"/>
        <v>761072.62068945542</v>
      </c>
      <c r="Q242" s="275">
        <f t="shared" si="13"/>
        <v>52561.370964961032</v>
      </c>
      <c r="R242" s="275">
        <f t="shared" si="13"/>
        <v>675.42262204083556</v>
      </c>
      <c r="S242" s="275">
        <f t="shared" si="13"/>
        <v>89.283262919470644</v>
      </c>
      <c r="T242" s="275">
        <f t="shared" si="13"/>
        <v>22397.414037263683</v>
      </c>
      <c r="U242" s="275">
        <f t="shared" si="13"/>
        <v>0</v>
      </c>
      <c r="V242" s="275">
        <f t="shared" si="13"/>
        <v>5938.0182101575592</v>
      </c>
      <c r="W242" s="275">
        <f t="shared" si="13"/>
        <v>0</v>
      </c>
      <c r="X242" s="275">
        <f t="shared" si="13"/>
        <v>169950.37671525255</v>
      </c>
      <c r="Y242" s="275">
        <f t="shared" si="13"/>
        <v>0</v>
      </c>
      <c r="AQ242" s="88"/>
    </row>
    <row r="243" spans="5:43" x14ac:dyDescent="0.25">
      <c r="F243" s="14" t="s">
        <v>146</v>
      </c>
      <c r="G243" s="14" t="s">
        <v>120</v>
      </c>
      <c r="J243" s="275">
        <f t="shared" ref="J243:Y243" si="14">J$209</f>
        <v>29533.933561876322</v>
      </c>
      <c r="K243" s="275">
        <f t="shared" si="14"/>
        <v>0</v>
      </c>
      <c r="L243" s="275">
        <f t="shared" si="14"/>
        <v>1144.4821226797001</v>
      </c>
      <c r="M243" s="275">
        <f t="shared" si="14"/>
        <v>0</v>
      </c>
      <c r="N243" s="275">
        <f t="shared" si="14"/>
        <v>3458.4168758620685</v>
      </c>
      <c r="O243" s="275">
        <f t="shared" si="14"/>
        <v>0</v>
      </c>
      <c r="P243" s="275">
        <f t="shared" si="14"/>
        <v>0</v>
      </c>
      <c r="Q243" s="275">
        <f t="shared" si="14"/>
        <v>53.178547581699839</v>
      </c>
      <c r="R243" s="275">
        <f t="shared" si="14"/>
        <v>0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25">
      <c r="F244" s="14" t="s">
        <v>147</v>
      </c>
      <c r="G244" s="14" t="s">
        <v>120</v>
      </c>
      <c r="J244" s="275">
        <f t="shared" ref="J244:Y244" si="15">J$218</f>
        <v>41142.372442524007</v>
      </c>
      <c r="K244" s="275">
        <f t="shared" si="15"/>
        <v>0</v>
      </c>
      <c r="L244" s="275">
        <f t="shared" si="15"/>
        <v>4483.4007060799076</v>
      </c>
      <c r="M244" s="275">
        <f t="shared" si="15"/>
        <v>0</v>
      </c>
      <c r="N244" s="275">
        <f t="shared" si="15"/>
        <v>30056.827753448273</v>
      </c>
      <c r="O244" s="275">
        <f t="shared" si="15"/>
        <v>6591.0761551724136</v>
      </c>
      <c r="P244" s="275">
        <f t="shared" si="15"/>
        <v>9671.5444551724122</v>
      </c>
      <c r="Q244" s="275">
        <f t="shared" si="15"/>
        <v>108.36283197839724</v>
      </c>
      <c r="R244" s="275">
        <f t="shared" si="15"/>
        <v>0</v>
      </c>
      <c r="S244" s="275">
        <f t="shared" si="15"/>
        <v>0</v>
      </c>
      <c r="T244" s="275">
        <f t="shared" si="15"/>
        <v>0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25">
      <c r="F245" s="14" t="s">
        <v>178</v>
      </c>
      <c r="G245" s="14" t="s">
        <v>94</v>
      </c>
      <c r="J245" s="475">
        <f t="shared" ref="J245:Y245" si="16">IF(J$39, J$45, J$34)</f>
        <v>0.37965428939083246</v>
      </c>
      <c r="K245" s="475">
        <f t="shared" si="16"/>
        <v>0.37965428939083246</v>
      </c>
      <c r="L245" s="475">
        <f t="shared" si="16"/>
        <v>0.37965428939083246</v>
      </c>
      <c r="M245" s="475">
        <f t="shared" si="16"/>
        <v>0.37965428939083246</v>
      </c>
      <c r="N245" s="475">
        <f t="shared" si="16"/>
        <v>0.37965428939083246</v>
      </c>
      <c r="O245" s="475">
        <f t="shared" si="16"/>
        <v>0</v>
      </c>
      <c r="P245" s="475">
        <f t="shared" si="16"/>
        <v>0</v>
      </c>
      <c r="Q245" s="475">
        <f t="shared" si="16"/>
        <v>0.37965428939083246</v>
      </c>
      <c r="R245" s="475">
        <f t="shared" si="16"/>
        <v>0</v>
      </c>
      <c r="S245" s="475">
        <f t="shared" si="16"/>
        <v>0</v>
      </c>
      <c r="T245" s="475">
        <f t="shared" si="16"/>
        <v>0</v>
      </c>
      <c r="U245" s="475">
        <f t="shared" si="16"/>
        <v>0</v>
      </c>
      <c r="V245" s="475">
        <f t="shared" si="16"/>
        <v>0</v>
      </c>
      <c r="W245" s="475">
        <f t="shared" si="16"/>
        <v>0</v>
      </c>
      <c r="X245" s="475">
        <f t="shared" si="16"/>
        <v>0</v>
      </c>
      <c r="Y245" s="475">
        <f t="shared" si="16"/>
        <v>0</v>
      </c>
      <c r="AQ245" s="88"/>
    </row>
    <row r="246" spans="5:43" x14ac:dyDescent="0.25">
      <c r="F246" s="14" t="s">
        <v>179</v>
      </c>
      <c r="G246" s="14" t="s">
        <v>94</v>
      </c>
      <c r="J246" s="475">
        <f t="shared" ref="J246:Y246" si="17">IF(J$39, J$45, J$35)</f>
        <v>0.54896300131614539</v>
      </c>
      <c r="K246" s="475">
        <f t="shared" si="17"/>
        <v>0.54896300131614539</v>
      </c>
      <c r="L246" s="475">
        <f t="shared" si="17"/>
        <v>0.54896300131614539</v>
      </c>
      <c r="M246" s="475">
        <f t="shared" si="17"/>
        <v>0.54896300131614539</v>
      </c>
      <c r="N246" s="475">
        <f t="shared" si="17"/>
        <v>0.54896300131614539</v>
      </c>
      <c r="O246" s="475">
        <f t="shared" si="17"/>
        <v>0.27129203207220204</v>
      </c>
      <c r="P246" s="475">
        <f t="shared" si="17"/>
        <v>0.17674798485106219</v>
      </c>
      <c r="Q246" s="475">
        <f t="shared" si="17"/>
        <v>0.54896300131614539</v>
      </c>
      <c r="R246" s="475">
        <f t="shared" si="17"/>
        <v>0</v>
      </c>
      <c r="S246" s="475">
        <f t="shared" si="17"/>
        <v>0</v>
      </c>
      <c r="T246" s="475">
        <f t="shared" si="17"/>
        <v>0</v>
      </c>
      <c r="U246" s="475">
        <f t="shared" si="17"/>
        <v>0</v>
      </c>
      <c r="V246" s="475">
        <f t="shared" si="17"/>
        <v>0</v>
      </c>
      <c r="W246" s="475">
        <f t="shared" si="17"/>
        <v>0</v>
      </c>
      <c r="X246" s="475">
        <f t="shared" si="17"/>
        <v>0</v>
      </c>
      <c r="Y246" s="475">
        <f t="shared" si="17"/>
        <v>0</v>
      </c>
      <c r="AQ246" s="88"/>
    </row>
    <row r="247" spans="5:43" x14ac:dyDescent="0.25">
      <c r="F247" s="14" t="s">
        <v>166</v>
      </c>
      <c r="G247" s="14" t="s">
        <v>120</v>
      </c>
      <c r="J247" s="275">
        <f t="shared" ref="J247:Y248" si="18">J243 * (1 - J245)</f>
        <v>18321.24900252611</v>
      </c>
      <c r="K247" s="275">
        <f t="shared" si="18"/>
        <v>0</v>
      </c>
      <c r="L247" s="275">
        <f t="shared" si="18"/>
        <v>709.97457567322704</v>
      </c>
      <c r="M247" s="275">
        <f t="shared" si="18"/>
        <v>0</v>
      </c>
      <c r="N247" s="275">
        <f t="shared" si="18"/>
        <v>2145.4140744393922</v>
      </c>
      <c r="O247" s="275">
        <f t="shared" si="18"/>
        <v>0</v>
      </c>
      <c r="P247" s="275">
        <f t="shared" si="18"/>
        <v>0</v>
      </c>
      <c r="Q247" s="275">
        <f t="shared" si="18"/>
        <v>32.989083888733013</v>
      </c>
      <c r="R247" s="275">
        <f t="shared" si="18"/>
        <v>0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25">
      <c r="F248" s="15" t="s">
        <v>177</v>
      </c>
      <c r="G248" s="15" t="s">
        <v>120</v>
      </c>
      <c r="H248" s="93"/>
      <c r="I248" s="93"/>
      <c r="J248" s="268">
        <f t="shared" si="18"/>
        <v>18556.732185209356</v>
      </c>
      <c r="K248" s="268">
        <f t="shared" si="18"/>
        <v>0</v>
      </c>
      <c r="L248" s="268">
        <f t="shared" si="18"/>
        <v>2022.1795983673562</v>
      </c>
      <c r="M248" s="268">
        <f t="shared" si="18"/>
        <v>0</v>
      </c>
      <c r="N248" s="268">
        <f t="shared" si="18"/>
        <v>13556.741379872894</v>
      </c>
      <c r="O248" s="268">
        <f t="shared" si="18"/>
        <v>4802.9697114930523</v>
      </c>
      <c r="P248" s="268">
        <f t="shared" si="18"/>
        <v>7962.1184623232239</v>
      </c>
      <c r="Q248" s="268">
        <f t="shared" si="18"/>
        <v>48.875646504419116</v>
      </c>
      <c r="R248" s="268">
        <f t="shared" si="18"/>
        <v>0</v>
      </c>
      <c r="S248" s="268">
        <f t="shared" si="18"/>
        <v>0</v>
      </c>
      <c r="T248" s="268">
        <f t="shared" si="18"/>
        <v>0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25">
      <c r="F249" s="14" t="s">
        <v>167</v>
      </c>
      <c r="G249" s="14" t="s">
        <v>120</v>
      </c>
      <c r="J249" s="256">
        <f t="shared" ref="J249:Y249" si="19">J242 + J247 + J248</f>
        <v>2319857.7445436521</v>
      </c>
      <c r="K249" s="256">
        <f t="shared" si="19"/>
        <v>876.88932002307558</v>
      </c>
      <c r="L249" s="256">
        <f t="shared" si="19"/>
        <v>682828.92734950723</v>
      </c>
      <c r="M249" s="256">
        <f t="shared" si="19"/>
        <v>315.99830541136959</v>
      </c>
      <c r="N249" s="256">
        <f t="shared" si="19"/>
        <v>410708.88779755548</v>
      </c>
      <c r="O249" s="256">
        <f t="shared" si="19"/>
        <v>513416.32494007854</v>
      </c>
      <c r="P249" s="256">
        <f t="shared" si="19"/>
        <v>769034.73915177863</v>
      </c>
      <c r="Q249" s="256">
        <f t="shared" si="19"/>
        <v>52643.235695354182</v>
      </c>
      <c r="R249" s="256">
        <f t="shared" si="19"/>
        <v>675.42262204083556</v>
      </c>
      <c r="S249" s="256">
        <f t="shared" si="19"/>
        <v>89.283262919470644</v>
      </c>
      <c r="T249" s="256">
        <f t="shared" si="19"/>
        <v>22397.414037263683</v>
      </c>
      <c r="U249" s="256">
        <f t="shared" si="19"/>
        <v>0</v>
      </c>
      <c r="V249" s="256">
        <f t="shared" si="19"/>
        <v>5938.0182101575592</v>
      </c>
      <c r="W249" s="256">
        <f t="shared" si="19"/>
        <v>0</v>
      </c>
      <c r="X249" s="256">
        <f t="shared" si="19"/>
        <v>169950.37671525255</v>
      </c>
      <c r="Y249" s="256">
        <f t="shared" si="19"/>
        <v>0</v>
      </c>
      <c r="AQ249" s="88"/>
    </row>
    <row r="250" spans="5:43" x14ac:dyDescent="0.2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2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694</v>
      </c>
      <c r="AQ251" s="88"/>
    </row>
    <row r="252" spans="5:43" x14ac:dyDescent="0.2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25">
      <c r="F253" s="14" t="s">
        <v>145</v>
      </c>
      <c r="G253" s="14" t="s">
        <v>120</v>
      </c>
      <c r="J253" s="275">
        <f t="shared" ref="J253:Y253" si="20">J$201</f>
        <v>2148924.2598723704</v>
      </c>
      <c r="K253" s="275">
        <f t="shared" si="20"/>
        <v>11792.873278266205</v>
      </c>
      <c r="L253" s="275">
        <f t="shared" si="20"/>
        <v>658624.64052193915</v>
      </c>
      <c r="M253" s="275">
        <f t="shared" si="20"/>
        <v>3822.6277485878222</v>
      </c>
      <c r="N253" s="275">
        <f t="shared" si="20"/>
        <v>339453.23343689292</v>
      </c>
      <c r="O253" s="275">
        <f t="shared" si="20"/>
        <v>449965.27999315929</v>
      </c>
      <c r="P253" s="275">
        <f t="shared" si="20"/>
        <v>826097.49265488656</v>
      </c>
      <c r="Q253" s="275">
        <f t="shared" si="20"/>
        <v>88880.57358714845</v>
      </c>
      <c r="R253" s="275">
        <f t="shared" si="20"/>
        <v>734.62430353180275</v>
      </c>
      <c r="S253" s="275">
        <f t="shared" si="20"/>
        <v>112.33780697547499</v>
      </c>
      <c r="T253" s="275">
        <f t="shared" si="20"/>
        <v>25989.195328374855</v>
      </c>
      <c r="U253" s="275">
        <f t="shared" si="20"/>
        <v>0</v>
      </c>
      <c r="V253" s="275">
        <f t="shared" si="20"/>
        <v>7475.1781511239524</v>
      </c>
      <c r="W253" s="275">
        <f t="shared" si="20"/>
        <v>0</v>
      </c>
      <c r="X253" s="275">
        <f t="shared" si="20"/>
        <v>176946.04662843214</v>
      </c>
      <c r="Y253" s="275">
        <f t="shared" si="20"/>
        <v>0</v>
      </c>
      <c r="AQ253" s="88"/>
    </row>
    <row r="254" spans="5:43" x14ac:dyDescent="0.25">
      <c r="F254" s="14" t="s">
        <v>146</v>
      </c>
      <c r="G254" s="14" t="s">
        <v>120</v>
      </c>
      <c r="J254" s="275">
        <f t="shared" ref="J254:Y254" si="21">J$210</f>
        <v>27775.710046862965</v>
      </c>
      <c r="K254" s="275">
        <f t="shared" si="21"/>
        <v>0</v>
      </c>
      <c r="L254" s="275">
        <f t="shared" si="21"/>
        <v>1110.2450465974534</v>
      </c>
      <c r="M254" s="275">
        <f t="shared" si="21"/>
        <v>0</v>
      </c>
      <c r="N254" s="275">
        <f t="shared" si="21"/>
        <v>3157.7184275862069</v>
      </c>
      <c r="O254" s="275">
        <f t="shared" si="21"/>
        <v>0</v>
      </c>
      <c r="P254" s="275">
        <f t="shared" si="21"/>
        <v>0</v>
      </c>
      <c r="Q254" s="275">
        <f t="shared" si="21"/>
        <v>60.454134059674857</v>
      </c>
      <c r="R254" s="275">
        <f t="shared" si="21"/>
        <v>0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25">
      <c r="F255" s="14" t="s">
        <v>147</v>
      </c>
      <c r="G255" s="14" t="s">
        <v>120</v>
      </c>
      <c r="J255" s="275">
        <f t="shared" ref="J255:Y255" si="22">J$219</f>
        <v>38695.794593341067</v>
      </c>
      <c r="K255" s="275">
        <f t="shared" si="22"/>
        <v>0</v>
      </c>
      <c r="L255" s="275">
        <f t="shared" si="22"/>
        <v>4353.1997925365686</v>
      </c>
      <c r="M255" s="275">
        <f t="shared" si="22"/>
        <v>0</v>
      </c>
      <c r="N255" s="275">
        <f t="shared" si="22"/>
        <v>27859.593836206899</v>
      </c>
      <c r="O255" s="275">
        <f t="shared" si="22"/>
        <v>6361.5094620689651</v>
      </c>
      <c r="P255" s="275">
        <f t="shared" si="22"/>
        <v>9995.5189103448301</v>
      </c>
      <c r="Q255" s="275">
        <f t="shared" si="22"/>
        <v>123.18908683710534</v>
      </c>
      <c r="R255" s="275">
        <f t="shared" si="22"/>
        <v>0</v>
      </c>
      <c r="S255" s="275">
        <f t="shared" si="22"/>
        <v>0</v>
      </c>
      <c r="T255" s="275">
        <f t="shared" si="22"/>
        <v>0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25">
      <c r="F256" s="14" t="s">
        <v>178</v>
      </c>
      <c r="G256" s="14" t="s">
        <v>94</v>
      </c>
      <c r="J256" s="475">
        <f t="shared" ref="J256:Y256" si="23">IF(J$39, J$45, J$34)</f>
        <v>0.37965428939083246</v>
      </c>
      <c r="K256" s="475">
        <f t="shared" si="23"/>
        <v>0.37965428939083246</v>
      </c>
      <c r="L256" s="475">
        <f t="shared" si="23"/>
        <v>0.37965428939083246</v>
      </c>
      <c r="M256" s="475">
        <f t="shared" si="23"/>
        <v>0.37965428939083246</v>
      </c>
      <c r="N256" s="475">
        <f t="shared" si="23"/>
        <v>0.37965428939083246</v>
      </c>
      <c r="O256" s="475">
        <f t="shared" si="23"/>
        <v>0</v>
      </c>
      <c r="P256" s="475">
        <f t="shared" si="23"/>
        <v>0</v>
      </c>
      <c r="Q256" s="475">
        <f t="shared" si="23"/>
        <v>0.37965428939083246</v>
      </c>
      <c r="R256" s="475">
        <f t="shared" si="23"/>
        <v>0</v>
      </c>
      <c r="S256" s="475">
        <f t="shared" si="23"/>
        <v>0</v>
      </c>
      <c r="T256" s="475">
        <f t="shared" si="23"/>
        <v>0</v>
      </c>
      <c r="U256" s="475">
        <f t="shared" si="23"/>
        <v>0</v>
      </c>
      <c r="V256" s="475">
        <f t="shared" si="23"/>
        <v>0</v>
      </c>
      <c r="W256" s="475">
        <f t="shared" si="23"/>
        <v>0</v>
      </c>
      <c r="X256" s="475">
        <f t="shared" si="23"/>
        <v>0</v>
      </c>
      <c r="Y256" s="475">
        <f t="shared" si="23"/>
        <v>0</v>
      </c>
      <c r="AQ256" s="88"/>
    </row>
    <row r="257" spans="5:43" x14ac:dyDescent="0.25">
      <c r="F257" s="14" t="s">
        <v>179</v>
      </c>
      <c r="G257" s="14" t="s">
        <v>94</v>
      </c>
      <c r="J257" s="475">
        <f t="shared" ref="J257:Y257" si="24">IF(J$39, J$45, J$35)</f>
        <v>0.54896300131614539</v>
      </c>
      <c r="K257" s="475">
        <f t="shared" si="24"/>
        <v>0.54896300131614539</v>
      </c>
      <c r="L257" s="475">
        <f t="shared" si="24"/>
        <v>0.54896300131614539</v>
      </c>
      <c r="M257" s="475">
        <f t="shared" si="24"/>
        <v>0.54896300131614539</v>
      </c>
      <c r="N257" s="475">
        <f t="shared" si="24"/>
        <v>0.54896300131614539</v>
      </c>
      <c r="O257" s="475">
        <f t="shared" si="24"/>
        <v>0.27129203207220204</v>
      </c>
      <c r="P257" s="475">
        <f t="shared" si="24"/>
        <v>0.17674798485106219</v>
      </c>
      <c r="Q257" s="475">
        <f t="shared" si="24"/>
        <v>0.54896300131614539</v>
      </c>
      <c r="R257" s="475">
        <f t="shared" si="24"/>
        <v>0</v>
      </c>
      <c r="S257" s="475">
        <f t="shared" si="24"/>
        <v>0</v>
      </c>
      <c r="T257" s="475">
        <f t="shared" si="24"/>
        <v>0</v>
      </c>
      <c r="U257" s="475">
        <f t="shared" si="24"/>
        <v>0</v>
      </c>
      <c r="V257" s="475">
        <f t="shared" si="24"/>
        <v>0</v>
      </c>
      <c r="W257" s="475">
        <f t="shared" si="24"/>
        <v>0</v>
      </c>
      <c r="X257" s="475">
        <f t="shared" si="24"/>
        <v>0</v>
      </c>
      <c r="Y257" s="475">
        <f t="shared" si="24"/>
        <v>0</v>
      </c>
      <c r="AQ257" s="88"/>
    </row>
    <row r="258" spans="5:43" x14ac:dyDescent="0.25">
      <c r="F258" s="14" t="s">
        <v>166</v>
      </c>
      <c r="G258" s="14" t="s">
        <v>120</v>
      </c>
      <c r="J258" s="275">
        <f t="shared" ref="J258:Y259" si="25">J254 * (1 - J256)</f>
        <v>17230.542586695399</v>
      </c>
      <c r="K258" s="275">
        <f t="shared" si="25"/>
        <v>0</v>
      </c>
      <c r="L258" s="275">
        <f t="shared" si="25"/>
        <v>688.73575238180558</v>
      </c>
      <c r="M258" s="275">
        <f t="shared" si="25"/>
        <v>0</v>
      </c>
      <c r="N258" s="275">
        <f t="shared" si="25"/>
        <v>1958.8770818646287</v>
      </c>
      <c r="O258" s="275">
        <f t="shared" si="25"/>
        <v>0</v>
      </c>
      <c r="P258" s="275">
        <f t="shared" si="25"/>
        <v>0</v>
      </c>
      <c r="Q258" s="275">
        <f t="shared" si="25"/>
        <v>37.50246275251088</v>
      </c>
      <c r="R258" s="275">
        <f t="shared" si="25"/>
        <v>0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25">
      <c r="F259" s="15" t="s">
        <v>177</v>
      </c>
      <c r="G259" s="15" t="s">
        <v>120</v>
      </c>
      <c r="H259" s="93"/>
      <c r="I259" s="93"/>
      <c r="J259" s="268">
        <f t="shared" si="25"/>
        <v>17453.235055067482</v>
      </c>
      <c r="K259" s="268">
        <f t="shared" si="25"/>
        <v>0</v>
      </c>
      <c r="L259" s="268">
        <f t="shared" si="25"/>
        <v>1963.4541690968724</v>
      </c>
      <c r="M259" s="268">
        <f t="shared" si="25"/>
        <v>0</v>
      </c>
      <c r="N259" s="268">
        <f t="shared" si="25"/>
        <v>12565.707588433976</v>
      </c>
      <c r="O259" s="268">
        <f t="shared" si="25"/>
        <v>4635.6826330577342</v>
      </c>
      <c r="P259" s="268">
        <f t="shared" si="25"/>
        <v>8228.8310854006959</v>
      </c>
      <c r="Q259" s="268">
        <f t="shared" si="25"/>
        <v>55.56283599761273</v>
      </c>
      <c r="R259" s="268">
        <f t="shared" si="25"/>
        <v>0</v>
      </c>
      <c r="S259" s="268">
        <f t="shared" si="25"/>
        <v>0</v>
      </c>
      <c r="T259" s="268">
        <f t="shared" si="25"/>
        <v>0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25">
      <c r="F260" s="14" t="s">
        <v>167</v>
      </c>
      <c r="G260" s="14" t="s">
        <v>120</v>
      </c>
      <c r="J260" s="256">
        <f t="shared" ref="J260:Y260" si="26">J253 + J258 + J259</f>
        <v>2183608.0375141334</v>
      </c>
      <c r="K260" s="256">
        <f t="shared" si="26"/>
        <v>11792.873278266205</v>
      </c>
      <c r="L260" s="256">
        <f t="shared" si="26"/>
        <v>661276.83044341789</v>
      </c>
      <c r="M260" s="256">
        <f t="shared" si="26"/>
        <v>3822.6277485878222</v>
      </c>
      <c r="N260" s="256">
        <f t="shared" si="26"/>
        <v>353977.81810719153</v>
      </c>
      <c r="O260" s="256">
        <f t="shared" si="26"/>
        <v>454600.96262621705</v>
      </c>
      <c r="P260" s="256">
        <f t="shared" si="26"/>
        <v>834326.32374028722</v>
      </c>
      <c r="Q260" s="256">
        <f t="shared" si="26"/>
        <v>88973.638885898574</v>
      </c>
      <c r="R260" s="256">
        <f t="shared" si="26"/>
        <v>734.62430353180275</v>
      </c>
      <c r="S260" s="256">
        <f t="shared" si="26"/>
        <v>112.33780697547499</v>
      </c>
      <c r="T260" s="256">
        <f t="shared" si="26"/>
        <v>25989.195328374855</v>
      </c>
      <c r="U260" s="256">
        <f t="shared" si="26"/>
        <v>0</v>
      </c>
      <c r="V260" s="256">
        <f t="shared" si="26"/>
        <v>7475.1781511239524</v>
      </c>
      <c r="W260" s="256">
        <f t="shared" si="26"/>
        <v>0</v>
      </c>
      <c r="X260" s="256">
        <f t="shared" si="26"/>
        <v>176946.04662843214</v>
      </c>
      <c r="Y260" s="256">
        <f t="shared" si="26"/>
        <v>0</v>
      </c>
      <c r="AQ260" s="88"/>
    </row>
    <row r="261" spans="5:43" x14ac:dyDescent="0.2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2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2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25">
      <c r="F264" s="14" t="s">
        <v>167</v>
      </c>
      <c r="G264" s="14" t="s">
        <v>120</v>
      </c>
      <c r="J264" s="275">
        <f t="shared" ref="J264:Y264" si="27">J260 + J249 + J238</f>
        <v>5158941.2778570866</v>
      </c>
      <c r="K264" s="275">
        <f t="shared" si="27"/>
        <v>12720.448139457254</v>
      </c>
      <c r="L264" s="275">
        <f t="shared" si="27"/>
        <v>1473996.3957243746</v>
      </c>
      <c r="M264" s="275">
        <f t="shared" si="27"/>
        <v>4144.7487517799218</v>
      </c>
      <c r="N264" s="275">
        <f t="shared" si="27"/>
        <v>855181.24928510969</v>
      </c>
      <c r="O264" s="275">
        <f t="shared" si="27"/>
        <v>1074282.3448314141</v>
      </c>
      <c r="P264" s="275">
        <f t="shared" si="27"/>
        <v>1771145.6762218275</v>
      </c>
      <c r="Q264" s="275">
        <f t="shared" si="27"/>
        <v>148072.09292878056</v>
      </c>
      <c r="R264" s="275">
        <f t="shared" si="27"/>
        <v>1548.2540705986667</v>
      </c>
      <c r="S264" s="275">
        <f t="shared" si="27"/>
        <v>221.47204705766666</v>
      </c>
      <c r="T264" s="275">
        <f t="shared" si="27"/>
        <v>53039.337338691003</v>
      </c>
      <c r="U264" s="275">
        <f t="shared" si="27"/>
        <v>0</v>
      </c>
      <c r="V264" s="275">
        <f t="shared" si="27"/>
        <v>14732.789051421003</v>
      </c>
      <c r="W264" s="275">
        <f t="shared" si="27"/>
        <v>0</v>
      </c>
      <c r="X264" s="275">
        <f t="shared" si="27"/>
        <v>389242.80044582405</v>
      </c>
      <c r="Y264" s="275">
        <f t="shared" si="27"/>
        <v>0</v>
      </c>
      <c r="AQ264" s="88"/>
    </row>
    <row r="265" spans="5:43" x14ac:dyDescent="0.2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2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694</v>
      </c>
      <c r="AQ266" s="88"/>
    </row>
    <row r="267" spans="5:43" x14ac:dyDescent="0.2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25">
      <c r="F268" s="14" t="s">
        <v>145</v>
      </c>
      <c r="G268" s="14" t="s">
        <v>74</v>
      </c>
      <c r="J268" s="275">
        <f t="shared" ref="J268:Y268" si="28">J202</f>
        <v>1393317</v>
      </c>
      <c r="K268" s="275">
        <f t="shared" si="28"/>
        <v>3156</v>
      </c>
      <c r="L268" s="275">
        <f t="shared" si="28"/>
        <v>100873</v>
      </c>
      <c r="M268" s="275">
        <f t="shared" si="28"/>
        <v>997</v>
      </c>
      <c r="N268" s="275">
        <f t="shared" si="28"/>
        <v>5399</v>
      </c>
      <c r="O268" s="275">
        <f t="shared" si="28"/>
        <v>3075</v>
      </c>
      <c r="P268" s="275">
        <f t="shared" si="28"/>
        <v>801</v>
      </c>
      <c r="Q268" s="275">
        <f t="shared" si="28"/>
        <v>574</v>
      </c>
      <c r="R268" s="275">
        <f t="shared" si="28"/>
        <v>283</v>
      </c>
      <c r="S268" s="275">
        <f t="shared" si="28"/>
        <v>25</v>
      </c>
      <c r="T268" s="275">
        <f t="shared" si="28"/>
        <v>317</v>
      </c>
      <c r="U268" s="275">
        <f t="shared" si="28"/>
        <v>0</v>
      </c>
      <c r="V268" s="275">
        <f t="shared" si="28"/>
        <v>41</v>
      </c>
      <c r="W268" s="275">
        <f t="shared" si="28"/>
        <v>0</v>
      </c>
      <c r="X268" s="275">
        <f t="shared" si="28"/>
        <v>138</v>
      </c>
      <c r="Y268" s="275">
        <f t="shared" si="28"/>
        <v>0</v>
      </c>
      <c r="AQ268" s="88"/>
    </row>
    <row r="269" spans="5:43" x14ac:dyDescent="0.25">
      <c r="F269" s="14" t="s">
        <v>146</v>
      </c>
      <c r="G269" s="14" t="s">
        <v>74</v>
      </c>
      <c r="J269" s="275">
        <f t="shared" ref="J269:Y269" si="29">J211</f>
        <v>23151</v>
      </c>
      <c r="K269" s="275">
        <f t="shared" si="29"/>
        <v>0</v>
      </c>
      <c r="L269" s="275">
        <f t="shared" si="29"/>
        <v>373</v>
      </c>
      <c r="M269" s="275">
        <f t="shared" si="29"/>
        <v>0</v>
      </c>
      <c r="N269" s="275">
        <f t="shared" si="29"/>
        <v>40</v>
      </c>
      <c r="O269" s="275">
        <f t="shared" si="29"/>
        <v>0</v>
      </c>
      <c r="P269" s="275">
        <f t="shared" si="29"/>
        <v>0</v>
      </c>
      <c r="Q269" s="275">
        <f t="shared" si="29"/>
        <v>14</v>
      </c>
      <c r="R269" s="275">
        <f t="shared" si="29"/>
        <v>0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25">
      <c r="F270" s="14" t="s">
        <v>147</v>
      </c>
      <c r="G270" s="14" t="s">
        <v>74</v>
      </c>
      <c r="J270" s="275">
        <f t="shared" ref="J270:Y270" si="30">J220</f>
        <v>31794</v>
      </c>
      <c r="K270" s="275">
        <f t="shared" si="30"/>
        <v>0</v>
      </c>
      <c r="L270" s="275">
        <f t="shared" si="30"/>
        <v>662</v>
      </c>
      <c r="M270" s="275">
        <f t="shared" si="30"/>
        <v>0</v>
      </c>
      <c r="N270" s="275">
        <f t="shared" si="30"/>
        <v>262</v>
      </c>
      <c r="O270" s="275">
        <f t="shared" si="30"/>
        <v>21</v>
      </c>
      <c r="P270" s="275">
        <f t="shared" si="30"/>
        <v>17</v>
      </c>
      <c r="Q270" s="275">
        <f t="shared" si="30"/>
        <v>59</v>
      </c>
      <c r="R270" s="275">
        <f t="shared" si="30"/>
        <v>0</v>
      </c>
      <c r="S270" s="275">
        <f t="shared" si="30"/>
        <v>0</v>
      </c>
      <c r="T270" s="275">
        <f t="shared" si="30"/>
        <v>1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25">
      <c r="F271" s="14" t="s">
        <v>178</v>
      </c>
      <c r="G271" s="14" t="s">
        <v>94</v>
      </c>
      <c r="J271" s="475">
        <f t="shared" ref="J271:Y271" si="31">IF(J$40, J$46, J$34)</f>
        <v>0.37965428939083246</v>
      </c>
      <c r="K271" s="475">
        <f t="shared" si="31"/>
        <v>0.37965428939083246</v>
      </c>
      <c r="L271" s="475">
        <f t="shared" si="31"/>
        <v>0.37965428939083246</v>
      </c>
      <c r="M271" s="475">
        <f t="shared" si="31"/>
        <v>0.37965428939083246</v>
      </c>
      <c r="N271" s="475">
        <f t="shared" si="31"/>
        <v>0.37965428939083246</v>
      </c>
      <c r="O271" s="475">
        <f t="shared" si="31"/>
        <v>0</v>
      </c>
      <c r="P271" s="475">
        <f t="shared" si="31"/>
        <v>0</v>
      </c>
      <c r="Q271" s="475">
        <f t="shared" si="31"/>
        <v>0.37965428939083246</v>
      </c>
      <c r="R271" s="475">
        <f t="shared" si="31"/>
        <v>1</v>
      </c>
      <c r="S271" s="475">
        <f t="shared" si="31"/>
        <v>1</v>
      </c>
      <c r="T271" s="475">
        <f t="shared" si="31"/>
        <v>1</v>
      </c>
      <c r="U271" s="475">
        <f t="shared" si="31"/>
        <v>1</v>
      </c>
      <c r="V271" s="475">
        <f t="shared" si="31"/>
        <v>1</v>
      </c>
      <c r="W271" s="475">
        <f t="shared" si="31"/>
        <v>1</v>
      </c>
      <c r="X271" s="475">
        <f t="shared" si="31"/>
        <v>1</v>
      </c>
      <c r="Y271" s="475">
        <f t="shared" si="31"/>
        <v>1</v>
      </c>
      <c r="AQ271" s="88"/>
    </row>
    <row r="272" spans="5:43" x14ac:dyDescent="0.25">
      <c r="F272" s="14" t="s">
        <v>179</v>
      </c>
      <c r="G272" s="14" t="s">
        <v>94</v>
      </c>
      <c r="J272" s="475">
        <f t="shared" ref="J272:Y272" si="32">IF(J$40, J$46, J$35)</f>
        <v>0.54896300131614539</v>
      </c>
      <c r="K272" s="475">
        <f t="shared" si="32"/>
        <v>0.54896300131614539</v>
      </c>
      <c r="L272" s="475">
        <f t="shared" si="32"/>
        <v>0.54896300131614539</v>
      </c>
      <c r="M272" s="475">
        <f t="shared" si="32"/>
        <v>0.54896300131614539</v>
      </c>
      <c r="N272" s="475">
        <f t="shared" si="32"/>
        <v>0.54896300131614539</v>
      </c>
      <c r="O272" s="475">
        <f t="shared" si="32"/>
        <v>0.27129203207220204</v>
      </c>
      <c r="P272" s="475">
        <f t="shared" si="32"/>
        <v>0.17674798485106219</v>
      </c>
      <c r="Q272" s="475">
        <f t="shared" si="32"/>
        <v>0.54896300131614539</v>
      </c>
      <c r="R272" s="475">
        <f t="shared" si="32"/>
        <v>1</v>
      </c>
      <c r="S272" s="475">
        <f t="shared" si="32"/>
        <v>1</v>
      </c>
      <c r="T272" s="475">
        <f t="shared" si="32"/>
        <v>1</v>
      </c>
      <c r="U272" s="475">
        <f t="shared" si="32"/>
        <v>1</v>
      </c>
      <c r="V272" s="475">
        <f t="shared" si="32"/>
        <v>1</v>
      </c>
      <c r="W272" s="475">
        <f t="shared" si="32"/>
        <v>1</v>
      </c>
      <c r="X272" s="475">
        <f t="shared" si="32"/>
        <v>1</v>
      </c>
      <c r="Y272" s="475">
        <f t="shared" si="32"/>
        <v>1</v>
      </c>
      <c r="AQ272" s="88"/>
    </row>
    <row r="273" spans="5:43" x14ac:dyDescent="0.25">
      <c r="F273" s="14" t="s">
        <v>166</v>
      </c>
      <c r="G273" s="14" t="s">
        <v>74</v>
      </c>
      <c r="J273" s="275">
        <f t="shared" ref="J273:Y274" si="33">J269 * (1 - J271)</f>
        <v>14361.623546312838</v>
      </c>
      <c r="K273" s="275">
        <f t="shared" si="33"/>
        <v>0</v>
      </c>
      <c r="L273" s="275">
        <f t="shared" si="33"/>
        <v>231.38895005721949</v>
      </c>
      <c r="M273" s="275">
        <f t="shared" si="33"/>
        <v>0</v>
      </c>
      <c r="N273" s="275">
        <f t="shared" si="33"/>
        <v>24.813828424366701</v>
      </c>
      <c r="O273" s="275">
        <f t="shared" si="33"/>
        <v>0</v>
      </c>
      <c r="P273" s="275">
        <f t="shared" si="33"/>
        <v>0</v>
      </c>
      <c r="Q273" s="275">
        <f t="shared" si="33"/>
        <v>8.6848399485283458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25">
      <c r="F274" s="15" t="s">
        <v>177</v>
      </c>
      <c r="G274" s="15" t="s">
        <v>74</v>
      </c>
      <c r="H274" s="93"/>
      <c r="I274" s="93"/>
      <c r="J274" s="268">
        <f t="shared" si="33"/>
        <v>14340.270336154474</v>
      </c>
      <c r="K274" s="268">
        <f t="shared" si="33"/>
        <v>0</v>
      </c>
      <c r="L274" s="268">
        <f t="shared" si="33"/>
        <v>298.58649312871177</v>
      </c>
      <c r="M274" s="268">
        <f t="shared" si="33"/>
        <v>0</v>
      </c>
      <c r="N274" s="268">
        <f t="shared" si="33"/>
        <v>118.1716936551699</v>
      </c>
      <c r="O274" s="268">
        <f t="shared" si="33"/>
        <v>15.302867326483756</v>
      </c>
      <c r="P274" s="268">
        <f t="shared" si="33"/>
        <v>13.995284257531942</v>
      </c>
      <c r="Q274" s="268">
        <f t="shared" si="33"/>
        <v>26.611182922347421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25">
      <c r="F275" s="14" t="s">
        <v>167</v>
      </c>
      <c r="G275" s="14" t="s">
        <v>74</v>
      </c>
      <c r="J275" s="256">
        <f t="shared" ref="J275:Y275" si="34">J268 + J273 + J274</f>
        <v>1422018.8938824672</v>
      </c>
      <c r="K275" s="256">
        <f t="shared" si="34"/>
        <v>3156</v>
      </c>
      <c r="L275" s="256">
        <f t="shared" si="34"/>
        <v>101402.97544318593</v>
      </c>
      <c r="M275" s="256">
        <f t="shared" si="34"/>
        <v>997</v>
      </c>
      <c r="N275" s="256">
        <f t="shared" si="34"/>
        <v>5541.9855220795371</v>
      </c>
      <c r="O275" s="256">
        <f t="shared" si="34"/>
        <v>3090.3028673264839</v>
      </c>
      <c r="P275" s="256">
        <f t="shared" si="34"/>
        <v>814.99528425753192</v>
      </c>
      <c r="Q275" s="256">
        <f t="shared" si="34"/>
        <v>609.29602287087573</v>
      </c>
      <c r="R275" s="256">
        <f t="shared" si="34"/>
        <v>283</v>
      </c>
      <c r="S275" s="256">
        <f t="shared" si="34"/>
        <v>25</v>
      </c>
      <c r="T275" s="256">
        <f t="shared" si="34"/>
        <v>317</v>
      </c>
      <c r="U275" s="256">
        <f t="shared" si="34"/>
        <v>0</v>
      </c>
      <c r="V275" s="256">
        <f t="shared" si="34"/>
        <v>41</v>
      </c>
      <c r="W275" s="256">
        <f t="shared" si="34"/>
        <v>0</v>
      </c>
      <c r="X275" s="256">
        <f t="shared" si="34"/>
        <v>138</v>
      </c>
      <c r="Y275" s="256">
        <f t="shared" si="34"/>
        <v>0</v>
      </c>
      <c r="AQ275" s="88"/>
    </row>
    <row r="276" spans="5:43" x14ac:dyDescent="0.2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2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694</v>
      </c>
      <c r="AQ277" s="88"/>
    </row>
    <row r="278" spans="5:43" x14ac:dyDescent="0.2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2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546934</v>
      </c>
      <c r="O279" s="275">
        <f t="shared" si="35"/>
        <v>566817</v>
      </c>
      <c r="P279" s="275">
        <f t="shared" si="35"/>
        <v>670989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2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5800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2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65128</v>
      </c>
      <c r="O281" s="275">
        <f t="shared" si="37"/>
        <v>13429</v>
      </c>
      <c r="P281" s="275">
        <f t="shared" si="37"/>
        <v>14343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25">
      <c r="F282" s="14" t="s">
        <v>178</v>
      </c>
      <c r="G282" s="14" t="s">
        <v>94</v>
      </c>
      <c r="J282" s="475">
        <f t="shared" ref="J282:Y282" si="38">IF(J$41, J$47, J$34)</f>
        <v>0.37965428939083246</v>
      </c>
      <c r="K282" s="475">
        <f t="shared" si="38"/>
        <v>0.37965428939083246</v>
      </c>
      <c r="L282" s="475">
        <f t="shared" si="38"/>
        <v>0.37965428939083246</v>
      </c>
      <c r="M282" s="475">
        <f t="shared" si="38"/>
        <v>0.37965428939083246</v>
      </c>
      <c r="N282" s="475">
        <f t="shared" si="38"/>
        <v>0.37965428939083246</v>
      </c>
      <c r="O282" s="475">
        <f t="shared" si="38"/>
        <v>0</v>
      </c>
      <c r="P282" s="475">
        <f t="shared" si="38"/>
        <v>0</v>
      </c>
      <c r="Q282" s="475">
        <f t="shared" si="38"/>
        <v>0.37965428939083246</v>
      </c>
      <c r="R282" s="475">
        <f t="shared" si="38"/>
        <v>0</v>
      </c>
      <c r="S282" s="475">
        <f t="shared" si="38"/>
        <v>0</v>
      </c>
      <c r="T282" s="475">
        <f t="shared" si="38"/>
        <v>0</v>
      </c>
      <c r="U282" s="475">
        <f t="shared" si="38"/>
        <v>0</v>
      </c>
      <c r="V282" s="475">
        <f t="shared" si="38"/>
        <v>0</v>
      </c>
      <c r="W282" s="475">
        <f t="shared" si="38"/>
        <v>0</v>
      </c>
      <c r="X282" s="475">
        <f t="shared" si="38"/>
        <v>0</v>
      </c>
      <c r="Y282" s="475">
        <f t="shared" si="38"/>
        <v>0</v>
      </c>
      <c r="AQ282" s="88"/>
    </row>
    <row r="283" spans="5:43" x14ac:dyDescent="0.25">
      <c r="F283" s="14" t="s">
        <v>179</v>
      </c>
      <c r="G283" s="14" t="s">
        <v>94</v>
      </c>
      <c r="J283" s="475">
        <f t="shared" ref="J283:Y283" si="39">IF(J$41, J$47, J$35)</f>
        <v>0.54896300131614539</v>
      </c>
      <c r="K283" s="475">
        <f t="shared" si="39"/>
        <v>0.54896300131614539</v>
      </c>
      <c r="L283" s="475">
        <f t="shared" si="39"/>
        <v>0.54896300131614539</v>
      </c>
      <c r="M283" s="475">
        <f t="shared" si="39"/>
        <v>0.54896300131614539</v>
      </c>
      <c r="N283" s="475">
        <f t="shared" si="39"/>
        <v>0.54896300131614539</v>
      </c>
      <c r="O283" s="475">
        <f t="shared" si="39"/>
        <v>0.27129203207220204</v>
      </c>
      <c r="P283" s="475">
        <f t="shared" si="39"/>
        <v>0.17674798485106219</v>
      </c>
      <c r="Q283" s="475">
        <f t="shared" si="39"/>
        <v>0.54896300131614539</v>
      </c>
      <c r="R283" s="475">
        <f t="shared" si="39"/>
        <v>0</v>
      </c>
      <c r="S283" s="475">
        <f t="shared" si="39"/>
        <v>0</v>
      </c>
      <c r="T283" s="475">
        <f t="shared" si="39"/>
        <v>0</v>
      </c>
      <c r="U283" s="475">
        <f t="shared" si="39"/>
        <v>0</v>
      </c>
      <c r="V283" s="475">
        <f t="shared" si="39"/>
        <v>0</v>
      </c>
      <c r="W283" s="475">
        <f t="shared" si="39"/>
        <v>0</v>
      </c>
      <c r="X283" s="475">
        <f t="shared" si="39"/>
        <v>0</v>
      </c>
      <c r="Y283" s="475">
        <f t="shared" si="39"/>
        <v>0</v>
      </c>
      <c r="AQ283" s="88"/>
    </row>
    <row r="284" spans="5:43" x14ac:dyDescent="0.2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3598.0051215331719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2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29375.137650282082</v>
      </c>
      <c r="O285" s="268">
        <f t="shared" si="40"/>
        <v>9785.8193013023974</v>
      </c>
      <c r="P285" s="268">
        <f t="shared" si="40"/>
        <v>11807.903653281213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2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579907.1427718153</v>
      </c>
      <c r="O286" s="256">
        <f t="shared" si="41"/>
        <v>576602.81930130243</v>
      </c>
      <c r="P286" s="256">
        <f t="shared" si="41"/>
        <v>682796.90365328116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2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2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694</v>
      </c>
      <c r="AQ288" s="88"/>
    </row>
    <row r="289" spans="5:43" x14ac:dyDescent="0.2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2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12354</v>
      </c>
      <c r="O290" s="275">
        <f t="shared" si="42"/>
        <v>13271</v>
      </c>
      <c r="P290" s="275">
        <f t="shared" si="42"/>
        <v>11171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2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0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2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54.999999999999993</v>
      </c>
      <c r="O292" s="275">
        <f t="shared" si="44"/>
        <v>0</v>
      </c>
      <c r="P292" s="275">
        <f t="shared" si="44"/>
        <v>8.0833333333333339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25">
      <c r="F293" s="14" t="s">
        <v>178</v>
      </c>
      <c r="G293" s="14" t="s">
        <v>94</v>
      </c>
      <c r="J293" s="475">
        <f t="shared" ref="J293:Y293" si="45">IF(J$42, J$48, J$34)</f>
        <v>0.37965428939083246</v>
      </c>
      <c r="K293" s="475">
        <f t="shared" si="45"/>
        <v>0.37965428939083246</v>
      </c>
      <c r="L293" s="475">
        <f t="shared" si="45"/>
        <v>0.37965428939083246</v>
      </c>
      <c r="M293" s="475">
        <f t="shared" si="45"/>
        <v>0.37965428939083246</v>
      </c>
      <c r="N293" s="475">
        <f t="shared" si="45"/>
        <v>0.37965428939083246</v>
      </c>
      <c r="O293" s="475">
        <f t="shared" si="45"/>
        <v>0</v>
      </c>
      <c r="P293" s="475">
        <f t="shared" si="45"/>
        <v>0</v>
      </c>
      <c r="Q293" s="475">
        <f t="shared" si="45"/>
        <v>0.37965428939083246</v>
      </c>
      <c r="R293" s="475">
        <f t="shared" si="45"/>
        <v>0</v>
      </c>
      <c r="S293" s="475">
        <f t="shared" si="45"/>
        <v>0</v>
      </c>
      <c r="T293" s="475">
        <f t="shared" si="45"/>
        <v>0</v>
      </c>
      <c r="U293" s="475">
        <f t="shared" si="45"/>
        <v>0</v>
      </c>
      <c r="V293" s="475">
        <f t="shared" si="45"/>
        <v>0</v>
      </c>
      <c r="W293" s="475">
        <f t="shared" si="45"/>
        <v>0</v>
      </c>
      <c r="X293" s="475">
        <f t="shared" si="45"/>
        <v>0</v>
      </c>
      <c r="Y293" s="475">
        <f t="shared" si="45"/>
        <v>0</v>
      </c>
      <c r="AQ293" s="88"/>
    </row>
    <row r="294" spans="5:43" x14ac:dyDescent="0.25">
      <c r="F294" s="14" t="s">
        <v>179</v>
      </c>
      <c r="G294" s="14" t="s">
        <v>94</v>
      </c>
      <c r="J294" s="475">
        <f t="shared" ref="J294:Y294" si="46">IF(J$42, J$48, J$35)</f>
        <v>0.54896300131614539</v>
      </c>
      <c r="K294" s="475">
        <f t="shared" si="46"/>
        <v>0.54896300131614539</v>
      </c>
      <c r="L294" s="475">
        <f t="shared" si="46"/>
        <v>0.54896300131614539</v>
      </c>
      <c r="M294" s="475">
        <f t="shared" si="46"/>
        <v>0.54896300131614539</v>
      </c>
      <c r="N294" s="475">
        <f t="shared" si="46"/>
        <v>0.54896300131614539</v>
      </c>
      <c r="O294" s="475">
        <f t="shared" si="46"/>
        <v>0.27129203207220204</v>
      </c>
      <c r="P294" s="475">
        <f t="shared" si="46"/>
        <v>0.17674798485106219</v>
      </c>
      <c r="Q294" s="475">
        <f t="shared" si="46"/>
        <v>0.54896300131614539</v>
      </c>
      <c r="R294" s="475">
        <f t="shared" si="46"/>
        <v>0</v>
      </c>
      <c r="S294" s="475">
        <f t="shared" si="46"/>
        <v>0</v>
      </c>
      <c r="T294" s="475">
        <f t="shared" si="46"/>
        <v>0</v>
      </c>
      <c r="U294" s="475">
        <f t="shared" si="46"/>
        <v>0</v>
      </c>
      <c r="V294" s="475">
        <f t="shared" si="46"/>
        <v>0</v>
      </c>
      <c r="W294" s="475">
        <f t="shared" si="46"/>
        <v>0</v>
      </c>
      <c r="X294" s="475">
        <f t="shared" si="46"/>
        <v>0</v>
      </c>
      <c r="Y294" s="475">
        <f t="shared" si="46"/>
        <v>0</v>
      </c>
      <c r="AQ294" s="88"/>
    </row>
    <row r="295" spans="5:43" x14ac:dyDescent="0.2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0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2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24.807034927612001</v>
      </c>
      <c r="O296" s="268">
        <f t="shared" si="47"/>
        <v>0</v>
      </c>
      <c r="P296" s="268">
        <f t="shared" si="47"/>
        <v>6.6546204557872475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2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12378.807034927611</v>
      </c>
      <c r="O297" s="256">
        <f t="shared" si="48"/>
        <v>13271</v>
      </c>
      <c r="P297" s="256">
        <f t="shared" si="48"/>
        <v>11177.654620455787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2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2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694</v>
      </c>
      <c r="AQ299" s="88"/>
    </row>
    <row r="300" spans="5:43" x14ac:dyDescent="0.2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2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76681.719000000012</v>
      </c>
      <c r="O301" s="275">
        <f t="shared" si="49"/>
        <v>92938.824999999997</v>
      </c>
      <c r="P301" s="275">
        <f t="shared" si="49"/>
        <v>112020.46400000001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4390.8</v>
      </c>
      <c r="U301" s="275">
        <f t="shared" si="49"/>
        <v>0</v>
      </c>
      <c r="V301" s="275">
        <f t="shared" si="49"/>
        <v>172.2</v>
      </c>
      <c r="W301" s="275">
        <f t="shared" si="49"/>
        <v>0</v>
      </c>
      <c r="X301" s="275">
        <f t="shared" si="49"/>
        <v>7419.6</v>
      </c>
      <c r="Y301" s="275">
        <f t="shared" si="49"/>
        <v>0</v>
      </c>
      <c r="AQ301" s="88"/>
    </row>
    <row r="302" spans="5:43" x14ac:dyDescent="0.2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263.89490000000001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2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4458.6697000000004</v>
      </c>
      <c r="O303" s="275">
        <f t="shared" si="51"/>
        <v>3557.2147</v>
      </c>
      <c r="P303" s="275">
        <f t="shared" si="51"/>
        <v>340.45029999999997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36.967100000000002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25">
      <c r="F304" s="14" t="s">
        <v>178</v>
      </c>
      <c r="G304" s="14" t="s">
        <v>94</v>
      </c>
      <c r="J304" s="475">
        <f t="shared" ref="J304:Y304" si="52">IF(J$43, J$49, J$34)</f>
        <v>0.37965428939083246</v>
      </c>
      <c r="K304" s="475">
        <f t="shared" si="52"/>
        <v>0.37965428939083246</v>
      </c>
      <c r="L304" s="475">
        <f t="shared" si="52"/>
        <v>0.37965428939083246</v>
      </c>
      <c r="M304" s="475">
        <f t="shared" si="52"/>
        <v>0.37965428939083246</v>
      </c>
      <c r="N304" s="475">
        <f t="shared" si="52"/>
        <v>0.37965428939083246</v>
      </c>
      <c r="O304" s="475">
        <f t="shared" si="52"/>
        <v>0</v>
      </c>
      <c r="P304" s="475">
        <f t="shared" si="52"/>
        <v>0</v>
      </c>
      <c r="Q304" s="475">
        <f t="shared" si="52"/>
        <v>0.37965428939083246</v>
      </c>
      <c r="R304" s="475">
        <f t="shared" si="52"/>
        <v>0</v>
      </c>
      <c r="S304" s="475">
        <f t="shared" si="52"/>
        <v>0</v>
      </c>
      <c r="T304" s="475">
        <f t="shared" si="52"/>
        <v>0</v>
      </c>
      <c r="U304" s="475">
        <f t="shared" si="52"/>
        <v>0</v>
      </c>
      <c r="V304" s="475">
        <f t="shared" si="52"/>
        <v>0</v>
      </c>
      <c r="W304" s="475">
        <f t="shared" si="52"/>
        <v>0</v>
      </c>
      <c r="X304" s="475">
        <f t="shared" si="52"/>
        <v>0</v>
      </c>
      <c r="Y304" s="475">
        <f t="shared" si="52"/>
        <v>0</v>
      </c>
      <c r="AQ304" s="88"/>
    </row>
    <row r="305" spans="2:43" x14ac:dyDescent="0.25">
      <c r="F305" s="14" t="s">
        <v>179</v>
      </c>
      <c r="G305" s="14" t="s">
        <v>94</v>
      </c>
      <c r="J305" s="475">
        <f t="shared" ref="J305:Y305" si="53">IF(J$43, J$49, J$35)</f>
        <v>0.54896300131614539</v>
      </c>
      <c r="K305" s="475">
        <f t="shared" si="53"/>
        <v>0.54896300131614539</v>
      </c>
      <c r="L305" s="475">
        <f t="shared" si="53"/>
        <v>0.54896300131614539</v>
      </c>
      <c r="M305" s="475">
        <f t="shared" si="53"/>
        <v>0.54896300131614539</v>
      </c>
      <c r="N305" s="475">
        <f t="shared" si="53"/>
        <v>0.54896300131614539</v>
      </c>
      <c r="O305" s="475">
        <f t="shared" si="53"/>
        <v>0.27129203207220204</v>
      </c>
      <c r="P305" s="475">
        <f t="shared" si="53"/>
        <v>0.17674798485106219</v>
      </c>
      <c r="Q305" s="475">
        <f t="shared" si="53"/>
        <v>0.54896300131614539</v>
      </c>
      <c r="R305" s="475">
        <f t="shared" si="53"/>
        <v>0</v>
      </c>
      <c r="S305" s="475">
        <f t="shared" si="53"/>
        <v>0</v>
      </c>
      <c r="T305" s="475">
        <f t="shared" si="53"/>
        <v>0</v>
      </c>
      <c r="U305" s="475">
        <f t="shared" si="53"/>
        <v>0</v>
      </c>
      <c r="V305" s="475">
        <f t="shared" si="53"/>
        <v>0</v>
      </c>
      <c r="W305" s="475">
        <f t="shared" si="53"/>
        <v>0</v>
      </c>
      <c r="X305" s="475">
        <f t="shared" si="53"/>
        <v>0</v>
      </c>
      <c r="Y305" s="475">
        <f t="shared" si="53"/>
        <v>0</v>
      </c>
      <c r="AQ305" s="88"/>
    </row>
    <row r="306" spans="2:43" x14ac:dyDescent="0.2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163.70606926663521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2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2011.0249996106427</v>
      </c>
      <c r="O307" s="268">
        <f t="shared" si="54"/>
        <v>2592.1706955198911</v>
      </c>
      <c r="P307" s="268">
        <f t="shared" si="54"/>
        <v>280.27639553306039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36.967100000000002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2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78856.450068877297</v>
      </c>
      <c r="O308" s="256">
        <f t="shared" si="55"/>
        <v>95530.995695519887</v>
      </c>
      <c r="P308" s="256">
        <f t="shared" si="55"/>
        <v>112300.74039553307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4427.7671</v>
      </c>
      <c r="U308" s="256">
        <f t="shared" si="55"/>
        <v>0</v>
      </c>
      <c r="V308" s="256">
        <f t="shared" si="55"/>
        <v>172.2</v>
      </c>
      <c r="W308" s="256">
        <f t="shared" si="55"/>
        <v>0</v>
      </c>
      <c r="X308" s="256">
        <f t="shared" si="55"/>
        <v>7419.6</v>
      </c>
      <c r="Y308" s="256">
        <f t="shared" si="55"/>
        <v>0</v>
      </c>
      <c r="AQ308" s="88"/>
    </row>
    <row r="309" spans="2:43" x14ac:dyDescent="0.25">
      <c r="D309" s="96"/>
      <c r="AQ309" s="88"/>
    </row>
    <row r="310" spans="2:43" x14ac:dyDescent="0.25">
      <c r="B310" s="95" t="s">
        <v>1078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25">
      <c r="C311" s="96"/>
      <c r="AQ311" s="88"/>
    </row>
    <row r="312" spans="2:43" x14ac:dyDescent="0.25">
      <c r="C312" s="82" t="s">
        <v>1079</v>
      </c>
      <c r="AQ312" s="88"/>
    </row>
    <row r="313" spans="2:43" x14ac:dyDescent="0.25">
      <c r="C313" s="96"/>
      <c r="AQ313" s="88"/>
    </row>
    <row r="314" spans="2:43" x14ac:dyDescent="0.25">
      <c r="C314" s="96"/>
      <c r="E314" s="96" t="s">
        <v>178</v>
      </c>
      <c r="AQ314" s="88"/>
    </row>
    <row r="315" spans="2:43" x14ac:dyDescent="0.2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0.37965428939083246</v>
      </c>
      <c r="K315" s="180">
        <f t="shared" ref="K315:Y315" si="56">IF(K$39, K$45, K$34)</f>
        <v>0.37965428939083246</v>
      </c>
      <c r="L315" s="180">
        <f t="shared" si="56"/>
        <v>0.37965428939083246</v>
      </c>
      <c r="M315" s="180">
        <f t="shared" si="56"/>
        <v>0.37965428939083246</v>
      </c>
      <c r="N315" s="180">
        <f t="shared" si="56"/>
        <v>0.37965428939083246</v>
      </c>
      <c r="O315" s="180">
        <f t="shared" si="56"/>
        <v>0</v>
      </c>
      <c r="P315" s="180">
        <f t="shared" si="56"/>
        <v>0</v>
      </c>
      <c r="Q315" s="180">
        <f t="shared" si="56"/>
        <v>0.37965428939083246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25">
      <c r="C316" s="96"/>
      <c r="F316" s="109" t="s">
        <v>200</v>
      </c>
      <c r="G316" s="293" t="s">
        <v>94</v>
      </c>
      <c r="J316" s="474">
        <f t="shared" ref="J316:Y317" si="57">IF(J$39, J$45, J$34)</f>
        <v>0.37965428939083246</v>
      </c>
      <c r="K316" s="474">
        <f t="shared" si="57"/>
        <v>0.37965428939083246</v>
      </c>
      <c r="L316" s="474">
        <f t="shared" si="57"/>
        <v>0.37965428939083246</v>
      </c>
      <c r="M316" s="474">
        <f t="shared" si="57"/>
        <v>0.37965428939083246</v>
      </c>
      <c r="N316" s="474">
        <f t="shared" si="57"/>
        <v>0.37965428939083246</v>
      </c>
      <c r="O316" s="474">
        <f t="shared" si="57"/>
        <v>0</v>
      </c>
      <c r="P316" s="474">
        <f t="shared" si="57"/>
        <v>0</v>
      </c>
      <c r="Q316" s="474">
        <f t="shared" si="57"/>
        <v>0.37965428939083246</v>
      </c>
      <c r="R316" s="474">
        <f t="shared" si="57"/>
        <v>0</v>
      </c>
      <c r="S316" s="474">
        <f t="shared" si="57"/>
        <v>0</v>
      </c>
      <c r="T316" s="474">
        <f t="shared" si="57"/>
        <v>0</v>
      </c>
      <c r="U316" s="474">
        <f t="shared" si="57"/>
        <v>0</v>
      </c>
      <c r="V316" s="474">
        <f t="shared" si="57"/>
        <v>0</v>
      </c>
      <c r="W316" s="474">
        <f t="shared" si="57"/>
        <v>0</v>
      </c>
      <c r="X316" s="474">
        <f t="shared" si="57"/>
        <v>0</v>
      </c>
      <c r="Y316" s="474">
        <f t="shared" si="57"/>
        <v>0</v>
      </c>
      <c r="AQ316" s="88"/>
    </row>
    <row r="317" spans="2:43" x14ac:dyDescent="0.25">
      <c r="C317" s="96"/>
      <c r="F317" s="36" t="s">
        <v>201</v>
      </c>
      <c r="G317" s="93" t="s">
        <v>94</v>
      </c>
      <c r="H317" s="93"/>
      <c r="I317" s="93"/>
      <c r="J317" s="181">
        <f t="shared" si="57"/>
        <v>0.37965428939083246</v>
      </c>
      <c r="K317" s="181">
        <f t="shared" si="57"/>
        <v>0.37965428939083246</v>
      </c>
      <c r="L317" s="181">
        <f t="shared" si="57"/>
        <v>0.37965428939083246</v>
      </c>
      <c r="M317" s="181">
        <f t="shared" si="57"/>
        <v>0.37965428939083246</v>
      </c>
      <c r="N317" s="181">
        <f t="shared" si="57"/>
        <v>0.37965428939083246</v>
      </c>
      <c r="O317" s="181">
        <f t="shared" si="57"/>
        <v>0</v>
      </c>
      <c r="P317" s="181">
        <f t="shared" si="57"/>
        <v>0</v>
      </c>
      <c r="Q317" s="181">
        <f t="shared" si="57"/>
        <v>0.37965428939083246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25">
      <c r="C318" s="96"/>
      <c r="F318" s="109" t="s">
        <v>74</v>
      </c>
      <c r="G318" s="293" t="s">
        <v>94</v>
      </c>
      <c r="J318" s="474">
        <f t="shared" ref="J318:Y321" si="58">IF(J$39, J46, J$34)</f>
        <v>0.37965428939083246</v>
      </c>
      <c r="K318" s="474">
        <f t="shared" si="58"/>
        <v>0.37965428939083246</v>
      </c>
      <c r="L318" s="474">
        <f t="shared" si="58"/>
        <v>0.37965428939083246</v>
      </c>
      <c r="M318" s="474">
        <f t="shared" si="58"/>
        <v>0.37965428939083246</v>
      </c>
      <c r="N318" s="474">
        <f t="shared" si="58"/>
        <v>0.37965428939083246</v>
      </c>
      <c r="O318" s="474">
        <f t="shared" si="58"/>
        <v>0</v>
      </c>
      <c r="P318" s="474">
        <f t="shared" si="58"/>
        <v>0</v>
      </c>
      <c r="Q318" s="474">
        <f t="shared" si="58"/>
        <v>0.37965428939083246</v>
      </c>
      <c r="R318" s="474">
        <f t="shared" si="58"/>
        <v>1</v>
      </c>
      <c r="S318" s="474">
        <f t="shared" si="58"/>
        <v>1</v>
      </c>
      <c r="T318" s="474">
        <f t="shared" si="58"/>
        <v>1</v>
      </c>
      <c r="U318" s="474">
        <f t="shared" si="58"/>
        <v>1</v>
      </c>
      <c r="V318" s="474">
        <f t="shared" si="58"/>
        <v>1</v>
      </c>
      <c r="W318" s="474">
        <f t="shared" si="58"/>
        <v>1</v>
      </c>
      <c r="X318" s="474">
        <f t="shared" si="58"/>
        <v>1</v>
      </c>
      <c r="Y318" s="474">
        <f t="shared" si="58"/>
        <v>1</v>
      </c>
      <c r="AQ318" s="88"/>
    </row>
    <row r="319" spans="2:43" x14ac:dyDescent="0.25">
      <c r="C319" s="96"/>
      <c r="F319" s="109" t="s">
        <v>202</v>
      </c>
      <c r="G319" s="293" t="s">
        <v>94</v>
      </c>
      <c r="J319" s="474">
        <f t="shared" si="58"/>
        <v>0.37965428939083246</v>
      </c>
      <c r="K319" s="474">
        <f t="shared" si="58"/>
        <v>0.37965428939083246</v>
      </c>
      <c r="L319" s="474">
        <f t="shared" si="58"/>
        <v>0.37965428939083246</v>
      </c>
      <c r="M319" s="474">
        <f t="shared" si="58"/>
        <v>0.37965428939083246</v>
      </c>
      <c r="N319" s="474">
        <f t="shared" si="58"/>
        <v>0.37965428939083246</v>
      </c>
      <c r="O319" s="474">
        <f t="shared" si="58"/>
        <v>0</v>
      </c>
      <c r="P319" s="474">
        <f t="shared" si="58"/>
        <v>0</v>
      </c>
      <c r="Q319" s="474">
        <f t="shared" si="58"/>
        <v>0.37965428939083246</v>
      </c>
      <c r="R319" s="474">
        <f t="shared" si="58"/>
        <v>0</v>
      </c>
      <c r="S319" s="474">
        <f t="shared" si="58"/>
        <v>0</v>
      </c>
      <c r="T319" s="474">
        <f t="shared" si="58"/>
        <v>0</v>
      </c>
      <c r="U319" s="474">
        <f t="shared" si="58"/>
        <v>0</v>
      </c>
      <c r="V319" s="474">
        <f t="shared" si="58"/>
        <v>0</v>
      </c>
      <c r="W319" s="474">
        <f t="shared" si="58"/>
        <v>0</v>
      </c>
      <c r="X319" s="474">
        <f t="shared" si="58"/>
        <v>0</v>
      </c>
      <c r="Y319" s="474">
        <f t="shared" si="58"/>
        <v>0</v>
      </c>
      <c r="AQ319" s="88"/>
    </row>
    <row r="320" spans="2:43" x14ac:dyDescent="0.25">
      <c r="C320" s="96"/>
      <c r="F320" s="109" t="s">
        <v>203</v>
      </c>
      <c r="G320" s="293" t="s">
        <v>94</v>
      </c>
      <c r="J320" s="474">
        <f t="shared" si="58"/>
        <v>0.37965428939083246</v>
      </c>
      <c r="K320" s="474">
        <f t="shared" si="58"/>
        <v>0.37965428939083246</v>
      </c>
      <c r="L320" s="474">
        <f t="shared" si="58"/>
        <v>0.37965428939083246</v>
      </c>
      <c r="M320" s="474">
        <f t="shared" si="58"/>
        <v>0.37965428939083246</v>
      </c>
      <c r="N320" s="474">
        <f t="shared" si="58"/>
        <v>0.37965428939083246</v>
      </c>
      <c r="O320" s="474">
        <f t="shared" si="58"/>
        <v>0</v>
      </c>
      <c r="P320" s="474">
        <f t="shared" si="58"/>
        <v>0</v>
      </c>
      <c r="Q320" s="474">
        <f t="shared" si="58"/>
        <v>0.37965428939083246</v>
      </c>
      <c r="R320" s="474">
        <f t="shared" si="58"/>
        <v>0</v>
      </c>
      <c r="S320" s="474">
        <f t="shared" si="58"/>
        <v>0</v>
      </c>
      <c r="T320" s="474">
        <f t="shared" si="58"/>
        <v>0</v>
      </c>
      <c r="U320" s="474">
        <f t="shared" si="58"/>
        <v>0</v>
      </c>
      <c r="V320" s="474">
        <f t="shared" si="58"/>
        <v>0</v>
      </c>
      <c r="W320" s="474">
        <f t="shared" si="58"/>
        <v>0</v>
      </c>
      <c r="X320" s="474">
        <f t="shared" si="58"/>
        <v>0</v>
      </c>
      <c r="Y320" s="474">
        <f t="shared" si="58"/>
        <v>0</v>
      </c>
      <c r="AQ320" s="88"/>
    </row>
    <row r="321" spans="3:43" x14ac:dyDescent="0.25">
      <c r="C321" s="96"/>
      <c r="F321" s="36" t="s">
        <v>204</v>
      </c>
      <c r="G321" s="93" t="s">
        <v>94</v>
      </c>
      <c r="H321" s="93"/>
      <c r="I321" s="93"/>
      <c r="J321" s="181">
        <f t="shared" si="58"/>
        <v>0.37965428939083246</v>
      </c>
      <c r="K321" s="181">
        <f t="shared" si="58"/>
        <v>0.37965428939083246</v>
      </c>
      <c r="L321" s="181">
        <f t="shared" si="58"/>
        <v>0.37965428939083246</v>
      </c>
      <c r="M321" s="181">
        <f t="shared" si="58"/>
        <v>0.37965428939083246</v>
      </c>
      <c r="N321" s="181">
        <f t="shared" si="58"/>
        <v>0.37965428939083246</v>
      </c>
      <c r="O321" s="181">
        <f t="shared" si="58"/>
        <v>0</v>
      </c>
      <c r="P321" s="181">
        <f t="shared" si="58"/>
        <v>0</v>
      </c>
      <c r="Q321" s="181">
        <f t="shared" si="58"/>
        <v>0.37965428939083246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25">
      <c r="C322" s="96"/>
      <c r="AQ322" s="88"/>
    </row>
    <row r="323" spans="3:43" x14ac:dyDescent="0.25">
      <c r="C323" s="96"/>
      <c r="E323" s="96" t="s">
        <v>179</v>
      </c>
      <c r="AQ323" s="88"/>
    </row>
    <row r="324" spans="3:43" x14ac:dyDescent="0.2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0.54896300131614539</v>
      </c>
      <c r="K324" s="180">
        <f t="shared" ref="K324:Y326" si="59">IF(K$39, K$45, K$35)</f>
        <v>0.54896300131614539</v>
      </c>
      <c r="L324" s="180">
        <f t="shared" si="59"/>
        <v>0.54896300131614539</v>
      </c>
      <c r="M324" s="180">
        <f t="shared" si="59"/>
        <v>0.54896300131614539</v>
      </c>
      <c r="N324" s="180">
        <f t="shared" si="59"/>
        <v>0.54896300131614539</v>
      </c>
      <c r="O324" s="180">
        <f t="shared" si="59"/>
        <v>0.27129203207220204</v>
      </c>
      <c r="P324" s="180">
        <f t="shared" si="59"/>
        <v>0.17674798485106219</v>
      </c>
      <c r="Q324" s="180">
        <f t="shared" si="59"/>
        <v>0.54896300131614539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25">
      <c r="C325" s="96"/>
      <c r="F325" s="109" t="s">
        <v>200</v>
      </c>
      <c r="G325" s="293" t="s">
        <v>94</v>
      </c>
      <c r="J325" s="474">
        <f t="shared" ref="J325:J326" si="60">IF(J$39, J$45, J$35)</f>
        <v>0.54896300131614539</v>
      </c>
      <c r="K325" s="474">
        <f t="shared" si="59"/>
        <v>0.54896300131614539</v>
      </c>
      <c r="L325" s="474">
        <f t="shared" si="59"/>
        <v>0.54896300131614539</v>
      </c>
      <c r="M325" s="474">
        <f t="shared" si="59"/>
        <v>0.54896300131614539</v>
      </c>
      <c r="N325" s="474">
        <f t="shared" si="59"/>
        <v>0.54896300131614539</v>
      </c>
      <c r="O325" s="474">
        <f t="shared" si="59"/>
        <v>0.27129203207220204</v>
      </c>
      <c r="P325" s="474">
        <f t="shared" si="59"/>
        <v>0.17674798485106219</v>
      </c>
      <c r="Q325" s="474">
        <f t="shared" si="59"/>
        <v>0.54896300131614539</v>
      </c>
      <c r="R325" s="474">
        <f t="shared" si="59"/>
        <v>0</v>
      </c>
      <c r="S325" s="474">
        <f t="shared" si="59"/>
        <v>0</v>
      </c>
      <c r="T325" s="474">
        <f t="shared" si="59"/>
        <v>0</v>
      </c>
      <c r="U325" s="474">
        <f t="shared" si="59"/>
        <v>0</v>
      </c>
      <c r="V325" s="474">
        <f t="shared" si="59"/>
        <v>0</v>
      </c>
      <c r="W325" s="474">
        <f t="shared" si="59"/>
        <v>0</v>
      </c>
      <c r="X325" s="474">
        <f t="shared" si="59"/>
        <v>0</v>
      </c>
      <c r="Y325" s="474">
        <f t="shared" si="59"/>
        <v>0</v>
      </c>
      <c r="AQ325" s="88"/>
    </row>
    <row r="326" spans="3:43" x14ac:dyDescent="0.25">
      <c r="C326" s="96"/>
      <c r="F326" s="36" t="s">
        <v>201</v>
      </c>
      <c r="G326" s="93" t="s">
        <v>94</v>
      </c>
      <c r="H326" s="93"/>
      <c r="I326" s="93"/>
      <c r="J326" s="181">
        <f t="shared" si="60"/>
        <v>0.54896300131614539</v>
      </c>
      <c r="K326" s="181">
        <f t="shared" si="59"/>
        <v>0.54896300131614539</v>
      </c>
      <c r="L326" s="181">
        <f t="shared" si="59"/>
        <v>0.54896300131614539</v>
      </c>
      <c r="M326" s="181">
        <f t="shared" si="59"/>
        <v>0.54896300131614539</v>
      </c>
      <c r="N326" s="181">
        <f t="shared" si="59"/>
        <v>0.54896300131614539</v>
      </c>
      <c r="O326" s="181">
        <f t="shared" si="59"/>
        <v>0.27129203207220204</v>
      </c>
      <c r="P326" s="181">
        <f t="shared" si="59"/>
        <v>0.17674798485106219</v>
      </c>
      <c r="Q326" s="181">
        <f t="shared" si="59"/>
        <v>0.54896300131614539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25">
      <c r="C327" s="96"/>
      <c r="F327" s="109" t="s">
        <v>74</v>
      </c>
      <c r="G327" s="293" t="s">
        <v>94</v>
      </c>
      <c r="J327" s="474">
        <f t="shared" ref="J327:Y330" si="61">IF(J$39, J46, J$35)</f>
        <v>0.54896300131614539</v>
      </c>
      <c r="K327" s="474">
        <f t="shared" si="61"/>
        <v>0.54896300131614539</v>
      </c>
      <c r="L327" s="474">
        <f t="shared" si="61"/>
        <v>0.54896300131614539</v>
      </c>
      <c r="M327" s="474">
        <f t="shared" si="61"/>
        <v>0.54896300131614539</v>
      </c>
      <c r="N327" s="474">
        <f t="shared" si="61"/>
        <v>0.54896300131614539</v>
      </c>
      <c r="O327" s="474">
        <f t="shared" si="61"/>
        <v>0.27129203207220204</v>
      </c>
      <c r="P327" s="474">
        <f t="shared" si="61"/>
        <v>0.17674798485106219</v>
      </c>
      <c r="Q327" s="474">
        <f t="shared" si="61"/>
        <v>0.54896300131614539</v>
      </c>
      <c r="R327" s="474">
        <f t="shared" si="61"/>
        <v>1</v>
      </c>
      <c r="S327" s="474">
        <f t="shared" si="61"/>
        <v>1</v>
      </c>
      <c r="T327" s="474">
        <f t="shared" si="61"/>
        <v>1</v>
      </c>
      <c r="U327" s="474">
        <f t="shared" si="61"/>
        <v>1</v>
      </c>
      <c r="V327" s="474">
        <f t="shared" si="61"/>
        <v>1</v>
      </c>
      <c r="W327" s="474">
        <f t="shared" si="61"/>
        <v>1</v>
      </c>
      <c r="X327" s="474">
        <f t="shared" si="61"/>
        <v>1</v>
      </c>
      <c r="Y327" s="474">
        <f t="shared" si="61"/>
        <v>1</v>
      </c>
      <c r="AQ327" s="88"/>
    </row>
    <row r="328" spans="3:43" x14ac:dyDescent="0.25">
      <c r="C328" s="96"/>
      <c r="F328" s="109" t="s">
        <v>202</v>
      </c>
      <c r="G328" s="293" t="s">
        <v>94</v>
      </c>
      <c r="J328" s="474">
        <f t="shared" si="61"/>
        <v>0.54896300131614539</v>
      </c>
      <c r="K328" s="474">
        <f t="shared" si="61"/>
        <v>0.54896300131614539</v>
      </c>
      <c r="L328" s="474">
        <f t="shared" si="61"/>
        <v>0.54896300131614539</v>
      </c>
      <c r="M328" s="474">
        <f t="shared" si="61"/>
        <v>0.54896300131614539</v>
      </c>
      <c r="N328" s="474">
        <f t="shared" si="61"/>
        <v>0.54896300131614539</v>
      </c>
      <c r="O328" s="474">
        <f t="shared" si="61"/>
        <v>0.27129203207220204</v>
      </c>
      <c r="P328" s="474">
        <f t="shared" si="61"/>
        <v>0.17674798485106219</v>
      </c>
      <c r="Q328" s="474">
        <f t="shared" si="61"/>
        <v>0.54896300131614539</v>
      </c>
      <c r="R328" s="474">
        <f t="shared" si="61"/>
        <v>0</v>
      </c>
      <c r="S328" s="474">
        <f t="shared" si="61"/>
        <v>0</v>
      </c>
      <c r="T328" s="474">
        <f t="shared" si="61"/>
        <v>0</v>
      </c>
      <c r="U328" s="474">
        <f t="shared" si="61"/>
        <v>0</v>
      </c>
      <c r="V328" s="474">
        <f t="shared" si="61"/>
        <v>0</v>
      </c>
      <c r="W328" s="474">
        <f t="shared" si="61"/>
        <v>0</v>
      </c>
      <c r="X328" s="474">
        <f t="shared" si="61"/>
        <v>0</v>
      </c>
      <c r="Y328" s="474">
        <f t="shared" si="61"/>
        <v>0</v>
      </c>
      <c r="AQ328" s="88"/>
    </row>
    <row r="329" spans="3:43" x14ac:dyDescent="0.25">
      <c r="C329" s="96"/>
      <c r="F329" s="109" t="s">
        <v>203</v>
      </c>
      <c r="G329" s="293" t="s">
        <v>94</v>
      </c>
      <c r="J329" s="474">
        <f t="shared" si="61"/>
        <v>0.54896300131614539</v>
      </c>
      <c r="K329" s="474">
        <f t="shared" si="61"/>
        <v>0.54896300131614539</v>
      </c>
      <c r="L329" s="474">
        <f t="shared" si="61"/>
        <v>0.54896300131614539</v>
      </c>
      <c r="M329" s="474">
        <f t="shared" si="61"/>
        <v>0.54896300131614539</v>
      </c>
      <c r="N329" s="474">
        <f t="shared" si="61"/>
        <v>0.54896300131614539</v>
      </c>
      <c r="O329" s="474">
        <f t="shared" si="61"/>
        <v>0.27129203207220204</v>
      </c>
      <c r="P329" s="474">
        <f t="shared" si="61"/>
        <v>0.17674798485106219</v>
      </c>
      <c r="Q329" s="474">
        <f t="shared" si="61"/>
        <v>0.54896300131614539</v>
      </c>
      <c r="R329" s="474">
        <f t="shared" si="61"/>
        <v>0</v>
      </c>
      <c r="S329" s="474">
        <f t="shared" si="61"/>
        <v>0</v>
      </c>
      <c r="T329" s="474">
        <f t="shared" si="61"/>
        <v>0</v>
      </c>
      <c r="U329" s="474">
        <f t="shared" si="61"/>
        <v>0</v>
      </c>
      <c r="V329" s="474">
        <f t="shared" si="61"/>
        <v>0</v>
      </c>
      <c r="W329" s="474">
        <f t="shared" si="61"/>
        <v>0</v>
      </c>
      <c r="X329" s="474">
        <f t="shared" si="61"/>
        <v>0</v>
      </c>
      <c r="Y329" s="474">
        <f t="shared" si="61"/>
        <v>0</v>
      </c>
      <c r="AQ329" s="88"/>
    </row>
    <row r="330" spans="3:43" x14ac:dyDescent="0.25">
      <c r="C330" s="96"/>
      <c r="F330" s="36" t="s">
        <v>204</v>
      </c>
      <c r="G330" s="93" t="s">
        <v>94</v>
      </c>
      <c r="H330" s="93"/>
      <c r="I330" s="93"/>
      <c r="J330" s="181">
        <f t="shared" si="61"/>
        <v>0.54896300131614539</v>
      </c>
      <c r="K330" s="181">
        <f t="shared" si="61"/>
        <v>0.54896300131614539</v>
      </c>
      <c r="L330" s="181">
        <f t="shared" si="61"/>
        <v>0.54896300131614539</v>
      </c>
      <c r="M330" s="181">
        <f t="shared" si="61"/>
        <v>0.54896300131614539</v>
      </c>
      <c r="N330" s="181">
        <f t="shared" si="61"/>
        <v>0.54896300131614539</v>
      </c>
      <c r="O330" s="181">
        <f t="shared" si="61"/>
        <v>0.27129203207220204</v>
      </c>
      <c r="P330" s="181">
        <f t="shared" si="61"/>
        <v>0.17674798485106219</v>
      </c>
      <c r="Q330" s="181">
        <f t="shared" si="61"/>
        <v>0.54896300131614539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25">
      <c r="C331" s="96"/>
      <c r="AQ331" s="88"/>
    </row>
    <row r="332" spans="3:43" x14ac:dyDescent="0.25">
      <c r="C332" s="7" t="str">
        <f ca="1">INDEX('Version control'!$H$34:$H$60,MATCH($A$1,'Version control'!$F$34:$F$60,0),1)&amp;"-D: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25">
      <c r="C333" s="96"/>
      <c r="AQ333" s="88"/>
    </row>
    <row r="334" spans="3:43" x14ac:dyDescent="0.25">
      <c r="E334" s="96" t="s">
        <v>1080</v>
      </c>
      <c r="G334" s="108"/>
      <c r="I334" s="293" t="s">
        <v>359</v>
      </c>
      <c r="AQ334" s="88"/>
    </row>
    <row r="335" spans="3:43" x14ac:dyDescent="0.2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</v>
      </c>
      <c r="L335" s="267">
        <f t="shared" si="62"/>
        <v>0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0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25">
      <c r="E336" s="96"/>
      <c r="F336" s="109" t="s">
        <v>200</v>
      </c>
      <c r="G336" s="109" t="s">
        <v>120</v>
      </c>
      <c r="J336" s="239"/>
      <c r="K336" s="264">
        <f t="shared" si="62"/>
        <v>0</v>
      </c>
      <c r="L336" s="264">
        <f t="shared" si="62"/>
        <v>0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0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25">
      <c r="E337" s="96"/>
      <c r="F337" s="109" t="s">
        <v>201</v>
      </c>
      <c r="G337" s="109" t="s">
        <v>120</v>
      </c>
      <c r="J337" s="239"/>
      <c r="K337" s="264">
        <f t="shared" si="62"/>
        <v>0</v>
      </c>
      <c r="L337" s="264">
        <f t="shared" si="62"/>
        <v>0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0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25">
      <c r="E338" s="96"/>
      <c r="F338" s="109" t="s">
        <v>74</v>
      </c>
      <c r="G338" s="109" t="s">
        <v>74</v>
      </c>
      <c r="J338" s="239"/>
      <c r="K338" s="264">
        <f t="shared" si="62"/>
        <v>0</v>
      </c>
      <c r="L338" s="264">
        <f t="shared" si="62"/>
        <v>0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2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2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2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25">
      <c r="AQ342" s="88"/>
    </row>
    <row r="343" spans="5:43" x14ac:dyDescent="0.25">
      <c r="E343" s="96" t="s">
        <v>1081</v>
      </c>
      <c r="G343" s="108"/>
      <c r="I343" s="293" t="s">
        <v>359</v>
      </c>
      <c r="AQ343" s="88"/>
    </row>
    <row r="344" spans="5:43" x14ac:dyDescent="0.2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</v>
      </c>
      <c r="L344" s="267">
        <f t="shared" si="64"/>
        <v>0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0</v>
      </c>
      <c r="S344" s="267">
        <f t="shared" si="65"/>
        <v>0</v>
      </c>
      <c r="T344" s="267">
        <f t="shared" si="65"/>
        <v>50.298000000000002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25">
      <c r="E345" s="96"/>
      <c r="F345" s="109" t="s">
        <v>200</v>
      </c>
      <c r="G345" s="109" t="s">
        <v>120</v>
      </c>
      <c r="J345" s="239"/>
      <c r="K345" s="264">
        <f t="shared" si="64"/>
        <v>0</v>
      </c>
      <c r="L345" s="264">
        <f t="shared" si="64"/>
        <v>0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0</v>
      </c>
      <c r="S345" s="264">
        <f t="shared" si="65"/>
        <v>0</v>
      </c>
      <c r="T345" s="264">
        <f t="shared" si="65"/>
        <v>0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25">
      <c r="E346" s="96"/>
      <c r="F346" s="109" t="s">
        <v>201</v>
      </c>
      <c r="G346" s="109" t="s">
        <v>120</v>
      </c>
      <c r="J346" s="239"/>
      <c r="K346" s="264">
        <f t="shared" si="64"/>
        <v>0</v>
      </c>
      <c r="L346" s="264">
        <f t="shared" si="64"/>
        <v>0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0</v>
      </c>
      <c r="S346" s="264">
        <f t="shared" si="65"/>
        <v>0</v>
      </c>
      <c r="T346" s="264">
        <f t="shared" si="65"/>
        <v>0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25">
      <c r="E347" s="96"/>
      <c r="F347" s="109" t="s">
        <v>74</v>
      </c>
      <c r="G347" s="109" t="s">
        <v>74</v>
      </c>
      <c r="J347" s="239"/>
      <c r="K347" s="264">
        <f t="shared" si="64"/>
        <v>0</v>
      </c>
      <c r="L347" s="264">
        <f t="shared" si="64"/>
        <v>0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2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2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2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36.967100000000002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25">
      <c r="AQ351" s="88"/>
    </row>
    <row r="352" spans="5:43" x14ac:dyDescent="0.25">
      <c r="E352" s="96" t="s">
        <v>1082</v>
      </c>
      <c r="G352" s="108"/>
      <c r="I352" s="293" t="s">
        <v>359</v>
      </c>
      <c r="AQ352" s="88"/>
    </row>
    <row r="353" spans="3:43" x14ac:dyDescent="0.2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50.685541167972772</v>
      </c>
      <c r="L353" s="267">
        <f t="shared" si="66"/>
        <v>0</v>
      </c>
      <c r="M353" s="267">
        <f t="shared" si="66"/>
        <v>6.1226977807298875</v>
      </c>
      <c r="N353" s="267">
        <f t="shared" si="66"/>
        <v>0</v>
      </c>
      <c r="O353" s="267">
        <f t="shared" si="66"/>
        <v>0</v>
      </c>
      <c r="P353" s="267">
        <f t="shared" si="66"/>
        <v>0</v>
      </c>
      <c r="Q353" s="238"/>
      <c r="R353" s="267">
        <f t="shared" ref="R353:Y359" si="67">R58+R335+R344</f>
        <v>138.20714502602834</v>
      </c>
      <c r="S353" s="267">
        <f t="shared" si="67"/>
        <v>19.850977162721037</v>
      </c>
      <c r="T353" s="267">
        <f t="shared" si="67"/>
        <v>4652.727973052467</v>
      </c>
      <c r="U353" s="267">
        <f t="shared" si="67"/>
        <v>0</v>
      </c>
      <c r="V353" s="267">
        <f t="shared" si="67"/>
        <v>1319.5926901394901</v>
      </c>
      <c r="W353" s="267">
        <f t="shared" si="67"/>
        <v>0</v>
      </c>
      <c r="X353" s="267">
        <f t="shared" si="67"/>
        <v>42346.377102139319</v>
      </c>
      <c r="Y353" s="267">
        <f t="shared" si="67"/>
        <v>0</v>
      </c>
      <c r="AQ353" s="88"/>
    </row>
    <row r="354" spans="3:43" x14ac:dyDescent="0.25">
      <c r="E354" s="96"/>
      <c r="F354" s="109" t="s">
        <v>200</v>
      </c>
      <c r="G354" s="109" t="s">
        <v>120</v>
      </c>
      <c r="J354" s="239"/>
      <c r="K354" s="264">
        <f t="shared" si="66"/>
        <v>876.88932002307558</v>
      </c>
      <c r="L354" s="264">
        <f t="shared" si="66"/>
        <v>0</v>
      </c>
      <c r="M354" s="264">
        <f t="shared" si="66"/>
        <v>315.99830541136959</v>
      </c>
      <c r="N354" s="264">
        <f t="shared" si="66"/>
        <v>0</v>
      </c>
      <c r="O354" s="264">
        <f t="shared" si="66"/>
        <v>0</v>
      </c>
      <c r="P354" s="264">
        <f t="shared" si="66"/>
        <v>0</v>
      </c>
      <c r="Q354" s="239"/>
      <c r="R354" s="264">
        <f t="shared" si="67"/>
        <v>675.42262204083556</v>
      </c>
      <c r="S354" s="264">
        <f t="shared" si="67"/>
        <v>89.283262919470644</v>
      </c>
      <c r="T354" s="264">
        <f t="shared" si="67"/>
        <v>22397.414037263683</v>
      </c>
      <c r="U354" s="264">
        <f t="shared" si="67"/>
        <v>0</v>
      </c>
      <c r="V354" s="264">
        <f t="shared" si="67"/>
        <v>5938.0182101575592</v>
      </c>
      <c r="W354" s="264">
        <f t="shared" si="67"/>
        <v>0</v>
      </c>
      <c r="X354" s="264">
        <f t="shared" si="67"/>
        <v>169950.37671525255</v>
      </c>
      <c r="Y354" s="264">
        <f t="shared" si="67"/>
        <v>0</v>
      </c>
      <c r="AQ354" s="88"/>
    </row>
    <row r="355" spans="3:43" x14ac:dyDescent="0.25">
      <c r="E355" s="96"/>
      <c r="F355" s="109" t="s">
        <v>201</v>
      </c>
      <c r="G355" s="109" t="s">
        <v>120</v>
      </c>
      <c r="J355" s="239"/>
      <c r="K355" s="264">
        <f t="shared" si="66"/>
        <v>11792.873278266205</v>
      </c>
      <c r="L355" s="264">
        <f t="shared" si="66"/>
        <v>0</v>
      </c>
      <c r="M355" s="264">
        <f t="shared" si="66"/>
        <v>3822.6277485878222</v>
      </c>
      <c r="N355" s="264">
        <f t="shared" si="66"/>
        <v>0</v>
      </c>
      <c r="O355" s="264">
        <f t="shared" si="66"/>
        <v>0</v>
      </c>
      <c r="P355" s="264">
        <f t="shared" si="66"/>
        <v>0</v>
      </c>
      <c r="Q355" s="239"/>
      <c r="R355" s="264">
        <f t="shared" si="67"/>
        <v>734.62430353180275</v>
      </c>
      <c r="S355" s="264">
        <f t="shared" si="67"/>
        <v>112.33780697547499</v>
      </c>
      <c r="T355" s="264">
        <f t="shared" si="67"/>
        <v>25989.195328374855</v>
      </c>
      <c r="U355" s="264">
        <f t="shared" si="67"/>
        <v>0</v>
      </c>
      <c r="V355" s="264">
        <f t="shared" si="67"/>
        <v>7475.1781511239524</v>
      </c>
      <c r="W355" s="264">
        <f t="shared" si="67"/>
        <v>0</v>
      </c>
      <c r="X355" s="264">
        <f t="shared" si="67"/>
        <v>176946.04662843214</v>
      </c>
      <c r="Y355" s="264">
        <f t="shared" si="67"/>
        <v>0</v>
      </c>
      <c r="AQ355" s="88"/>
    </row>
    <row r="356" spans="3:43" x14ac:dyDescent="0.25">
      <c r="E356" s="96"/>
      <c r="F356" s="109" t="s">
        <v>74</v>
      </c>
      <c r="G356" s="109" t="s">
        <v>74</v>
      </c>
      <c r="J356" s="239"/>
      <c r="K356" s="264">
        <f t="shared" si="66"/>
        <v>3156</v>
      </c>
      <c r="L356" s="264">
        <f t="shared" si="66"/>
        <v>0</v>
      </c>
      <c r="M356" s="264">
        <f t="shared" si="66"/>
        <v>997</v>
      </c>
      <c r="N356" s="264">
        <f t="shared" si="66"/>
        <v>0</v>
      </c>
      <c r="O356" s="264">
        <f t="shared" si="66"/>
        <v>0</v>
      </c>
      <c r="P356" s="264">
        <f t="shared" si="66"/>
        <v>0</v>
      </c>
      <c r="Q356" s="239"/>
      <c r="R356" s="264">
        <f t="shared" si="67"/>
        <v>283</v>
      </c>
      <c r="S356" s="264">
        <f t="shared" si="67"/>
        <v>25</v>
      </c>
      <c r="T356" s="264">
        <f t="shared" si="67"/>
        <v>317</v>
      </c>
      <c r="U356" s="264">
        <f t="shared" si="67"/>
        <v>0</v>
      </c>
      <c r="V356" s="264">
        <f t="shared" si="67"/>
        <v>41</v>
      </c>
      <c r="W356" s="264">
        <f t="shared" si="67"/>
        <v>0</v>
      </c>
      <c r="X356" s="264">
        <f t="shared" si="67"/>
        <v>138</v>
      </c>
      <c r="Y356" s="264">
        <f t="shared" si="67"/>
        <v>0</v>
      </c>
      <c r="AQ356" s="88"/>
    </row>
    <row r="357" spans="3:43" x14ac:dyDescent="0.2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0</v>
      </c>
      <c r="O357" s="264">
        <f t="shared" si="66"/>
        <v>0</v>
      </c>
      <c r="P357" s="264">
        <f t="shared" si="66"/>
        <v>0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2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0</v>
      </c>
      <c r="O358" s="264">
        <f t="shared" si="66"/>
        <v>0</v>
      </c>
      <c r="P358" s="264">
        <f t="shared" si="66"/>
        <v>0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2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0</v>
      </c>
      <c r="O359" s="268">
        <f t="shared" si="66"/>
        <v>0</v>
      </c>
      <c r="P359" s="268">
        <f t="shared" si="66"/>
        <v>0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4427.7671</v>
      </c>
      <c r="U359" s="268">
        <f t="shared" si="67"/>
        <v>0</v>
      </c>
      <c r="V359" s="268">
        <f t="shared" si="67"/>
        <v>172.2</v>
      </c>
      <c r="W359" s="268">
        <f t="shared" si="67"/>
        <v>0</v>
      </c>
      <c r="X359" s="268">
        <f t="shared" si="67"/>
        <v>7419.6</v>
      </c>
      <c r="Y359" s="268">
        <f t="shared" si="67"/>
        <v>0</v>
      </c>
      <c r="AQ359" s="88"/>
    </row>
    <row r="360" spans="3:43" x14ac:dyDescent="0.25">
      <c r="AQ360" s="88"/>
    </row>
    <row r="361" spans="3:43" x14ac:dyDescent="0.25">
      <c r="C361" s="7" t="str">
        <f ca="1">INDEX('Version control'!$H$34:$H$60,MATCH($A$1,'Version control'!$F$34:$F$60,0),1)&amp;"-E: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25">
      <c r="C362" s="96"/>
      <c r="AQ362" s="88"/>
    </row>
    <row r="363" spans="3:43" x14ac:dyDescent="0.25">
      <c r="E363" s="96" t="s">
        <v>1083</v>
      </c>
      <c r="G363" s="108"/>
      <c r="I363" s="293" t="s">
        <v>359</v>
      </c>
      <c r="AQ363" s="88"/>
    </row>
    <row r="364" spans="3:43" x14ac:dyDescent="0.2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5152.9650004142795</v>
      </c>
      <c r="K364" s="238"/>
      <c r="L364" s="267">
        <f t="shared" ref="L364:L370" si="69">(1 - L315) * L114</f>
        <v>4.4935804752110791</v>
      </c>
      <c r="M364" s="238"/>
      <c r="N364" s="267">
        <f t="shared" ref="N364:Q370" si="70">(1 - N315) * N114</f>
        <v>21.348116988386614</v>
      </c>
      <c r="O364" s="267">
        <f t="shared" si="70"/>
        <v>0</v>
      </c>
      <c r="P364" s="267">
        <f t="shared" si="70"/>
        <v>0</v>
      </c>
      <c r="Q364" s="267">
        <f t="shared" si="70"/>
        <v>2.5114464264788956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25">
      <c r="E365" s="96"/>
      <c r="F365" s="109" t="s">
        <v>200</v>
      </c>
      <c r="G365" s="109" t="s">
        <v>120</v>
      </c>
      <c r="J365" s="264">
        <f t="shared" si="68"/>
        <v>18321.24900252611</v>
      </c>
      <c r="K365" s="239"/>
      <c r="L365" s="264">
        <f t="shared" si="69"/>
        <v>23.610510596759553</v>
      </c>
      <c r="M365" s="239"/>
      <c r="N365" s="264">
        <f t="shared" si="70"/>
        <v>97.653330284827504</v>
      </c>
      <c r="O365" s="264">
        <f t="shared" si="70"/>
        <v>0</v>
      </c>
      <c r="P365" s="264">
        <f t="shared" si="70"/>
        <v>0</v>
      </c>
      <c r="Q365" s="264">
        <f t="shared" si="70"/>
        <v>32.989083888733013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25">
      <c r="E366" s="96"/>
      <c r="F366" s="109" t="s">
        <v>201</v>
      </c>
      <c r="G366" s="109" t="s">
        <v>120</v>
      </c>
      <c r="J366" s="264">
        <f t="shared" si="68"/>
        <v>17230.542586695399</v>
      </c>
      <c r="K366" s="239"/>
      <c r="L366" s="264">
        <f t="shared" si="69"/>
        <v>22.904204371766482</v>
      </c>
      <c r="M366" s="239"/>
      <c r="N366" s="264">
        <f t="shared" si="70"/>
        <v>89.162680967631374</v>
      </c>
      <c r="O366" s="264">
        <f t="shared" si="70"/>
        <v>0</v>
      </c>
      <c r="P366" s="264">
        <f t="shared" si="70"/>
        <v>0</v>
      </c>
      <c r="Q366" s="264">
        <f t="shared" si="70"/>
        <v>37.50246275251088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25">
      <c r="E367" s="96"/>
      <c r="F367" s="109" t="s">
        <v>74</v>
      </c>
      <c r="G367" s="109" t="s">
        <v>74</v>
      </c>
      <c r="J367" s="264">
        <f t="shared" si="68"/>
        <v>14361.623546312838</v>
      </c>
      <c r="K367" s="239"/>
      <c r="L367" s="264">
        <f t="shared" si="69"/>
        <v>7.444148527310011</v>
      </c>
      <c r="M367" s="239"/>
      <c r="N367" s="264">
        <f t="shared" si="70"/>
        <v>3.1017285530458376</v>
      </c>
      <c r="O367" s="264">
        <f t="shared" si="70"/>
        <v>0</v>
      </c>
      <c r="P367" s="264">
        <f t="shared" si="70"/>
        <v>0</v>
      </c>
      <c r="Q367" s="264">
        <f t="shared" si="70"/>
        <v>8.6848399485283458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2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163.77126760082024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2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0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2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7.4514486700675349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25">
      <c r="AQ371" s="88"/>
    </row>
    <row r="372" spans="5:43" x14ac:dyDescent="0.25">
      <c r="E372" s="96" t="s">
        <v>1084</v>
      </c>
      <c r="G372" s="108"/>
      <c r="I372" s="293" t="s">
        <v>359</v>
      </c>
      <c r="AQ372" s="88"/>
    </row>
    <row r="373" spans="5:43" x14ac:dyDescent="0.2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5221.0072811081909</v>
      </c>
      <c r="K373" s="238"/>
      <c r="L373" s="267">
        <f t="shared" ref="L373:L379" si="72">(1 - L324) * L161</f>
        <v>12.803036286807949</v>
      </c>
      <c r="M373" s="238"/>
      <c r="N373" s="267">
        <f t="shared" ref="N373:Q379" si="73">(1 - N324) * N161</f>
        <v>1815.0837911556298</v>
      </c>
      <c r="O373" s="267">
        <f t="shared" si="73"/>
        <v>74.396271277155208</v>
      </c>
      <c r="P373" s="267">
        <f t="shared" si="73"/>
        <v>132.04325862235945</v>
      </c>
      <c r="Q373" s="267">
        <f t="shared" si="73"/>
        <v>3.9018892760584643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25">
      <c r="E374" s="96"/>
      <c r="F374" s="109" t="s">
        <v>200</v>
      </c>
      <c r="G374" s="109" t="s">
        <v>120</v>
      </c>
      <c r="J374" s="264">
        <f t="shared" si="71"/>
        <v>18556.732185209356</v>
      </c>
      <c r="K374" s="239"/>
      <c r="L374" s="264">
        <f t="shared" si="72"/>
        <v>67.248454341523356</v>
      </c>
      <c r="M374" s="239"/>
      <c r="N374" s="264">
        <f t="shared" si="73"/>
        <v>7842.6689744729001</v>
      </c>
      <c r="O374" s="264">
        <f t="shared" si="73"/>
        <v>347.64215947362027</v>
      </c>
      <c r="P374" s="264">
        <f t="shared" si="73"/>
        <v>601.75252131063053</v>
      </c>
      <c r="Q374" s="264">
        <f t="shared" si="73"/>
        <v>48.875646504419116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25">
      <c r="E375" s="96"/>
      <c r="F375" s="109" t="s">
        <v>201</v>
      </c>
      <c r="G375" s="109" t="s">
        <v>120</v>
      </c>
      <c r="J375" s="264">
        <f t="shared" si="71"/>
        <v>17453.235055067482</v>
      </c>
      <c r="K375" s="239"/>
      <c r="L375" s="264">
        <f t="shared" si="72"/>
        <v>65.29551487354982</v>
      </c>
      <c r="M375" s="239"/>
      <c r="N375" s="264">
        <f t="shared" si="73"/>
        <v>7269.3490481732406</v>
      </c>
      <c r="O375" s="264">
        <f t="shared" si="73"/>
        <v>335.53380887125758</v>
      </c>
      <c r="P375" s="264">
        <f t="shared" si="73"/>
        <v>621.90984428462332</v>
      </c>
      <c r="Q375" s="264">
        <f t="shared" si="73"/>
        <v>55.56283599761273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25">
      <c r="E376" s="96"/>
      <c r="F376" s="109" t="s">
        <v>74</v>
      </c>
      <c r="G376" s="109" t="s">
        <v>74</v>
      </c>
      <c r="J376" s="264">
        <f t="shared" si="71"/>
        <v>14340.270336154474</v>
      </c>
      <c r="K376" s="239"/>
      <c r="L376" s="264">
        <f t="shared" si="72"/>
        <v>9.9228139710448016</v>
      </c>
      <c r="M376" s="239"/>
      <c r="N376" s="264">
        <f t="shared" si="73"/>
        <v>100.58125070649957</v>
      </c>
      <c r="O376" s="264">
        <f t="shared" si="73"/>
        <v>2.9148318717111916</v>
      </c>
      <c r="P376" s="264">
        <f t="shared" si="73"/>
        <v>3.293008060595751</v>
      </c>
      <c r="Q376" s="264">
        <f t="shared" si="73"/>
        <v>26.611182922347421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2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16993.720999411591</v>
      </c>
      <c r="O377" s="264">
        <f t="shared" si="73"/>
        <v>708.30414482581955</v>
      </c>
      <c r="P377" s="264">
        <f t="shared" si="73"/>
        <v>892.40518442144855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2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14.351041870894814</v>
      </c>
      <c r="O378" s="264">
        <f t="shared" si="73"/>
        <v>0</v>
      </c>
      <c r="P378" s="264">
        <f t="shared" si="73"/>
        <v>0.502935827516794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2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1163.3919191489094</v>
      </c>
      <c r="O379" s="268">
        <f t="shared" si="73"/>
        <v>187.62304833162068</v>
      </c>
      <c r="P379" s="268">
        <f t="shared" si="73"/>
        <v>21.182431343361742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25">
      <c r="AQ380" s="88"/>
    </row>
    <row r="381" spans="5:43" x14ac:dyDescent="0.25">
      <c r="E381" s="96" t="s">
        <v>1085</v>
      </c>
      <c r="G381" s="108"/>
      <c r="I381" s="293" t="s">
        <v>359</v>
      </c>
      <c r="AQ381" s="88"/>
    </row>
    <row r="382" spans="5:43" x14ac:dyDescent="0.2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655475.49579930119</v>
      </c>
      <c r="K382" s="238"/>
      <c r="L382" s="267">
        <f t="shared" ref="L382:L388" si="75">L67+L364+L373</f>
        <v>4319.5691625890968</v>
      </c>
      <c r="M382" s="238"/>
      <c r="N382" s="267">
        <f t="shared" ref="N382:Q388" si="76">N67+N364+N373</f>
        <v>25065.998179616356</v>
      </c>
      <c r="O382" s="267">
        <f t="shared" si="76"/>
        <v>10087.248003801</v>
      </c>
      <c r="P382" s="267">
        <f t="shared" si="76"/>
        <v>13802.750525721389</v>
      </c>
      <c r="Q382" s="267">
        <f t="shared" si="76"/>
        <v>6455.2183475278016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25">
      <c r="E383" s="96"/>
      <c r="F383" s="109" t="s">
        <v>200</v>
      </c>
      <c r="G383" s="109" t="s">
        <v>120</v>
      </c>
      <c r="J383" s="264">
        <f t="shared" si="74"/>
        <v>2319857.7445436521</v>
      </c>
      <c r="K383" s="239"/>
      <c r="L383" s="264">
        <f t="shared" si="75"/>
        <v>22707.770358779417</v>
      </c>
      <c r="M383" s="239"/>
      <c r="N383" s="264">
        <f t="shared" si="76"/>
        <v>113545.64238818234</v>
      </c>
      <c r="O383" s="264">
        <f t="shared" si="76"/>
        <v>48739.937188510827</v>
      </c>
      <c r="P383" s="264">
        <f t="shared" si="76"/>
        <v>63264.72014507492</v>
      </c>
      <c r="Q383" s="264">
        <f t="shared" si="76"/>
        <v>52643.235695354182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25">
      <c r="E384" s="96"/>
      <c r="F384" s="109" t="s">
        <v>201</v>
      </c>
      <c r="G384" s="109" t="s">
        <v>120</v>
      </c>
      <c r="J384" s="264">
        <f t="shared" si="74"/>
        <v>2183608.0375141334</v>
      </c>
      <c r="K384" s="239"/>
      <c r="L384" s="264">
        <f t="shared" si="75"/>
        <v>21991.046084672707</v>
      </c>
      <c r="M384" s="239"/>
      <c r="N384" s="264">
        <f t="shared" si="76"/>
        <v>98111.565880395618</v>
      </c>
      <c r="O384" s="264">
        <f t="shared" si="76"/>
        <v>43147.725738959387</v>
      </c>
      <c r="P384" s="264">
        <f t="shared" si="76"/>
        <v>68638.704863676408</v>
      </c>
      <c r="Q384" s="264">
        <f t="shared" si="76"/>
        <v>88973.638885898574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25">
      <c r="E385" s="96"/>
      <c r="F385" s="109" t="s">
        <v>74</v>
      </c>
      <c r="G385" s="109" t="s">
        <v>74</v>
      </c>
      <c r="J385" s="264">
        <f t="shared" si="74"/>
        <v>1422018.8938824672</v>
      </c>
      <c r="K385" s="239"/>
      <c r="L385" s="264">
        <f t="shared" si="75"/>
        <v>37937.366962498359</v>
      </c>
      <c r="M385" s="239"/>
      <c r="N385" s="264">
        <f t="shared" si="76"/>
        <v>2976.6829792595454</v>
      </c>
      <c r="O385" s="264">
        <f t="shared" si="76"/>
        <v>1025.9148318717112</v>
      </c>
      <c r="P385" s="264">
        <f t="shared" si="76"/>
        <v>301.29300806059575</v>
      </c>
      <c r="Q385" s="264">
        <f t="shared" si="76"/>
        <v>609.29602287087573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2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163380.49226701242</v>
      </c>
      <c r="O386" s="264">
        <f t="shared" si="76"/>
        <v>54638.304144825823</v>
      </c>
      <c r="P386" s="264">
        <f t="shared" si="76"/>
        <v>56138.405184421448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2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3317.3510418708947</v>
      </c>
      <c r="O387" s="264">
        <f t="shared" si="76"/>
        <v>3548</v>
      </c>
      <c r="P387" s="264">
        <f t="shared" si="76"/>
        <v>920.50293582751681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2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21671.753367818979</v>
      </c>
      <c r="O388" s="268">
        <f t="shared" si="76"/>
        <v>25034.881048331623</v>
      </c>
      <c r="P388" s="268">
        <f t="shared" si="76"/>
        <v>9244.3954313433624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25">
      <c r="AQ389" s="88"/>
    </row>
    <row r="390" spans="3:43" x14ac:dyDescent="0.25">
      <c r="C390" s="7" t="str">
        <f ca="1">INDEX('Version control'!$H$34:$H$60,MATCH($A$1,'Version control'!$F$34:$F$60,0),1)&amp;"-F: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25">
      <c r="C391" s="96"/>
      <c r="AQ391" s="88"/>
    </row>
    <row r="392" spans="3:43" x14ac:dyDescent="0.25">
      <c r="E392" s="96" t="s">
        <v>1086</v>
      </c>
      <c r="G392" s="108"/>
      <c r="I392" s="293" t="s">
        <v>359</v>
      </c>
      <c r="AQ392" s="88"/>
    </row>
    <row r="393" spans="3:43" x14ac:dyDescent="0.2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19.809270668769926</v>
      </c>
      <c r="M393" s="238"/>
      <c r="N393" s="267">
        <f t="shared" ref="N393:P399" si="78">(1 - N315) * N123</f>
        <v>221.00152927750236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2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104.08336906820406</v>
      </c>
      <c r="M394" s="239"/>
      <c r="N394" s="264">
        <f t="shared" si="78"/>
        <v>1010.9339078349756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2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100.96972477873186</v>
      </c>
      <c r="M395" s="239"/>
      <c r="N395" s="264">
        <f t="shared" si="78"/>
        <v>923.03639047172931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2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34.119014083504211</v>
      </c>
      <c r="M396" s="239"/>
      <c r="N396" s="264">
        <f t="shared" si="78"/>
        <v>14.267951344010854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2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1695.4048270948549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2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0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2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77.139428845812773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25">
      <c r="AQ400" s="88"/>
    </row>
    <row r="401" spans="5:43" x14ac:dyDescent="0.25">
      <c r="E401" s="96" t="s">
        <v>1087</v>
      </c>
      <c r="G401" s="108"/>
      <c r="I401" s="293" t="s">
        <v>359</v>
      </c>
      <c r="AQ401" s="88"/>
    </row>
    <row r="402" spans="5:43" x14ac:dyDescent="0.2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56.440251284372138</v>
      </c>
      <c r="M402" s="238"/>
      <c r="N402" s="267">
        <f t="shared" ref="N402:P408" si="80">(1 - N324) * N170</f>
        <v>1096.0259928492644</v>
      </c>
      <c r="O402" s="267">
        <f t="shared" si="80"/>
        <v>838.64191809031854</v>
      </c>
      <c r="P402" s="267">
        <f t="shared" si="80"/>
        <v>604.06136486003754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2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296.45465157605236</v>
      </c>
      <c r="M403" s="239"/>
      <c r="N403" s="264">
        <f t="shared" si="80"/>
        <v>4735.7422787969563</v>
      </c>
      <c r="O403" s="264">
        <f t="shared" si="80"/>
        <v>3918.8427380169319</v>
      </c>
      <c r="P403" s="264">
        <f t="shared" si="80"/>
        <v>2752.8512483204954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2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287.84541296683528</v>
      </c>
      <c r="M404" s="239"/>
      <c r="N404" s="264">
        <f t="shared" si="80"/>
        <v>4389.5469436258036</v>
      </c>
      <c r="O404" s="264">
        <f t="shared" si="80"/>
        <v>3782.3497364221907</v>
      </c>
      <c r="P404" s="264">
        <f t="shared" si="80"/>
        <v>2845.0654223315942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2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43.7505888723339</v>
      </c>
      <c r="M405" s="239"/>
      <c r="N405" s="264">
        <f t="shared" si="80"/>
        <v>16.237331952618767</v>
      </c>
      <c r="O405" s="264">
        <f t="shared" si="80"/>
        <v>11.659327486844766</v>
      </c>
      <c r="P405" s="264">
        <f t="shared" si="80"/>
        <v>6.586016121191502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2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10261.542757056377</v>
      </c>
      <c r="O406" s="264">
        <f t="shared" si="80"/>
        <v>7984.4532045848819</v>
      </c>
      <c r="P406" s="264">
        <f t="shared" si="80"/>
        <v>4082.5067431235825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2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8.6657789528021851</v>
      </c>
      <c r="O407" s="264">
        <f t="shared" si="80"/>
        <v>0</v>
      </c>
      <c r="P407" s="264">
        <f t="shared" si="80"/>
        <v>2.3007922220071784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2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702.50629170466971</v>
      </c>
      <c r="O408" s="268">
        <f t="shared" si="80"/>
        <v>2115.0059059357695</v>
      </c>
      <c r="P408" s="268">
        <f t="shared" si="80"/>
        <v>96.903761099382734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25">
      <c r="AQ409" s="88"/>
    </row>
    <row r="410" spans="5:43" x14ac:dyDescent="0.25">
      <c r="E410" s="96" t="s">
        <v>1088</v>
      </c>
      <c r="G410" s="108"/>
      <c r="I410" s="293" t="s">
        <v>359</v>
      </c>
      <c r="AQ410" s="88"/>
    </row>
    <row r="411" spans="5:43" x14ac:dyDescent="0.2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19042.168085390713</v>
      </c>
      <c r="M411" s="238"/>
      <c r="N411" s="267">
        <f t="shared" ref="N411:P417" si="82">N76+N393+N402</f>
        <v>34851.710275001169</v>
      </c>
      <c r="O411" s="267">
        <f t="shared" si="82"/>
        <v>18730.687562697691</v>
      </c>
      <c r="P411" s="267">
        <f t="shared" si="82"/>
        <v>49862.351789933506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2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100103.77510824539</v>
      </c>
      <c r="M412" s="239"/>
      <c r="N412" s="264">
        <f t="shared" si="82"/>
        <v>158200.7024317348</v>
      </c>
      <c r="O412" s="264">
        <f t="shared" si="82"/>
        <v>90391.425638093147</v>
      </c>
      <c r="P412" s="264">
        <f t="shared" si="82"/>
        <v>228540.04702399005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2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96944.204423135845</v>
      </c>
      <c r="M413" s="239"/>
      <c r="N413" s="264">
        <f t="shared" si="82"/>
        <v>136325.57101756768</v>
      </c>
      <c r="O413" s="264">
        <f t="shared" si="82"/>
        <v>80283.801332944568</v>
      </c>
      <c r="P413" s="264">
        <f t="shared" si="82"/>
        <v>247923.17128677346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2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30923.869602955838</v>
      </c>
      <c r="M414" s="239"/>
      <c r="N414" s="264">
        <f t="shared" si="82"/>
        <v>1848.5052832966296</v>
      </c>
      <c r="O414" s="264">
        <f t="shared" si="82"/>
        <v>816.65932748684475</v>
      </c>
      <c r="P414" s="264">
        <f t="shared" si="82"/>
        <v>292.58601612119151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2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223047.94758415123</v>
      </c>
      <c r="O415" s="264">
        <f t="shared" si="82"/>
        <v>104352.45320458488</v>
      </c>
      <c r="P415" s="264">
        <f t="shared" si="82"/>
        <v>203144.50674312358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2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4776.6657789528026</v>
      </c>
      <c r="O416" s="264">
        <f t="shared" si="82"/>
        <v>5122</v>
      </c>
      <c r="P416" s="264">
        <f t="shared" si="82"/>
        <v>3316.3007922220072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2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30375.183720550485</v>
      </c>
      <c r="O417" s="268">
        <f t="shared" si="82"/>
        <v>37985.022905935766</v>
      </c>
      <c r="P417" s="268">
        <f t="shared" si="82"/>
        <v>33329.982761099382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25">
      <c r="AQ418" s="88"/>
    </row>
    <row r="419" spans="3:43" x14ac:dyDescent="0.25">
      <c r="C419" s="7" t="str">
        <f ca="1">INDEX('Version control'!$H$34:$H$60,MATCH($A$1,'Version control'!$F$34:$F$60,0),1)&amp;"-G: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25">
      <c r="C420" s="96"/>
      <c r="AQ420" s="88"/>
    </row>
    <row r="421" spans="3:43" x14ac:dyDescent="0.25">
      <c r="E421" s="96" t="s">
        <v>1089</v>
      </c>
      <c r="G421" s="108"/>
      <c r="I421" s="293" t="s">
        <v>359</v>
      </c>
      <c r="AQ421" s="88"/>
    </row>
    <row r="422" spans="3:43" x14ac:dyDescent="0.2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25.094357683269546</v>
      </c>
      <c r="M422" s="238"/>
      <c r="N422" s="267">
        <f t="shared" ref="N422:P428" si="84">(1 - N315) * N132</f>
        <v>127.6035174533109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2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131.85267322310025</v>
      </c>
      <c r="M423" s="239"/>
      <c r="N423" s="264">
        <f t="shared" si="84"/>
        <v>583.70058783885531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2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127.90831278676841</v>
      </c>
      <c r="M424" s="239"/>
      <c r="N424" s="264">
        <f t="shared" si="84"/>
        <v>532.94966123834206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2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42.803854032032561</v>
      </c>
      <c r="M425" s="239"/>
      <c r="N425" s="264">
        <f t="shared" si="84"/>
        <v>4.9627656848733404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2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978.9055313412664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2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0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2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44.539340914267299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25">
      <c r="AQ429" s="88"/>
    </row>
    <row r="430" spans="3:43" x14ac:dyDescent="0.25">
      <c r="E430" s="96" t="s">
        <v>1090</v>
      </c>
      <c r="G430" s="108"/>
      <c r="I430" s="293" t="s">
        <v>359</v>
      </c>
      <c r="AQ430" s="88"/>
    </row>
    <row r="431" spans="3:43" x14ac:dyDescent="0.2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71.498435108797267</v>
      </c>
      <c r="M431" s="238"/>
      <c r="N431" s="267">
        <f t="shared" ref="N431:P437" si="86">(1 - N324) * N179</f>
        <v>130.07209268572871</v>
      </c>
      <c r="O431" s="267">
        <f t="shared" si="86"/>
        <v>114.80906061289384</v>
      </c>
      <c r="P431" s="267">
        <f t="shared" si="86"/>
        <v>450.70115950436355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2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375.5483575297352</v>
      </c>
      <c r="M432" s="239"/>
      <c r="N432" s="264">
        <f t="shared" si="86"/>
        <v>562.01943443153209</v>
      </c>
      <c r="O432" s="264">
        <f t="shared" si="86"/>
        <v>536.48481400250046</v>
      </c>
      <c r="P432" s="264">
        <f t="shared" si="86"/>
        <v>2053.9523328868386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2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364.6421855331605</v>
      </c>
      <c r="M433" s="239"/>
      <c r="N433" s="264">
        <f t="shared" si="86"/>
        <v>520.93432147112969</v>
      </c>
      <c r="O433" s="264">
        <f t="shared" si="86"/>
        <v>517.79908776428636</v>
      </c>
      <c r="P433" s="264">
        <f t="shared" si="86"/>
        <v>2122.7550035545264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2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55.477550838114119</v>
      </c>
      <c r="M434" s="239"/>
      <c r="N434" s="264">
        <f t="shared" si="86"/>
        <v>0.90207399736770921</v>
      </c>
      <c r="O434" s="264">
        <f t="shared" si="86"/>
        <v>0.72870796792779791</v>
      </c>
      <c r="P434" s="264">
        <f t="shared" si="86"/>
        <v>2.4697560454468133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2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1217.7998964464075</v>
      </c>
      <c r="O435" s="264">
        <f t="shared" si="86"/>
        <v>1093.0619518916969</v>
      </c>
      <c r="P435" s="264">
        <f t="shared" si="86"/>
        <v>3046.0324560510699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2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1.0284208682064919</v>
      </c>
      <c r="O436" s="264">
        <f t="shared" si="86"/>
        <v>0</v>
      </c>
      <c r="P436" s="264">
        <f t="shared" si="86"/>
        <v>1.7166628799004957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2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83.370708434908721</v>
      </c>
      <c r="O437" s="268">
        <f t="shared" si="86"/>
        <v>289.54174125250103</v>
      </c>
      <c r="P437" s="268">
        <f t="shared" si="86"/>
        <v>72.301656799297447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25">
      <c r="AQ438" s="88"/>
    </row>
    <row r="439" spans="3:43" x14ac:dyDescent="0.25">
      <c r="E439" s="96" t="s">
        <v>1091</v>
      </c>
      <c r="G439" s="108"/>
      <c r="I439" s="293" t="s">
        <v>359</v>
      </c>
      <c r="AQ439" s="88"/>
    </row>
    <row r="440" spans="3:43" x14ac:dyDescent="0.2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24122.59315296675</v>
      </c>
      <c r="M440" s="238"/>
      <c r="N440" s="267">
        <f t="shared" ref="N440:P446" si="88">N85+N422+N431</f>
        <v>13149.982474621718</v>
      </c>
      <c r="O440" s="267">
        <f t="shared" si="88"/>
        <v>15516.936459162202</v>
      </c>
      <c r="P440" s="267">
        <f t="shared" si="88"/>
        <v>44684.650460630299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2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126811.32889825221</v>
      </c>
      <c r="M441" s="239"/>
      <c r="N441" s="264">
        <f t="shared" si="88"/>
        <v>59756.207068231539</v>
      </c>
      <c r="O441" s="264">
        <f t="shared" si="88"/>
        <v>74975.247421899752</v>
      </c>
      <c r="P441" s="264">
        <f t="shared" si="88"/>
        <v>204810.87476356351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2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122808.78896513334</v>
      </c>
      <c r="M442" s="239"/>
      <c r="N442" s="264">
        <f t="shared" si="88"/>
        <v>51421.428918055841</v>
      </c>
      <c r="O442" s="264">
        <f t="shared" si="88"/>
        <v>66373.047116305053</v>
      </c>
      <c r="P442" s="264">
        <f t="shared" si="88"/>
        <v>222202.91645604221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2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15807.281404870146</v>
      </c>
      <c r="M443" s="239"/>
      <c r="N443" s="264">
        <f t="shared" si="88"/>
        <v>430.86483968224104</v>
      </c>
      <c r="O443" s="264">
        <f t="shared" si="88"/>
        <v>426.72870796792779</v>
      </c>
      <c r="P443" s="264">
        <f t="shared" si="88"/>
        <v>129.46975604544681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2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83349.705427787674</v>
      </c>
      <c r="O444" s="264">
        <f t="shared" si="88"/>
        <v>84050.061951891694</v>
      </c>
      <c r="P444" s="264">
        <f t="shared" si="88"/>
        <v>181804.03245605106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2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1834.0284208682065</v>
      </c>
      <c r="O445" s="264">
        <f t="shared" si="88"/>
        <v>1969</v>
      </c>
      <c r="P445" s="264">
        <f t="shared" si="88"/>
        <v>2977.7166628799005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2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11505.825049349176</v>
      </c>
      <c r="O446" s="268">
        <f t="shared" si="88"/>
        <v>14079.660741252501</v>
      </c>
      <c r="P446" s="268">
        <f t="shared" si="88"/>
        <v>29915.609656799297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25">
      <c r="AQ447" s="88"/>
    </row>
    <row r="448" spans="3:43" x14ac:dyDescent="0.25">
      <c r="C448" s="7" t="str">
        <f ca="1">INDEX('Version control'!$H$34:$H$60,MATCH($A$1,'Version control'!$F$34:$F$60,0),1)&amp;"-H: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25">
      <c r="C449" s="96"/>
      <c r="AQ449" s="88"/>
    </row>
    <row r="450" spans="3:43" x14ac:dyDescent="0.25">
      <c r="E450" s="96" t="s">
        <v>1092</v>
      </c>
      <c r="G450" s="108"/>
      <c r="I450" s="293" t="s">
        <v>359</v>
      </c>
      <c r="AQ450" s="88"/>
    </row>
    <row r="451" spans="3:43" x14ac:dyDescent="0.2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85.725997342604344</v>
      </c>
      <c r="M451" s="238"/>
      <c r="N451" s="267">
        <f t="shared" ref="N451:P457" si="90">(1 - N315) * N141</f>
        <v>99.058497389293962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2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450.42802278516319</v>
      </c>
      <c r="M452" s="239"/>
      <c r="N452" s="264">
        <f t="shared" si="90"/>
        <v>453.12624848073375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2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436.95351044453884</v>
      </c>
      <c r="M453" s="239"/>
      <c r="N453" s="264">
        <f t="shared" si="90"/>
        <v>413.72834918692593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2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147.02193341437271</v>
      </c>
      <c r="M454" s="239"/>
      <c r="N454" s="264">
        <f t="shared" si="90"/>
        <v>2.4813828424366702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2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759.9234954962302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2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0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2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34.575850836487611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25">
      <c r="AQ458" s="88"/>
    </row>
    <row r="459" spans="3:43" x14ac:dyDescent="0.25">
      <c r="E459" s="96" t="s">
        <v>1093</v>
      </c>
      <c r="G459" s="108"/>
      <c r="I459" s="293" t="s">
        <v>359</v>
      </c>
      <c r="AQ459" s="88"/>
    </row>
    <row r="460" spans="3:43" x14ac:dyDescent="0.2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244.2491150998267</v>
      </c>
      <c r="M460" s="238"/>
      <c r="N460" s="267">
        <f t="shared" ref="N460:P466" si="92">(1 - N324) * N188</f>
        <v>96.349698285724983</v>
      </c>
      <c r="O460" s="267">
        <f t="shared" si="92"/>
        <v>0</v>
      </c>
      <c r="P460" s="267">
        <f t="shared" si="92"/>
        <v>560.33117127569517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2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1282.9281349200451</v>
      </c>
      <c r="M461" s="239"/>
      <c r="N461" s="264">
        <f t="shared" si="92"/>
        <v>416.3106921715052</v>
      </c>
      <c r="O461" s="264">
        <f t="shared" si="92"/>
        <v>0</v>
      </c>
      <c r="P461" s="264">
        <f t="shared" si="92"/>
        <v>2553.5623598052589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2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1245.6710557233268</v>
      </c>
      <c r="M462" s="239"/>
      <c r="N462" s="264">
        <f t="shared" si="92"/>
        <v>385.87727516379971</v>
      </c>
      <c r="O462" s="264">
        <f t="shared" si="92"/>
        <v>0</v>
      </c>
      <c r="P462" s="264">
        <f t="shared" si="92"/>
        <v>2639.1008152299519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2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189.43553944721893</v>
      </c>
      <c r="M463" s="239"/>
      <c r="N463" s="264">
        <f t="shared" si="92"/>
        <v>0.45103699868385461</v>
      </c>
      <c r="O463" s="264">
        <f t="shared" si="92"/>
        <v>0</v>
      </c>
      <c r="P463" s="264">
        <f t="shared" si="92"/>
        <v>1.6465040302978755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2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902.07399736770924</v>
      </c>
      <c r="O464" s="264">
        <f t="shared" si="92"/>
        <v>0</v>
      </c>
      <c r="P464" s="264">
        <f t="shared" si="92"/>
        <v>3786.9592696851137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2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0.76179323570851265</v>
      </c>
      <c r="O465" s="264">
        <f t="shared" si="92"/>
        <v>0</v>
      </c>
      <c r="P465" s="264">
        <f t="shared" si="92"/>
        <v>2.1342295263627791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2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61.75608032215461</v>
      </c>
      <c r="O466" s="268">
        <f t="shared" si="92"/>
        <v>0</v>
      </c>
      <c r="P466" s="268">
        <f t="shared" si="92"/>
        <v>89.888546291018471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25">
      <c r="AQ467" s="88"/>
    </row>
    <row r="468" spans="3:43" x14ac:dyDescent="0.25">
      <c r="E468" s="96" t="s">
        <v>1094</v>
      </c>
      <c r="G468" s="108"/>
      <c r="I468" s="293" t="s">
        <v>359</v>
      </c>
      <c r="AQ468" s="88"/>
    </row>
    <row r="469" spans="3:43" x14ac:dyDescent="0.2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82406.307530503065</v>
      </c>
      <c r="M469" s="238"/>
      <c r="N469" s="267">
        <f t="shared" ref="N469:P475" si="94">N94+N451+N460</f>
        <v>17426.852451123425</v>
      </c>
      <c r="O469" s="267">
        <f t="shared" si="94"/>
        <v>61930.185239457518</v>
      </c>
      <c r="P469" s="267">
        <f t="shared" si="94"/>
        <v>59434.860553476596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2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433206.05298423028</v>
      </c>
      <c r="M470" s="239"/>
      <c r="N470" s="264">
        <f t="shared" si="94"/>
        <v>79206.3359094068</v>
      </c>
      <c r="O470" s="264">
        <f t="shared" si="94"/>
        <v>299309.7146915748</v>
      </c>
      <c r="P470" s="264">
        <f t="shared" si="94"/>
        <v>272419.09721915028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2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419532.79097047588</v>
      </c>
      <c r="M471" s="239"/>
      <c r="N471" s="264">
        <f t="shared" si="94"/>
        <v>68119.252291172423</v>
      </c>
      <c r="O471" s="264">
        <f t="shared" si="94"/>
        <v>264796.38843800803</v>
      </c>
      <c r="P471" s="264">
        <f t="shared" si="94"/>
        <v>295561.5311337951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2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16734.457472861592</v>
      </c>
      <c r="M472" s="239"/>
      <c r="N472" s="264">
        <f t="shared" si="94"/>
        <v>285.93241984112052</v>
      </c>
      <c r="O472" s="264">
        <f t="shared" si="94"/>
        <v>821</v>
      </c>
      <c r="P472" s="264">
        <f t="shared" si="94"/>
        <v>91.646504030297876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2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110128.99749286394</v>
      </c>
      <c r="O473" s="264">
        <f t="shared" si="94"/>
        <v>333562</v>
      </c>
      <c r="P473" s="264">
        <f t="shared" si="94"/>
        <v>241709.95926968512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2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2450.7617932357084</v>
      </c>
      <c r="O474" s="264">
        <f t="shared" si="94"/>
        <v>2632</v>
      </c>
      <c r="P474" s="264">
        <f t="shared" si="94"/>
        <v>3963.1342295263626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2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15303.687931158642</v>
      </c>
      <c r="O475" s="268">
        <f t="shared" si="94"/>
        <v>18431.431</v>
      </c>
      <c r="P475" s="268">
        <f t="shared" si="94"/>
        <v>39810.75254629102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25">
      <c r="AQ476" s="88"/>
    </row>
    <row r="477" spans="3:43" x14ac:dyDescent="0.25">
      <c r="C477" s="7" t="str">
        <f ca="1">INDEX('Version control'!$H$34:$H$60,MATCH($A$1,'Version control'!$F$34:$F$60,0),1)&amp;"-I: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25">
      <c r="C478" s="96"/>
      <c r="AQ478" s="88"/>
    </row>
    <row r="479" spans="3:43" x14ac:dyDescent="0.25">
      <c r="D479" s="96" t="s">
        <v>1095</v>
      </c>
      <c r="AQ479" s="88"/>
    </row>
    <row r="480" spans="3:43" x14ac:dyDescent="0.2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25">
      <c r="E481" s="39"/>
      <c r="F481" s="98" t="s">
        <v>1063</v>
      </c>
      <c r="G481" s="293" t="s">
        <v>120</v>
      </c>
      <c r="J481" s="258">
        <f t="shared" ref="J481:Y481" si="95">J353</f>
        <v>0</v>
      </c>
      <c r="K481" s="258">
        <f t="shared" si="95"/>
        <v>50.685541167972772</v>
      </c>
      <c r="L481" s="258">
        <f t="shared" si="95"/>
        <v>0</v>
      </c>
      <c r="M481" s="258">
        <f t="shared" si="95"/>
        <v>6.1226977807298875</v>
      </c>
      <c r="N481" s="258">
        <f t="shared" si="95"/>
        <v>0</v>
      </c>
      <c r="O481" s="258">
        <f t="shared" si="95"/>
        <v>0</v>
      </c>
      <c r="P481" s="258">
        <f t="shared" si="95"/>
        <v>0</v>
      </c>
      <c r="Q481" s="258">
        <f t="shared" si="95"/>
        <v>0</v>
      </c>
      <c r="R481" s="258">
        <f t="shared" si="95"/>
        <v>138.20714502602834</v>
      </c>
      <c r="S481" s="258">
        <f t="shared" si="95"/>
        <v>19.850977162721037</v>
      </c>
      <c r="T481" s="258">
        <f t="shared" si="95"/>
        <v>4652.727973052467</v>
      </c>
      <c r="U481" s="258">
        <f t="shared" si="95"/>
        <v>0</v>
      </c>
      <c r="V481" s="258">
        <f t="shared" si="95"/>
        <v>1319.5926901394901</v>
      </c>
      <c r="W481" s="258">
        <f t="shared" si="95"/>
        <v>0</v>
      </c>
      <c r="X481" s="258">
        <f t="shared" si="95"/>
        <v>42346.377102139319</v>
      </c>
      <c r="Y481" s="258">
        <f t="shared" si="95"/>
        <v>0</v>
      </c>
      <c r="AQ481" s="88"/>
    </row>
    <row r="482" spans="5:43" x14ac:dyDescent="0.25">
      <c r="E482" s="39"/>
      <c r="F482" s="98" t="s">
        <v>1096</v>
      </c>
      <c r="G482" s="293" t="s">
        <v>120</v>
      </c>
      <c r="J482" s="476">
        <f t="shared" ref="J482:Y482" si="96">J382</f>
        <v>655475.49579930119</v>
      </c>
      <c r="K482" s="476">
        <f t="shared" si="96"/>
        <v>0</v>
      </c>
      <c r="L482" s="476">
        <f t="shared" si="96"/>
        <v>4319.5691625890968</v>
      </c>
      <c r="M482" s="476">
        <f t="shared" si="96"/>
        <v>0</v>
      </c>
      <c r="N482" s="476">
        <f t="shared" si="96"/>
        <v>25065.998179616356</v>
      </c>
      <c r="O482" s="476">
        <f t="shared" si="96"/>
        <v>10087.248003801</v>
      </c>
      <c r="P482" s="476">
        <f t="shared" si="96"/>
        <v>13802.750525721389</v>
      </c>
      <c r="Q482" s="476">
        <f t="shared" si="96"/>
        <v>6455.2183475278016</v>
      </c>
      <c r="R482" s="476">
        <f t="shared" si="96"/>
        <v>0</v>
      </c>
      <c r="S482" s="476">
        <f t="shared" si="96"/>
        <v>0</v>
      </c>
      <c r="T482" s="476">
        <f t="shared" si="96"/>
        <v>0</v>
      </c>
      <c r="U482" s="476">
        <f t="shared" si="96"/>
        <v>0</v>
      </c>
      <c r="V482" s="476">
        <f t="shared" si="96"/>
        <v>0</v>
      </c>
      <c r="W482" s="476">
        <f t="shared" si="96"/>
        <v>0</v>
      </c>
      <c r="X482" s="476">
        <f t="shared" si="96"/>
        <v>0</v>
      </c>
      <c r="Y482" s="476">
        <f t="shared" si="96"/>
        <v>0</v>
      </c>
      <c r="AQ482" s="88"/>
    </row>
    <row r="483" spans="5:43" x14ac:dyDescent="0.25">
      <c r="E483" s="39"/>
      <c r="F483" s="98" t="s">
        <v>1097</v>
      </c>
      <c r="G483" s="293" t="s">
        <v>120</v>
      </c>
      <c r="J483" s="476">
        <f t="shared" ref="J483:Y483" si="97">J411</f>
        <v>0</v>
      </c>
      <c r="K483" s="476">
        <f t="shared" si="97"/>
        <v>0</v>
      </c>
      <c r="L483" s="476">
        <f t="shared" si="97"/>
        <v>19042.168085390713</v>
      </c>
      <c r="M483" s="476">
        <f t="shared" si="97"/>
        <v>0</v>
      </c>
      <c r="N483" s="476">
        <f t="shared" si="97"/>
        <v>34851.710275001169</v>
      </c>
      <c r="O483" s="476">
        <f t="shared" si="97"/>
        <v>18730.687562697691</v>
      </c>
      <c r="P483" s="476">
        <f t="shared" si="97"/>
        <v>49862.351789933506</v>
      </c>
      <c r="Q483" s="476">
        <f t="shared" si="97"/>
        <v>0</v>
      </c>
      <c r="R483" s="476">
        <f t="shared" si="97"/>
        <v>0</v>
      </c>
      <c r="S483" s="476">
        <f t="shared" si="97"/>
        <v>0</v>
      </c>
      <c r="T483" s="476">
        <f t="shared" si="97"/>
        <v>0</v>
      </c>
      <c r="U483" s="476">
        <f t="shared" si="97"/>
        <v>0</v>
      </c>
      <c r="V483" s="476">
        <f t="shared" si="97"/>
        <v>0</v>
      </c>
      <c r="W483" s="476">
        <f t="shared" si="97"/>
        <v>0</v>
      </c>
      <c r="X483" s="476">
        <f t="shared" si="97"/>
        <v>0</v>
      </c>
      <c r="Y483" s="476">
        <f t="shared" si="97"/>
        <v>0</v>
      </c>
      <c r="AQ483" s="88"/>
    </row>
    <row r="484" spans="5:43" x14ac:dyDescent="0.25">
      <c r="E484" s="39"/>
      <c r="F484" s="98" t="s">
        <v>1098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24122.59315296675</v>
      </c>
      <c r="M484" s="254">
        <f t="shared" si="98"/>
        <v>0</v>
      </c>
      <c r="N484" s="254">
        <f t="shared" si="98"/>
        <v>13149.982474621718</v>
      </c>
      <c r="O484" s="254">
        <f t="shared" si="98"/>
        <v>15516.936459162202</v>
      </c>
      <c r="P484" s="254">
        <f t="shared" si="98"/>
        <v>44684.650460630299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25">
      <c r="E485" s="39"/>
      <c r="F485" s="98" t="s">
        <v>1099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82406.307530503065</v>
      </c>
      <c r="M485" s="254">
        <f t="shared" si="99"/>
        <v>0</v>
      </c>
      <c r="N485" s="254">
        <f t="shared" si="99"/>
        <v>17426.852451123425</v>
      </c>
      <c r="O485" s="254">
        <f t="shared" si="99"/>
        <v>61930.185239457518</v>
      </c>
      <c r="P485" s="254">
        <f t="shared" si="99"/>
        <v>59434.860553476596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2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25">
      <c r="E487" s="39"/>
      <c r="F487" s="98" t="s">
        <v>1063</v>
      </c>
      <c r="G487" s="293" t="s">
        <v>120</v>
      </c>
      <c r="J487" s="258">
        <f t="shared" ref="J487:Y487" si="100">J354</f>
        <v>0</v>
      </c>
      <c r="K487" s="258">
        <f t="shared" si="100"/>
        <v>876.88932002307558</v>
      </c>
      <c r="L487" s="258">
        <f t="shared" si="100"/>
        <v>0</v>
      </c>
      <c r="M487" s="258">
        <f t="shared" si="100"/>
        <v>315.99830541136959</v>
      </c>
      <c r="N487" s="258">
        <f t="shared" si="100"/>
        <v>0</v>
      </c>
      <c r="O487" s="258">
        <f t="shared" si="100"/>
        <v>0</v>
      </c>
      <c r="P487" s="258">
        <f t="shared" si="100"/>
        <v>0</v>
      </c>
      <c r="Q487" s="258">
        <f t="shared" si="100"/>
        <v>0</v>
      </c>
      <c r="R487" s="258">
        <f t="shared" si="100"/>
        <v>675.42262204083556</v>
      </c>
      <c r="S487" s="258">
        <f t="shared" si="100"/>
        <v>89.283262919470644</v>
      </c>
      <c r="T487" s="258">
        <f t="shared" si="100"/>
        <v>22397.414037263683</v>
      </c>
      <c r="U487" s="258">
        <f t="shared" si="100"/>
        <v>0</v>
      </c>
      <c r="V487" s="258">
        <f t="shared" si="100"/>
        <v>5938.0182101575592</v>
      </c>
      <c r="W487" s="258">
        <f t="shared" si="100"/>
        <v>0</v>
      </c>
      <c r="X487" s="258">
        <f t="shared" si="100"/>
        <v>169950.37671525255</v>
      </c>
      <c r="Y487" s="258">
        <f t="shared" si="100"/>
        <v>0</v>
      </c>
      <c r="AQ487" s="88"/>
    </row>
    <row r="488" spans="5:43" x14ac:dyDescent="0.25">
      <c r="E488" s="39"/>
      <c r="F488" s="98" t="s">
        <v>1096</v>
      </c>
      <c r="G488" s="293" t="s">
        <v>120</v>
      </c>
      <c r="J488" s="476">
        <f t="shared" ref="J488:Y488" si="101">J383</f>
        <v>2319857.7445436521</v>
      </c>
      <c r="K488" s="476">
        <f t="shared" si="101"/>
        <v>0</v>
      </c>
      <c r="L488" s="476">
        <f t="shared" si="101"/>
        <v>22707.770358779417</v>
      </c>
      <c r="M488" s="476">
        <f t="shared" si="101"/>
        <v>0</v>
      </c>
      <c r="N488" s="476">
        <f t="shared" si="101"/>
        <v>113545.64238818234</v>
      </c>
      <c r="O488" s="476">
        <f t="shared" si="101"/>
        <v>48739.937188510827</v>
      </c>
      <c r="P488" s="476">
        <f t="shared" si="101"/>
        <v>63264.72014507492</v>
      </c>
      <c r="Q488" s="476">
        <f t="shared" si="101"/>
        <v>52643.235695354182</v>
      </c>
      <c r="R488" s="476">
        <f t="shared" si="101"/>
        <v>0</v>
      </c>
      <c r="S488" s="476">
        <f t="shared" si="101"/>
        <v>0</v>
      </c>
      <c r="T488" s="476">
        <f t="shared" si="101"/>
        <v>0</v>
      </c>
      <c r="U488" s="476">
        <f t="shared" si="101"/>
        <v>0</v>
      </c>
      <c r="V488" s="476">
        <f t="shared" si="101"/>
        <v>0</v>
      </c>
      <c r="W488" s="476">
        <f t="shared" si="101"/>
        <v>0</v>
      </c>
      <c r="X488" s="476">
        <f t="shared" si="101"/>
        <v>0</v>
      </c>
      <c r="Y488" s="476">
        <f t="shared" si="101"/>
        <v>0</v>
      </c>
      <c r="AQ488" s="88"/>
    </row>
    <row r="489" spans="5:43" x14ac:dyDescent="0.25">
      <c r="E489" s="39"/>
      <c r="F489" s="98" t="s">
        <v>1097</v>
      </c>
      <c r="G489" s="293" t="s">
        <v>120</v>
      </c>
      <c r="J489" s="476">
        <f t="shared" ref="J489:Y489" si="102">J412</f>
        <v>0</v>
      </c>
      <c r="K489" s="476">
        <f t="shared" si="102"/>
        <v>0</v>
      </c>
      <c r="L489" s="476">
        <f t="shared" si="102"/>
        <v>100103.77510824539</v>
      </c>
      <c r="M489" s="476">
        <f t="shared" si="102"/>
        <v>0</v>
      </c>
      <c r="N489" s="476">
        <f t="shared" si="102"/>
        <v>158200.7024317348</v>
      </c>
      <c r="O489" s="476">
        <f t="shared" si="102"/>
        <v>90391.425638093147</v>
      </c>
      <c r="P489" s="476">
        <f t="shared" si="102"/>
        <v>228540.04702399005</v>
      </c>
      <c r="Q489" s="476">
        <f t="shared" si="102"/>
        <v>0</v>
      </c>
      <c r="R489" s="476">
        <f t="shared" si="102"/>
        <v>0</v>
      </c>
      <c r="S489" s="476">
        <f t="shared" si="102"/>
        <v>0</v>
      </c>
      <c r="T489" s="476">
        <f t="shared" si="102"/>
        <v>0</v>
      </c>
      <c r="U489" s="476">
        <f t="shared" si="102"/>
        <v>0</v>
      </c>
      <c r="V489" s="476">
        <f t="shared" si="102"/>
        <v>0</v>
      </c>
      <c r="W489" s="476">
        <f t="shared" si="102"/>
        <v>0</v>
      </c>
      <c r="X489" s="476">
        <f t="shared" si="102"/>
        <v>0</v>
      </c>
      <c r="Y489" s="476">
        <f t="shared" si="102"/>
        <v>0</v>
      </c>
      <c r="AQ489" s="88"/>
    </row>
    <row r="490" spans="5:43" x14ac:dyDescent="0.25">
      <c r="E490" s="39"/>
      <c r="F490" s="98" t="s">
        <v>1098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126811.32889825221</v>
      </c>
      <c r="M490" s="254">
        <f t="shared" si="103"/>
        <v>0</v>
      </c>
      <c r="N490" s="254">
        <f t="shared" si="103"/>
        <v>59756.207068231539</v>
      </c>
      <c r="O490" s="254">
        <f t="shared" si="103"/>
        <v>74975.247421899752</v>
      </c>
      <c r="P490" s="254">
        <f t="shared" si="103"/>
        <v>204810.87476356351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25">
      <c r="E491" s="39"/>
      <c r="F491" s="98" t="s">
        <v>1099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433206.05298423028</v>
      </c>
      <c r="M491" s="254">
        <f t="shared" si="104"/>
        <v>0</v>
      </c>
      <c r="N491" s="254">
        <f t="shared" si="104"/>
        <v>79206.3359094068</v>
      </c>
      <c r="O491" s="254">
        <f t="shared" si="104"/>
        <v>299309.7146915748</v>
      </c>
      <c r="P491" s="254">
        <f t="shared" si="104"/>
        <v>272419.09721915028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2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25">
      <c r="E493" s="39"/>
      <c r="F493" s="98" t="s">
        <v>1063</v>
      </c>
      <c r="G493" s="293" t="s">
        <v>120</v>
      </c>
      <c r="J493" s="258">
        <f t="shared" ref="J493:Y493" si="105">J355</f>
        <v>0</v>
      </c>
      <c r="K493" s="258">
        <f t="shared" si="105"/>
        <v>11792.873278266205</v>
      </c>
      <c r="L493" s="258">
        <f t="shared" si="105"/>
        <v>0</v>
      </c>
      <c r="M493" s="258">
        <f t="shared" si="105"/>
        <v>3822.6277485878222</v>
      </c>
      <c r="N493" s="258">
        <f t="shared" si="105"/>
        <v>0</v>
      </c>
      <c r="O493" s="258">
        <f t="shared" si="105"/>
        <v>0</v>
      </c>
      <c r="P493" s="258">
        <f t="shared" si="105"/>
        <v>0</v>
      </c>
      <c r="Q493" s="258">
        <f t="shared" si="105"/>
        <v>0</v>
      </c>
      <c r="R493" s="258">
        <f t="shared" si="105"/>
        <v>734.62430353180275</v>
      </c>
      <c r="S493" s="258">
        <f t="shared" si="105"/>
        <v>112.33780697547499</v>
      </c>
      <c r="T493" s="258">
        <f t="shared" si="105"/>
        <v>25989.195328374855</v>
      </c>
      <c r="U493" s="258">
        <f t="shared" si="105"/>
        <v>0</v>
      </c>
      <c r="V493" s="258">
        <f t="shared" si="105"/>
        <v>7475.1781511239524</v>
      </c>
      <c r="W493" s="258">
        <f t="shared" si="105"/>
        <v>0</v>
      </c>
      <c r="X493" s="258">
        <f t="shared" si="105"/>
        <v>176946.04662843214</v>
      </c>
      <c r="Y493" s="258">
        <f t="shared" si="105"/>
        <v>0</v>
      </c>
      <c r="AQ493" s="88"/>
    </row>
    <row r="494" spans="5:43" x14ac:dyDescent="0.25">
      <c r="E494" s="39"/>
      <c r="F494" s="98" t="s">
        <v>1096</v>
      </c>
      <c r="G494" s="293" t="s">
        <v>120</v>
      </c>
      <c r="J494" s="476">
        <f t="shared" ref="J494:Y494" si="106">J384</f>
        <v>2183608.0375141334</v>
      </c>
      <c r="K494" s="476">
        <f t="shared" si="106"/>
        <v>0</v>
      </c>
      <c r="L494" s="476">
        <f t="shared" si="106"/>
        <v>21991.046084672707</v>
      </c>
      <c r="M494" s="476">
        <f t="shared" si="106"/>
        <v>0</v>
      </c>
      <c r="N494" s="476">
        <f t="shared" si="106"/>
        <v>98111.565880395618</v>
      </c>
      <c r="O494" s="476">
        <f t="shared" si="106"/>
        <v>43147.725738959387</v>
      </c>
      <c r="P494" s="476">
        <f t="shared" si="106"/>
        <v>68638.704863676408</v>
      </c>
      <c r="Q494" s="476">
        <f t="shared" si="106"/>
        <v>88973.638885898574</v>
      </c>
      <c r="R494" s="476">
        <f t="shared" si="106"/>
        <v>0</v>
      </c>
      <c r="S494" s="476">
        <f t="shared" si="106"/>
        <v>0</v>
      </c>
      <c r="T494" s="476">
        <f t="shared" si="106"/>
        <v>0</v>
      </c>
      <c r="U494" s="476">
        <f t="shared" si="106"/>
        <v>0</v>
      </c>
      <c r="V494" s="476">
        <f t="shared" si="106"/>
        <v>0</v>
      </c>
      <c r="W494" s="476">
        <f t="shared" si="106"/>
        <v>0</v>
      </c>
      <c r="X494" s="476">
        <f t="shared" si="106"/>
        <v>0</v>
      </c>
      <c r="Y494" s="476">
        <f t="shared" si="106"/>
        <v>0</v>
      </c>
      <c r="AQ494" s="88"/>
    </row>
    <row r="495" spans="5:43" x14ac:dyDescent="0.25">
      <c r="E495" s="39"/>
      <c r="F495" s="98" t="s">
        <v>1097</v>
      </c>
      <c r="G495" s="293" t="s">
        <v>120</v>
      </c>
      <c r="J495" s="476">
        <f t="shared" ref="J495:Y495" si="107">J413</f>
        <v>0</v>
      </c>
      <c r="K495" s="476">
        <f t="shared" si="107"/>
        <v>0</v>
      </c>
      <c r="L495" s="476">
        <f t="shared" si="107"/>
        <v>96944.204423135845</v>
      </c>
      <c r="M495" s="476">
        <f t="shared" si="107"/>
        <v>0</v>
      </c>
      <c r="N495" s="476">
        <f t="shared" si="107"/>
        <v>136325.57101756768</v>
      </c>
      <c r="O495" s="476">
        <f t="shared" si="107"/>
        <v>80283.801332944568</v>
      </c>
      <c r="P495" s="476">
        <f t="shared" si="107"/>
        <v>247923.17128677346</v>
      </c>
      <c r="Q495" s="476">
        <f t="shared" si="107"/>
        <v>0</v>
      </c>
      <c r="R495" s="476">
        <f t="shared" si="107"/>
        <v>0</v>
      </c>
      <c r="S495" s="476">
        <f t="shared" si="107"/>
        <v>0</v>
      </c>
      <c r="T495" s="476">
        <f t="shared" si="107"/>
        <v>0</v>
      </c>
      <c r="U495" s="476">
        <f t="shared" si="107"/>
        <v>0</v>
      </c>
      <c r="V495" s="476">
        <f t="shared" si="107"/>
        <v>0</v>
      </c>
      <c r="W495" s="476">
        <f t="shared" si="107"/>
        <v>0</v>
      </c>
      <c r="X495" s="476">
        <f t="shared" si="107"/>
        <v>0</v>
      </c>
      <c r="Y495" s="476">
        <f t="shared" si="107"/>
        <v>0</v>
      </c>
      <c r="AQ495" s="88"/>
    </row>
    <row r="496" spans="5:43" x14ac:dyDescent="0.25">
      <c r="E496" s="39"/>
      <c r="F496" s="98" t="s">
        <v>1098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122808.78896513334</v>
      </c>
      <c r="M496" s="254">
        <f t="shared" si="108"/>
        <v>0</v>
      </c>
      <c r="N496" s="254">
        <f t="shared" si="108"/>
        <v>51421.428918055841</v>
      </c>
      <c r="O496" s="254">
        <f t="shared" si="108"/>
        <v>66373.047116305053</v>
      </c>
      <c r="P496" s="254">
        <f t="shared" si="108"/>
        <v>222202.91645604221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25">
      <c r="E497" s="39"/>
      <c r="F497" s="98" t="s">
        <v>1099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419532.79097047588</v>
      </c>
      <c r="M497" s="254">
        <f t="shared" si="109"/>
        <v>0</v>
      </c>
      <c r="N497" s="254">
        <f t="shared" si="109"/>
        <v>68119.252291172423</v>
      </c>
      <c r="O497" s="254">
        <f t="shared" si="109"/>
        <v>264796.38843800803</v>
      </c>
      <c r="P497" s="254">
        <f t="shared" si="109"/>
        <v>295561.5311337951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2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25">
      <c r="E499" s="39"/>
      <c r="F499" s="98" t="s">
        <v>1063</v>
      </c>
      <c r="G499" s="293" t="s">
        <v>74</v>
      </c>
      <c r="J499" s="258">
        <f t="shared" ref="J499:Y499" si="110">J356</f>
        <v>0</v>
      </c>
      <c r="K499" s="258">
        <f t="shared" si="110"/>
        <v>3156</v>
      </c>
      <c r="L499" s="258">
        <f t="shared" si="110"/>
        <v>0</v>
      </c>
      <c r="M499" s="258">
        <f t="shared" si="110"/>
        <v>997</v>
      </c>
      <c r="N499" s="258">
        <f t="shared" si="110"/>
        <v>0</v>
      </c>
      <c r="O499" s="258">
        <f t="shared" si="110"/>
        <v>0</v>
      </c>
      <c r="P499" s="258">
        <f t="shared" si="110"/>
        <v>0</v>
      </c>
      <c r="Q499" s="258">
        <f t="shared" si="110"/>
        <v>0</v>
      </c>
      <c r="R499" s="258">
        <f t="shared" si="110"/>
        <v>283</v>
      </c>
      <c r="S499" s="258">
        <f t="shared" si="110"/>
        <v>25</v>
      </c>
      <c r="T499" s="258">
        <f t="shared" si="110"/>
        <v>317</v>
      </c>
      <c r="U499" s="258">
        <f t="shared" si="110"/>
        <v>0</v>
      </c>
      <c r="V499" s="258">
        <f t="shared" si="110"/>
        <v>41</v>
      </c>
      <c r="W499" s="258">
        <f t="shared" si="110"/>
        <v>0</v>
      </c>
      <c r="X499" s="258">
        <f t="shared" si="110"/>
        <v>138</v>
      </c>
      <c r="Y499" s="258">
        <f t="shared" si="110"/>
        <v>0</v>
      </c>
      <c r="AQ499" s="88"/>
    </row>
    <row r="500" spans="5:43" x14ac:dyDescent="0.25">
      <c r="E500" s="39"/>
      <c r="F500" s="98" t="s">
        <v>1096</v>
      </c>
      <c r="G500" s="293" t="s">
        <v>74</v>
      </c>
      <c r="J500" s="476">
        <f t="shared" ref="J500:Y500" si="111">J385</f>
        <v>1422018.8938824672</v>
      </c>
      <c r="K500" s="476">
        <f t="shared" si="111"/>
        <v>0</v>
      </c>
      <c r="L500" s="476">
        <f t="shared" si="111"/>
        <v>37937.366962498359</v>
      </c>
      <c r="M500" s="476">
        <f t="shared" si="111"/>
        <v>0</v>
      </c>
      <c r="N500" s="476">
        <f t="shared" si="111"/>
        <v>2976.6829792595454</v>
      </c>
      <c r="O500" s="476">
        <f t="shared" si="111"/>
        <v>1025.9148318717112</v>
      </c>
      <c r="P500" s="476">
        <f t="shared" si="111"/>
        <v>301.29300806059575</v>
      </c>
      <c r="Q500" s="476">
        <f t="shared" si="111"/>
        <v>609.29602287087573</v>
      </c>
      <c r="R500" s="476">
        <f t="shared" si="111"/>
        <v>0</v>
      </c>
      <c r="S500" s="476">
        <f t="shared" si="111"/>
        <v>0</v>
      </c>
      <c r="T500" s="476">
        <f t="shared" si="111"/>
        <v>0</v>
      </c>
      <c r="U500" s="476">
        <f t="shared" si="111"/>
        <v>0</v>
      </c>
      <c r="V500" s="476">
        <f t="shared" si="111"/>
        <v>0</v>
      </c>
      <c r="W500" s="476">
        <f t="shared" si="111"/>
        <v>0</v>
      </c>
      <c r="X500" s="476">
        <f t="shared" si="111"/>
        <v>0</v>
      </c>
      <c r="Y500" s="476">
        <f t="shared" si="111"/>
        <v>0</v>
      </c>
      <c r="AQ500" s="88"/>
    </row>
    <row r="501" spans="5:43" x14ac:dyDescent="0.25">
      <c r="E501" s="39"/>
      <c r="F501" s="98" t="s">
        <v>1097</v>
      </c>
      <c r="G501" s="293" t="s">
        <v>74</v>
      </c>
      <c r="J501" s="476">
        <f t="shared" ref="J501:Y501" si="112">J414</f>
        <v>0</v>
      </c>
      <c r="K501" s="476">
        <f t="shared" si="112"/>
        <v>0</v>
      </c>
      <c r="L501" s="476">
        <f t="shared" si="112"/>
        <v>30923.869602955838</v>
      </c>
      <c r="M501" s="476">
        <f t="shared" si="112"/>
        <v>0</v>
      </c>
      <c r="N501" s="476">
        <f t="shared" si="112"/>
        <v>1848.5052832966296</v>
      </c>
      <c r="O501" s="476">
        <f t="shared" si="112"/>
        <v>816.65932748684475</v>
      </c>
      <c r="P501" s="476">
        <f t="shared" si="112"/>
        <v>292.58601612119151</v>
      </c>
      <c r="Q501" s="476">
        <f t="shared" si="112"/>
        <v>0</v>
      </c>
      <c r="R501" s="476">
        <f t="shared" si="112"/>
        <v>0</v>
      </c>
      <c r="S501" s="476">
        <f t="shared" si="112"/>
        <v>0</v>
      </c>
      <c r="T501" s="476">
        <f t="shared" si="112"/>
        <v>0</v>
      </c>
      <c r="U501" s="476">
        <f t="shared" si="112"/>
        <v>0</v>
      </c>
      <c r="V501" s="476">
        <f t="shared" si="112"/>
        <v>0</v>
      </c>
      <c r="W501" s="476">
        <f t="shared" si="112"/>
        <v>0</v>
      </c>
      <c r="X501" s="476">
        <f t="shared" si="112"/>
        <v>0</v>
      </c>
      <c r="Y501" s="476">
        <f t="shared" si="112"/>
        <v>0</v>
      </c>
      <c r="AQ501" s="88"/>
    </row>
    <row r="502" spans="5:43" x14ac:dyDescent="0.25">
      <c r="E502" s="39"/>
      <c r="F502" s="98" t="s">
        <v>1098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15807.281404870146</v>
      </c>
      <c r="M502" s="254">
        <f t="shared" si="113"/>
        <v>0</v>
      </c>
      <c r="N502" s="254">
        <f t="shared" si="113"/>
        <v>430.86483968224104</v>
      </c>
      <c r="O502" s="254">
        <f t="shared" si="113"/>
        <v>426.72870796792779</v>
      </c>
      <c r="P502" s="254">
        <f t="shared" si="113"/>
        <v>129.46975604544681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25">
      <c r="E503" s="39"/>
      <c r="F503" s="98" t="s">
        <v>1099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16734.457472861592</v>
      </c>
      <c r="M503" s="254">
        <f t="shared" si="114"/>
        <v>0</v>
      </c>
      <c r="N503" s="254">
        <f t="shared" si="114"/>
        <v>285.93241984112052</v>
      </c>
      <c r="O503" s="254">
        <f t="shared" si="114"/>
        <v>821</v>
      </c>
      <c r="P503" s="254">
        <f t="shared" si="114"/>
        <v>91.646504030297876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2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25">
      <c r="E505" s="39"/>
      <c r="F505" s="98" t="s">
        <v>1063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0</v>
      </c>
      <c r="O505" s="258">
        <f t="shared" si="115"/>
        <v>0</v>
      </c>
      <c r="P505" s="258">
        <f t="shared" si="115"/>
        <v>0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25">
      <c r="E506" s="39"/>
      <c r="F506" s="98" t="s">
        <v>1096</v>
      </c>
      <c r="G506" s="293" t="s">
        <v>169</v>
      </c>
      <c r="J506" s="476">
        <f t="shared" ref="J506:Y506" si="116">J386</f>
        <v>0</v>
      </c>
      <c r="K506" s="476">
        <f t="shared" si="116"/>
        <v>0</v>
      </c>
      <c r="L506" s="476">
        <f t="shared" si="116"/>
        <v>0</v>
      </c>
      <c r="M506" s="476">
        <f t="shared" si="116"/>
        <v>0</v>
      </c>
      <c r="N506" s="476">
        <f t="shared" si="116"/>
        <v>163380.49226701242</v>
      </c>
      <c r="O506" s="476">
        <f t="shared" si="116"/>
        <v>54638.304144825823</v>
      </c>
      <c r="P506" s="476">
        <f t="shared" si="116"/>
        <v>56138.405184421448</v>
      </c>
      <c r="Q506" s="476">
        <f t="shared" si="116"/>
        <v>0</v>
      </c>
      <c r="R506" s="476">
        <f t="shared" si="116"/>
        <v>0</v>
      </c>
      <c r="S506" s="476">
        <f t="shared" si="116"/>
        <v>0</v>
      </c>
      <c r="T506" s="476">
        <f t="shared" si="116"/>
        <v>0</v>
      </c>
      <c r="U506" s="476">
        <f t="shared" si="116"/>
        <v>0</v>
      </c>
      <c r="V506" s="476">
        <f t="shared" si="116"/>
        <v>0</v>
      </c>
      <c r="W506" s="476">
        <f t="shared" si="116"/>
        <v>0</v>
      </c>
      <c r="X506" s="476">
        <f t="shared" si="116"/>
        <v>0</v>
      </c>
      <c r="Y506" s="476">
        <f t="shared" si="116"/>
        <v>0</v>
      </c>
      <c r="AQ506" s="88"/>
    </row>
    <row r="507" spans="5:43" x14ac:dyDescent="0.25">
      <c r="E507" s="39"/>
      <c r="F507" s="98" t="s">
        <v>1097</v>
      </c>
      <c r="G507" s="293" t="s">
        <v>169</v>
      </c>
      <c r="J507" s="476">
        <f t="shared" ref="J507:Y507" si="117">J415</f>
        <v>0</v>
      </c>
      <c r="K507" s="476">
        <f t="shared" si="117"/>
        <v>0</v>
      </c>
      <c r="L507" s="476">
        <f t="shared" si="117"/>
        <v>0</v>
      </c>
      <c r="M507" s="476">
        <f t="shared" si="117"/>
        <v>0</v>
      </c>
      <c r="N507" s="476">
        <f t="shared" si="117"/>
        <v>223047.94758415123</v>
      </c>
      <c r="O507" s="476">
        <f t="shared" si="117"/>
        <v>104352.45320458488</v>
      </c>
      <c r="P507" s="476">
        <f t="shared" si="117"/>
        <v>203144.50674312358</v>
      </c>
      <c r="Q507" s="476">
        <f t="shared" si="117"/>
        <v>0</v>
      </c>
      <c r="R507" s="476">
        <f t="shared" si="117"/>
        <v>0</v>
      </c>
      <c r="S507" s="476">
        <f t="shared" si="117"/>
        <v>0</v>
      </c>
      <c r="T507" s="476">
        <f t="shared" si="117"/>
        <v>0</v>
      </c>
      <c r="U507" s="476">
        <f t="shared" si="117"/>
        <v>0</v>
      </c>
      <c r="V507" s="476">
        <f t="shared" si="117"/>
        <v>0</v>
      </c>
      <c r="W507" s="476">
        <f t="shared" si="117"/>
        <v>0</v>
      </c>
      <c r="X507" s="476">
        <f t="shared" si="117"/>
        <v>0</v>
      </c>
      <c r="Y507" s="476">
        <f t="shared" si="117"/>
        <v>0</v>
      </c>
      <c r="AQ507" s="88"/>
    </row>
    <row r="508" spans="5:43" x14ac:dyDescent="0.25">
      <c r="E508" s="39"/>
      <c r="F508" s="98" t="s">
        <v>1098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83349.705427787674</v>
      </c>
      <c r="O508" s="254">
        <f t="shared" si="118"/>
        <v>84050.061951891694</v>
      </c>
      <c r="P508" s="254">
        <f t="shared" si="118"/>
        <v>181804.03245605106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25">
      <c r="E509" s="39"/>
      <c r="F509" s="98" t="s">
        <v>1099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110128.99749286394</v>
      </c>
      <c r="O509" s="254">
        <f t="shared" si="119"/>
        <v>333562</v>
      </c>
      <c r="P509" s="254">
        <f t="shared" si="119"/>
        <v>241709.95926968512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2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25">
      <c r="E511" s="39"/>
      <c r="F511" s="98" t="s">
        <v>1063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0</v>
      </c>
      <c r="O511" s="258">
        <f t="shared" si="120"/>
        <v>0</v>
      </c>
      <c r="P511" s="258">
        <f t="shared" si="120"/>
        <v>0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25">
      <c r="E512" s="39"/>
      <c r="F512" s="98" t="s">
        <v>1096</v>
      </c>
      <c r="G512" s="293" t="s">
        <v>169</v>
      </c>
      <c r="J512" s="476">
        <f t="shared" ref="J512:Y512" si="121">J387</f>
        <v>0</v>
      </c>
      <c r="K512" s="476">
        <f t="shared" si="121"/>
        <v>0</v>
      </c>
      <c r="L512" s="476">
        <f t="shared" si="121"/>
        <v>0</v>
      </c>
      <c r="M512" s="476">
        <f t="shared" si="121"/>
        <v>0</v>
      </c>
      <c r="N512" s="476">
        <f t="shared" si="121"/>
        <v>3317.3510418708947</v>
      </c>
      <c r="O512" s="476">
        <f t="shared" si="121"/>
        <v>3548</v>
      </c>
      <c r="P512" s="476">
        <f t="shared" si="121"/>
        <v>920.50293582751681</v>
      </c>
      <c r="Q512" s="476">
        <f t="shared" si="121"/>
        <v>0</v>
      </c>
      <c r="R512" s="476">
        <f t="shared" si="121"/>
        <v>0</v>
      </c>
      <c r="S512" s="476">
        <f t="shared" si="121"/>
        <v>0</v>
      </c>
      <c r="T512" s="476">
        <f t="shared" si="121"/>
        <v>0</v>
      </c>
      <c r="U512" s="476">
        <f t="shared" si="121"/>
        <v>0</v>
      </c>
      <c r="V512" s="476">
        <f t="shared" si="121"/>
        <v>0</v>
      </c>
      <c r="W512" s="476">
        <f t="shared" si="121"/>
        <v>0</v>
      </c>
      <c r="X512" s="476">
        <f t="shared" si="121"/>
        <v>0</v>
      </c>
      <c r="Y512" s="476">
        <f t="shared" si="121"/>
        <v>0</v>
      </c>
      <c r="AQ512" s="88"/>
    </row>
    <row r="513" spans="3:43" x14ac:dyDescent="0.25">
      <c r="E513" s="39"/>
      <c r="F513" s="98" t="s">
        <v>1097</v>
      </c>
      <c r="G513" s="293" t="s">
        <v>169</v>
      </c>
      <c r="J513" s="476">
        <f t="shared" ref="J513:Y513" si="122">J416</f>
        <v>0</v>
      </c>
      <c r="K513" s="476">
        <f t="shared" si="122"/>
        <v>0</v>
      </c>
      <c r="L513" s="476">
        <f t="shared" si="122"/>
        <v>0</v>
      </c>
      <c r="M513" s="476">
        <f t="shared" si="122"/>
        <v>0</v>
      </c>
      <c r="N513" s="476">
        <f t="shared" si="122"/>
        <v>4776.6657789528026</v>
      </c>
      <c r="O513" s="476">
        <f t="shared" si="122"/>
        <v>5122</v>
      </c>
      <c r="P513" s="476">
        <f t="shared" si="122"/>
        <v>3316.3007922220072</v>
      </c>
      <c r="Q513" s="476">
        <f t="shared" si="122"/>
        <v>0</v>
      </c>
      <c r="R513" s="476">
        <f t="shared" si="122"/>
        <v>0</v>
      </c>
      <c r="S513" s="476">
        <f t="shared" si="122"/>
        <v>0</v>
      </c>
      <c r="T513" s="476">
        <f t="shared" si="122"/>
        <v>0</v>
      </c>
      <c r="U513" s="476">
        <f t="shared" si="122"/>
        <v>0</v>
      </c>
      <c r="V513" s="476">
        <f t="shared" si="122"/>
        <v>0</v>
      </c>
      <c r="W513" s="476">
        <f t="shared" si="122"/>
        <v>0</v>
      </c>
      <c r="X513" s="476">
        <f t="shared" si="122"/>
        <v>0</v>
      </c>
      <c r="Y513" s="476">
        <f t="shared" si="122"/>
        <v>0</v>
      </c>
      <c r="AQ513" s="88"/>
    </row>
    <row r="514" spans="3:43" x14ac:dyDescent="0.25">
      <c r="E514" s="39"/>
      <c r="F514" s="98" t="s">
        <v>1098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1834.0284208682065</v>
      </c>
      <c r="O514" s="254">
        <f t="shared" si="123"/>
        <v>1969</v>
      </c>
      <c r="P514" s="254">
        <f t="shared" si="123"/>
        <v>2977.7166628799005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25">
      <c r="E515" s="39"/>
      <c r="F515" s="98" t="s">
        <v>1099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2450.7617932357084</v>
      </c>
      <c r="O515" s="254">
        <f t="shared" si="124"/>
        <v>2632</v>
      </c>
      <c r="P515" s="254">
        <f t="shared" si="124"/>
        <v>3963.1342295263626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2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25">
      <c r="E517" s="39"/>
      <c r="F517" s="98" t="s">
        <v>1063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0</v>
      </c>
      <c r="O517" s="258">
        <f t="shared" si="125"/>
        <v>0</v>
      </c>
      <c r="P517" s="258">
        <f t="shared" si="125"/>
        <v>0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4427.7671</v>
      </c>
      <c r="U517" s="258">
        <f t="shared" si="125"/>
        <v>0</v>
      </c>
      <c r="V517" s="258">
        <f t="shared" si="125"/>
        <v>172.2</v>
      </c>
      <c r="W517" s="258">
        <f t="shared" si="125"/>
        <v>0</v>
      </c>
      <c r="X517" s="258">
        <f t="shared" si="125"/>
        <v>7419.6</v>
      </c>
      <c r="Y517" s="258">
        <f t="shared" si="125"/>
        <v>0</v>
      </c>
      <c r="AQ517" s="88"/>
    </row>
    <row r="518" spans="3:43" x14ac:dyDescent="0.25">
      <c r="E518" s="39"/>
      <c r="F518" s="98" t="s">
        <v>1096</v>
      </c>
      <c r="G518" s="293" t="s">
        <v>170</v>
      </c>
      <c r="J518" s="476">
        <f t="shared" ref="J518:Y518" si="126">J388</f>
        <v>0</v>
      </c>
      <c r="K518" s="476">
        <f t="shared" si="126"/>
        <v>0</v>
      </c>
      <c r="L518" s="476">
        <f t="shared" si="126"/>
        <v>0</v>
      </c>
      <c r="M518" s="476">
        <f t="shared" si="126"/>
        <v>0</v>
      </c>
      <c r="N518" s="476">
        <f t="shared" si="126"/>
        <v>21671.753367818979</v>
      </c>
      <c r="O518" s="476">
        <f t="shared" si="126"/>
        <v>25034.881048331623</v>
      </c>
      <c r="P518" s="476">
        <f t="shared" si="126"/>
        <v>9244.3954313433624</v>
      </c>
      <c r="Q518" s="476">
        <f t="shared" si="126"/>
        <v>0</v>
      </c>
      <c r="R518" s="476">
        <f t="shared" si="126"/>
        <v>0</v>
      </c>
      <c r="S518" s="476">
        <f t="shared" si="126"/>
        <v>0</v>
      </c>
      <c r="T518" s="476">
        <f t="shared" si="126"/>
        <v>0</v>
      </c>
      <c r="U518" s="476">
        <f t="shared" si="126"/>
        <v>0</v>
      </c>
      <c r="V518" s="476">
        <f t="shared" si="126"/>
        <v>0</v>
      </c>
      <c r="W518" s="476">
        <f t="shared" si="126"/>
        <v>0</v>
      </c>
      <c r="X518" s="476">
        <f t="shared" si="126"/>
        <v>0</v>
      </c>
      <c r="Y518" s="476">
        <f t="shared" si="126"/>
        <v>0</v>
      </c>
      <c r="AQ518" s="88"/>
    </row>
    <row r="519" spans="3:43" x14ac:dyDescent="0.25">
      <c r="E519" s="39"/>
      <c r="F519" s="98" t="s">
        <v>1097</v>
      </c>
      <c r="G519" s="293" t="s">
        <v>170</v>
      </c>
      <c r="J519" s="476">
        <f t="shared" ref="J519:Y519" si="127">J417</f>
        <v>0</v>
      </c>
      <c r="K519" s="476">
        <f t="shared" si="127"/>
        <v>0</v>
      </c>
      <c r="L519" s="476">
        <f t="shared" si="127"/>
        <v>0</v>
      </c>
      <c r="M519" s="476">
        <f t="shared" si="127"/>
        <v>0</v>
      </c>
      <c r="N519" s="476">
        <f t="shared" si="127"/>
        <v>30375.183720550485</v>
      </c>
      <c r="O519" s="476">
        <f t="shared" si="127"/>
        <v>37985.022905935766</v>
      </c>
      <c r="P519" s="476">
        <f t="shared" si="127"/>
        <v>33329.982761099382</v>
      </c>
      <c r="Q519" s="476">
        <f t="shared" si="127"/>
        <v>0</v>
      </c>
      <c r="R519" s="476">
        <f t="shared" si="127"/>
        <v>0</v>
      </c>
      <c r="S519" s="476">
        <f t="shared" si="127"/>
        <v>0</v>
      </c>
      <c r="T519" s="476">
        <f t="shared" si="127"/>
        <v>0</v>
      </c>
      <c r="U519" s="476">
        <f t="shared" si="127"/>
        <v>0</v>
      </c>
      <c r="V519" s="476">
        <f t="shared" si="127"/>
        <v>0</v>
      </c>
      <c r="W519" s="476">
        <f t="shared" si="127"/>
        <v>0</v>
      </c>
      <c r="X519" s="476">
        <f t="shared" si="127"/>
        <v>0</v>
      </c>
      <c r="Y519" s="476">
        <f t="shared" si="127"/>
        <v>0</v>
      </c>
      <c r="AQ519" s="88"/>
    </row>
    <row r="520" spans="3:43" x14ac:dyDescent="0.25">
      <c r="E520" s="39"/>
      <c r="F520" s="98" t="s">
        <v>1098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11505.825049349176</v>
      </c>
      <c r="O520" s="254">
        <f t="shared" si="128"/>
        <v>14079.660741252501</v>
      </c>
      <c r="P520" s="254">
        <f t="shared" si="128"/>
        <v>29915.609656799297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25">
      <c r="E521" s="36"/>
      <c r="F521" s="477" t="s">
        <v>1099</v>
      </c>
      <c r="G521" s="93" t="s">
        <v>170</v>
      </c>
      <c r="H521" s="93"/>
      <c r="I521" s="93"/>
      <c r="J521" s="476">
        <f t="shared" ref="J521:Y521" si="129">J475</f>
        <v>0</v>
      </c>
      <c r="K521" s="476">
        <f t="shared" si="129"/>
        <v>0</v>
      </c>
      <c r="L521" s="476">
        <f t="shared" si="129"/>
        <v>0</v>
      </c>
      <c r="M521" s="476">
        <f t="shared" si="129"/>
        <v>0</v>
      </c>
      <c r="N521" s="476">
        <f t="shared" si="129"/>
        <v>15303.687931158642</v>
      </c>
      <c r="O521" s="476">
        <f t="shared" si="129"/>
        <v>18431.431</v>
      </c>
      <c r="P521" s="476">
        <f t="shared" si="129"/>
        <v>39810.75254629102</v>
      </c>
      <c r="Q521" s="476">
        <f t="shared" si="129"/>
        <v>0</v>
      </c>
      <c r="R521" s="476">
        <f t="shared" si="129"/>
        <v>0</v>
      </c>
      <c r="S521" s="476">
        <f t="shared" si="129"/>
        <v>0</v>
      </c>
      <c r="T521" s="476">
        <f t="shared" si="129"/>
        <v>0</v>
      </c>
      <c r="U521" s="476">
        <f t="shared" si="129"/>
        <v>0</v>
      </c>
      <c r="V521" s="476">
        <f t="shared" si="129"/>
        <v>0</v>
      </c>
      <c r="W521" s="476">
        <f t="shared" si="129"/>
        <v>0</v>
      </c>
      <c r="X521" s="476">
        <f t="shared" si="129"/>
        <v>0</v>
      </c>
      <c r="Y521" s="476">
        <f t="shared" si="129"/>
        <v>0</v>
      </c>
      <c r="AQ521" s="88"/>
    </row>
    <row r="522" spans="3:43" x14ac:dyDescent="0.25">
      <c r="AQ522" s="88"/>
    </row>
    <row r="523" spans="3:43" x14ac:dyDescent="0.25">
      <c r="C523" s="7" t="str">
        <f ca="1">INDEX('Version control'!$H$34:$H$60,MATCH($A$1,'Version control'!$F$34:$F$60,0),1)&amp;"-J: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25">
      <c r="C524" s="96"/>
      <c r="AQ524" s="88"/>
    </row>
    <row r="525" spans="3:43" x14ac:dyDescent="0.25">
      <c r="D525" s="96" t="s">
        <v>1228</v>
      </c>
      <c r="AQ525" s="88"/>
    </row>
    <row r="526" spans="3:43" x14ac:dyDescent="0.2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25">
      <c r="E527" s="39"/>
      <c r="F527" s="98" t="s">
        <v>1063</v>
      </c>
      <c r="G527" s="293" t="s">
        <v>120</v>
      </c>
      <c r="J527" s="258">
        <f>J58</f>
        <v>0</v>
      </c>
      <c r="K527" s="258">
        <f t="shared" ref="K527:Y527" si="130">K58</f>
        <v>50.685541167972772</v>
      </c>
      <c r="L527" s="258">
        <f t="shared" si="130"/>
        <v>0</v>
      </c>
      <c r="M527" s="258">
        <f t="shared" si="130"/>
        <v>6.1226977807298875</v>
      </c>
      <c r="N527" s="258">
        <f t="shared" si="130"/>
        <v>0</v>
      </c>
      <c r="O527" s="258">
        <f t="shared" si="130"/>
        <v>0</v>
      </c>
      <c r="P527" s="258">
        <f t="shared" si="130"/>
        <v>0</v>
      </c>
      <c r="Q527" s="258">
        <f t="shared" si="130"/>
        <v>0</v>
      </c>
      <c r="R527" s="258">
        <f t="shared" si="130"/>
        <v>138.20714502602834</v>
      </c>
      <c r="S527" s="258">
        <f t="shared" si="130"/>
        <v>19.850977162721037</v>
      </c>
      <c r="T527" s="258">
        <f t="shared" si="130"/>
        <v>4602.4299730524672</v>
      </c>
      <c r="U527" s="258">
        <f t="shared" si="130"/>
        <v>0</v>
      </c>
      <c r="V527" s="258">
        <f t="shared" si="130"/>
        <v>1319.5926901394901</v>
      </c>
      <c r="W527" s="258">
        <f t="shared" si="130"/>
        <v>0</v>
      </c>
      <c r="X527" s="258">
        <f t="shared" si="130"/>
        <v>42346.377102139319</v>
      </c>
      <c r="Y527" s="258">
        <f t="shared" si="130"/>
        <v>0</v>
      </c>
      <c r="AQ527" s="88"/>
    </row>
    <row r="528" spans="3:43" x14ac:dyDescent="0.25">
      <c r="E528" s="39"/>
      <c r="F528" s="98" t="s">
        <v>1096</v>
      </c>
      <c r="G528" s="293" t="s">
        <v>120</v>
      </c>
      <c r="J528" s="476">
        <f>J67</f>
        <v>645101.52351777873</v>
      </c>
      <c r="K528" s="476">
        <f t="shared" ref="K528:Y528" si="131">K67</f>
        <v>0</v>
      </c>
      <c r="L528" s="476">
        <f t="shared" si="131"/>
        <v>4302.2725458270779</v>
      </c>
      <c r="M528" s="476">
        <f t="shared" si="131"/>
        <v>0</v>
      </c>
      <c r="N528" s="476">
        <f t="shared" si="131"/>
        <v>23229.56627147234</v>
      </c>
      <c r="O528" s="476">
        <f t="shared" si="131"/>
        <v>10012.851732523844</v>
      </c>
      <c r="P528" s="476">
        <f t="shared" si="131"/>
        <v>13670.707267099029</v>
      </c>
      <c r="Q528" s="476">
        <f t="shared" si="131"/>
        <v>6448.805011825264</v>
      </c>
      <c r="R528" s="476">
        <f t="shared" si="131"/>
        <v>0</v>
      </c>
      <c r="S528" s="476">
        <f t="shared" si="131"/>
        <v>0</v>
      </c>
      <c r="T528" s="476">
        <f t="shared" si="131"/>
        <v>0</v>
      </c>
      <c r="U528" s="476">
        <f t="shared" si="131"/>
        <v>0</v>
      </c>
      <c r="V528" s="476">
        <f t="shared" si="131"/>
        <v>0</v>
      </c>
      <c r="W528" s="476">
        <f t="shared" si="131"/>
        <v>0</v>
      </c>
      <c r="X528" s="476">
        <f t="shared" si="131"/>
        <v>0</v>
      </c>
      <c r="Y528" s="476">
        <f t="shared" si="131"/>
        <v>0</v>
      </c>
      <c r="AQ528" s="88"/>
    </row>
    <row r="529" spans="5:43" x14ac:dyDescent="0.25">
      <c r="E529" s="39"/>
      <c r="F529" s="98" t="s">
        <v>1097</v>
      </c>
      <c r="G529" s="293" t="s">
        <v>120</v>
      </c>
      <c r="J529" s="476">
        <f>J76</f>
        <v>0</v>
      </c>
      <c r="K529" s="476">
        <f t="shared" ref="K529:Y529" si="132">K76</f>
        <v>0</v>
      </c>
      <c r="L529" s="476">
        <f t="shared" si="132"/>
        <v>18965.918563437568</v>
      </c>
      <c r="M529" s="476">
        <f t="shared" si="132"/>
        <v>0</v>
      </c>
      <c r="N529" s="476">
        <f t="shared" si="132"/>
        <v>33534.682752874403</v>
      </c>
      <c r="O529" s="476">
        <f t="shared" si="132"/>
        <v>17892.045644607373</v>
      </c>
      <c r="P529" s="476">
        <f t="shared" si="132"/>
        <v>49258.290425073465</v>
      </c>
      <c r="Q529" s="476">
        <f t="shared" si="132"/>
        <v>0</v>
      </c>
      <c r="R529" s="476">
        <f t="shared" si="132"/>
        <v>0</v>
      </c>
      <c r="S529" s="476">
        <f t="shared" si="132"/>
        <v>0</v>
      </c>
      <c r="T529" s="476">
        <f t="shared" si="132"/>
        <v>0</v>
      </c>
      <c r="U529" s="476">
        <f t="shared" si="132"/>
        <v>0</v>
      </c>
      <c r="V529" s="476">
        <f t="shared" si="132"/>
        <v>0</v>
      </c>
      <c r="W529" s="476">
        <f t="shared" si="132"/>
        <v>0</v>
      </c>
      <c r="X529" s="476">
        <f t="shared" si="132"/>
        <v>0</v>
      </c>
      <c r="Y529" s="476">
        <f t="shared" si="132"/>
        <v>0</v>
      </c>
      <c r="AQ529" s="88"/>
    </row>
    <row r="530" spans="5:43" x14ac:dyDescent="0.25">
      <c r="E530" s="39"/>
      <c r="F530" s="98" t="s">
        <v>1098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24026.000360174683</v>
      </c>
      <c r="M530" s="254">
        <f t="shared" si="133"/>
        <v>0</v>
      </c>
      <c r="N530" s="254">
        <f t="shared" si="133"/>
        <v>12892.306864482678</v>
      </c>
      <c r="O530" s="254">
        <f t="shared" si="133"/>
        <v>15402.127398549308</v>
      </c>
      <c r="P530" s="254">
        <f t="shared" si="133"/>
        <v>44233.949301125933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25">
      <c r="E531" s="39"/>
      <c r="F531" s="98" t="s">
        <v>1099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82076.332418060643</v>
      </c>
      <c r="M531" s="254">
        <f t="shared" si="134"/>
        <v>0</v>
      </c>
      <c r="N531" s="254">
        <f t="shared" si="134"/>
        <v>17231.444255448405</v>
      </c>
      <c r="O531" s="254">
        <f t="shared" si="134"/>
        <v>61930.185239457518</v>
      </c>
      <c r="P531" s="254">
        <f t="shared" si="134"/>
        <v>58874.529382200897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2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25">
      <c r="E533" s="39"/>
      <c r="F533" s="98" t="s">
        <v>1063</v>
      </c>
      <c r="G533" s="293" t="s">
        <v>120</v>
      </c>
      <c r="J533" s="258">
        <f>J59</f>
        <v>0</v>
      </c>
      <c r="K533" s="258">
        <f t="shared" ref="K533:Y533" si="135">K59</f>
        <v>876.88932002307558</v>
      </c>
      <c r="L533" s="258">
        <f t="shared" si="135"/>
        <v>0</v>
      </c>
      <c r="M533" s="258">
        <f t="shared" si="135"/>
        <v>315.99830541136959</v>
      </c>
      <c r="N533" s="258">
        <f t="shared" si="135"/>
        <v>0</v>
      </c>
      <c r="O533" s="258">
        <f t="shared" si="135"/>
        <v>0</v>
      </c>
      <c r="P533" s="258">
        <f t="shared" si="135"/>
        <v>0</v>
      </c>
      <c r="Q533" s="258">
        <f t="shared" si="135"/>
        <v>0</v>
      </c>
      <c r="R533" s="258">
        <f t="shared" si="135"/>
        <v>675.42262204083556</v>
      </c>
      <c r="S533" s="258">
        <f t="shared" si="135"/>
        <v>89.283262919470644</v>
      </c>
      <c r="T533" s="258">
        <f t="shared" si="135"/>
        <v>22397.414037263683</v>
      </c>
      <c r="U533" s="258">
        <f t="shared" si="135"/>
        <v>0</v>
      </c>
      <c r="V533" s="258">
        <f t="shared" si="135"/>
        <v>5938.0182101575592</v>
      </c>
      <c r="W533" s="258">
        <f t="shared" si="135"/>
        <v>0</v>
      </c>
      <c r="X533" s="258">
        <f t="shared" si="135"/>
        <v>169950.37671525255</v>
      </c>
      <c r="Y533" s="258">
        <f t="shared" si="135"/>
        <v>0</v>
      </c>
      <c r="AQ533" s="88"/>
    </row>
    <row r="534" spans="5:43" x14ac:dyDescent="0.25">
      <c r="E534" s="39"/>
      <c r="F534" s="98" t="s">
        <v>1096</v>
      </c>
      <c r="G534" s="293" t="s">
        <v>120</v>
      </c>
      <c r="J534" s="476">
        <f>J68</f>
        <v>2282979.7633559168</v>
      </c>
      <c r="K534" s="476">
        <f t="shared" ref="K534:Y534" si="136">K68</f>
        <v>0</v>
      </c>
      <c r="L534" s="476">
        <f t="shared" si="136"/>
        <v>22616.911393841136</v>
      </c>
      <c r="M534" s="476">
        <f t="shared" si="136"/>
        <v>0</v>
      </c>
      <c r="N534" s="476">
        <f t="shared" si="136"/>
        <v>105605.32008342462</v>
      </c>
      <c r="O534" s="476">
        <f t="shared" si="136"/>
        <v>48392.295029037203</v>
      </c>
      <c r="P534" s="476">
        <f t="shared" si="136"/>
        <v>62662.967623764293</v>
      </c>
      <c r="Q534" s="476">
        <f t="shared" si="136"/>
        <v>52561.370964961032</v>
      </c>
      <c r="R534" s="476">
        <f t="shared" si="136"/>
        <v>0</v>
      </c>
      <c r="S534" s="476">
        <f t="shared" si="136"/>
        <v>0</v>
      </c>
      <c r="T534" s="476">
        <f t="shared" si="136"/>
        <v>0</v>
      </c>
      <c r="U534" s="476">
        <f t="shared" si="136"/>
        <v>0</v>
      </c>
      <c r="V534" s="476">
        <f t="shared" si="136"/>
        <v>0</v>
      </c>
      <c r="W534" s="476">
        <f t="shared" si="136"/>
        <v>0</v>
      </c>
      <c r="X534" s="476">
        <f t="shared" si="136"/>
        <v>0</v>
      </c>
      <c r="Y534" s="476">
        <f t="shared" si="136"/>
        <v>0</v>
      </c>
      <c r="AQ534" s="88"/>
    </row>
    <row r="535" spans="5:43" x14ac:dyDescent="0.25">
      <c r="E535" s="39"/>
      <c r="F535" s="98" t="s">
        <v>1097</v>
      </c>
      <c r="G535" s="293" t="s">
        <v>120</v>
      </c>
      <c r="J535" s="476">
        <f>J77</f>
        <v>0</v>
      </c>
      <c r="K535" s="476">
        <f t="shared" ref="K535:Y535" si="137">K77</f>
        <v>0</v>
      </c>
      <c r="L535" s="476">
        <f t="shared" si="137"/>
        <v>99703.237087601126</v>
      </c>
      <c r="M535" s="476">
        <f t="shared" si="137"/>
        <v>0</v>
      </c>
      <c r="N535" s="476">
        <f t="shared" si="137"/>
        <v>152454.02624510284</v>
      </c>
      <c r="O535" s="476">
        <f t="shared" si="137"/>
        <v>86472.582900076217</v>
      </c>
      <c r="P535" s="476">
        <f t="shared" si="137"/>
        <v>225787.19577566956</v>
      </c>
      <c r="Q535" s="476">
        <f t="shared" si="137"/>
        <v>0</v>
      </c>
      <c r="R535" s="476">
        <f t="shared" si="137"/>
        <v>0</v>
      </c>
      <c r="S535" s="476">
        <f t="shared" si="137"/>
        <v>0</v>
      </c>
      <c r="T535" s="476">
        <f t="shared" si="137"/>
        <v>0</v>
      </c>
      <c r="U535" s="476">
        <f t="shared" si="137"/>
        <v>0</v>
      </c>
      <c r="V535" s="476">
        <f t="shared" si="137"/>
        <v>0</v>
      </c>
      <c r="W535" s="476">
        <f t="shared" si="137"/>
        <v>0</v>
      </c>
      <c r="X535" s="476">
        <f t="shared" si="137"/>
        <v>0</v>
      </c>
      <c r="Y535" s="476">
        <f t="shared" si="137"/>
        <v>0</v>
      </c>
      <c r="AQ535" s="88"/>
    </row>
    <row r="536" spans="5:43" x14ac:dyDescent="0.25">
      <c r="E536" s="39"/>
      <c r="F536" s="98" t="s">
        <v>1098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126303.92786749937</v>
      </c>
      <c r="M536" s="254">
        <f t="shared" si="138"/>
        <v>0</v>
      </c>
      <c r="N536" s="254">
        <f t="shared" si="138"/>
        <v>58610.487045961156</v>
      </c>
      <c r="O536" s="254">
        <f t="shared" si="138"/>
        <v>74438.762607897253</v>
      </c>
      <c r="P536" s="254">
        <f t="shared" si="138"/>
        <v>202756.92243067667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25">
      <c r="E537" s="39"/>
      <c r="F537" s="98" t="s">
        <v>1099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431472.69682652509</v>
      </c>
      <c r="M537" s="254">
        <f t="shared" si="139"/>
        <v>0</v>
      </c>
      <c r="N537" s="254">
        <f t="shared" si="139"/>
        <v>78336.898968754555</v>
      </c>
      <c r="O537" s="254">
        <f t="shared" si="139"/>
        <v>299309.7146915748</v>
      </c>
      <c r="P537" s="254">
        <f t="shared" si="139"/>
        <v>269865.534859345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2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25">
      <c r="E539" s="39"/>
      <c r="F539" s="98" t="s">
        <v>1063</v>
      </c>
      <c r="G539" s="293" t="s">
        <v>120</v>
      </c>
      <c r="J539" s="258">
        <f>J60</f>
        <v>0</v>
      </c>
      <c r="K539" s="258">
        <f t="shared" ref="K539:Y539" si="140">K60</f>
        <v>11792.873278266205</v>
      </c>
      <c r="L539" s="258">
        <f t="shared" si="140"/>
        <v>0</v>
      </c>
      <c r="M539" s="258">
        <f t="shared" si="140"/>
        <v>3822.6277485878222</v>
      </c>
      <c r="N539" s="258">
        <f t="shared" si="140"/>
        <v>0</v>
      </c>
      <c r="O539" s="258">
        <f t="shared" si="140"/>
        <v>0</v>
      </c>
      <c r="P539" s="258">
        <f t="shared" si="140"/>
        <v>0</v>
      </c>
      <c r="Q539" s="258">
        <f t="shared" si="140"/>
        <v>0</v>
      </c>
      <c r="R539" s="258">
        <f t="shared" si="140"/>
        <v>734.62430353180275</v>
      </c>
      <c r="S539" s="258">
        <f t="shared" si="140"/>
        <v>112.33780697547499</v>
      </c>
      <c r="T539" s="258">
        <f t="shared" si="140"/>
        <v>25989.195328374855</v>
      </c>
      <c r="U539" s="258">
        <f t="shared" si="140"/>
        <v>0</v>
      </c>
      <c r="V539" s="258">
        <f t="shared" si="140"/>
        <v>7475.1781511239524</v>
      </c>
      <c r="W539" s="258">
        <f t="shared" si="140"/>
        <v>0</v>
      </c>
      <c r="X539" s="258">
        <f t="shared" si="140"/>
        <v>176946.04662843214</v>
      </c>
      <c r="Y539" s="258">
        <f t="shared" si="140"/>
        <v>0</v>
      </c>
      <c r="AQ539" s="88"/>
    </row>
    <row r="540" spans="5:43" x14ac:dyDescent="0.25">
      <c r="E540" s="39"/>
      <c r="F540" s="98" t="s">
        <v>1096</v>
      </c>
      <c r="G540" s="293" t="s">
        <v>120</v>
      </c>
      <c r="J540" s="476">
        <f>J69</f>
        <v>2148924.2598723704</v>
      </c>
      <c r="K540" s="476">
        <f t="shared" ref="K540:Y540" si="141">K69</f>
        <v>0</v>
      </c>
      <c r="L540" s="476">
        <f t="shared" si="141"/>
        <v>21902.846365427391</v>
      </c>
      <c r="M540" s="476">
        <f t="shared" si="141"/>
        <v>0</v>
      </c>
      <c r="N540" s="476">
        <f t="shared" si="141"/>
        <v>90753.054151254735</v>
      </c>
      <c r="O540" s="476">
        <f t="shared" si="141"/>
        <v>42812.191930088127</v>
      </c>
      <c r="P540" s="476">
        <f t="shared" si="141"/>
        <v>68016.795019391779</v>
      </c>
      <c r="Q540" s="476">
        <f t="shared" si="141"/>
        <v>88880.57358714845</v>
      </c>
      <c r="R540" s="476">
        <f t="shared" si="141"/>
        <v>0</v>
      </c>
      <c r="S540" s="476">
        <f t="shared" si="141"/>
        <v>0</v>
      </c>
      <c r="T540" s="476">
        <f t="shared" si="141"/>
        <v>0</v>
      </c>
      <c r="U540" s="476">
        <f t="shared" si="141"/>
        <v>0</v>
      </c>
      <c r="V540" s="476">
        <f t="shared" si="141"/>
        <v>0</v>
      </c>
      <c r="W540" s="476">
        <f t="shared" si="141"/>
        <v>0</v>
      </c>
      <c r="X540" s="476">
        <f t="shared" si="141"/>
        <v>0</v>
      </c>
      <c r="Y540" s="476">
        <f t="shared" si="141"/>
        <v>0</v>
      </c>
      <c r="AQ540" s="88"/>
    </row>
    <row r="541" spans="5:43" x14ac:dyDescent="0.25">
      <c r="E541" s="39"/>
      <c r="F541" s="98" t="s">
        <v>1097</v>
      </c>
      <c r="G541" s="293" t="s">
        <v>120</v>
      </c>
      <c r="J541" s="476">
        <f>J78</f>
        <v>0</v>
      </c>
      <c r="K541" s="476">
        <f t="shared" ref="K541:Y541" si="142">K78</f>
        <v>0</v>
      </c>
      <c r="L541" s="476">
        <f t="shared" si="142"/>
        <v>96555.38928539028</v>
      </c>
      <c r="M541" s="476">
        <f t="shared" si="142"/>
        <v>0</v>
      </c>
      <c r="N541" s="476">
        <f t="shared" si="142"/>
        <v>131012.98768347013</v>
      </c>
      <c r="O541" s="476">
        <f t="shared" si="142"/>
        <v>76501.451596522384</v>
      </c>
      <c r="P541" s="476">
        <f t="shared" si="142"/>
        <v>245078.10586444187</v>
      </c>
      <c r="Q541" s="476">
        <f t="shared" si="142"/>
        <v>0</v>
      </c>
      <c r="R541" s="476">
        <f t="shared" si="142"/>
        <v>0</v>
      </c>
      <c r="S541" s="476">
        <f t="shared" si="142"/>
        <v>0</v>
      </c>
      <c r="T541" s="476">
        <f t="shared" si="142"/>
        <v>0</v>
      </c>
      <c r="U541" s="476">
        <f t="shared" si="142"/>
        <v>0</v>
      </c>
      <c r="V541" s="476">
        <f t="shared" si="142"/>
        <v>0</v>
      </c>
      <c r="W541" s="476">
        <f t="shared" si="142"/>
        <v>0</v>
      </c>
      <c r="X541" s="476">
        <f t="shared" si="142"/>
        <v>0</v>
      </c>
      <c r="Y541" s="476">
        <f t="shared" si="142"/>
        <v>0</v>
      </c>
      <c r="AQ541" s="88"/>
    </row>
    <row r="542" spans="5:43" x14ac:dyDescent="0.25">
      <c r="E542" s="39"/>
      <c r="F542" s="98" t="s">
        <v>1098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122316.23846681342</v>
      </c>
      <c r="M542" s="254">
        <f t="shared" si="143"/>
        <v>0</v>
      </c>
      <c r="N542" s="254">
        <f t="shared" si="143"/>
        <v>50367.54493534637</v>
      </c>
      <c r="O542" s="254">
        <f t="shared" si="143"/>
        <v>65855.248028540766</v>
      </c>
      <c r="P542" s="254">
        <f t="shared" si="143"/>
        <v>220080.16145248769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25">
      <c r="E543" s="39"/>
      <c r="F543" s="98" t="s">
        <v>1099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417850.16640430799</v>
      </c>
      <c r="M543" s="254">
        <f t="shared" si="144"/>
        <v>0</v>
      </c>
      <c r="N543" s="254">
        <f t="shared" si="144"/>
        <v>67319.646666821689</v>
      </c>
      <c r="O543" s="254">
        <f t="shared" si="144"/>
        <v>264796.38843800803</v>
      </c>
      <c r="P543" s="254">
        <f t="shared" si="144"/>
        <v>292922.43031856517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2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25">
      <c r="E545" s="39"/>
      <c r="F545" s="98" t="s">
        <v>1063</v>
      </c>
      <c r="G545" s="293" t="s">
        <v>74</v>
      </c>
      <c r="J545" s="258">
        <f>J61</f>
        <v>0</v>
      </c>
      <c r="K545" s="258">
        <f t="shared" ref="K545:Y545" si="145">K61</f>
        <v>3156</v>
      </c>
      <c r="L545" s="258">
        <f t="shared" si="145"/>
        <v>0</v>
      </c>
      <c r="M545" s="258">
        <f t="shared" si="145"/>
        <v>997</v>
      </c>
      <c r="N545" s="258">
        <f t="shared" si="145"/>
        <v>0</v>
      </c>
      <c r="O545" s="258">
        <f t="shared" si="145"/>
        <v>0</v>
      </c>
      <c r="P545" s="258">
        <f t="shared" si="145"/>
        <v>0</v>
      </c>
      <c r="Q545" s="258">
        <f t="shared" si="145"/>
        <v>0</v>
      </c>
      <c r="R545" s="258">
        <f t="shared" si="145"/>
        <v>283</v>
      </c>
      <c r="S545" s="258">
        <f t="shared" si="145"/>
        <v>25</v>
      </c>
      <c r="T545" s="258">
        <f t="shared" si="145"/>
        <v>317</v>
      </c>
      <c r="U545" s="258">
        <f t="shared" si="145"/>
        <v>0</v>
      </c>
      <c r="V545" s="258">
        <f t="shared" si="145"/>
        <v>41</v>
      </c>
      <c r="W545" s="258">
        <f t="shared" si="145"/>
        <v>0</v>
      </c>
      <c r="X545" s="258">
        <f t="shared" si="145"/>
        <v>138</v>
      </c>
      <c r="Y545" s="258">
        <f t="shared" si="145"/>
        <v>0</v>
      </c>
      <c r="AQ545" s="88"/>
    </row>
    <row r="546" spans="5:43" x14ac:dyDescent="0.25">
      <c r="E546" s="39"/>
      <c r="F546" s="98" t="s">
        <v>1096</v>
      </c>
      <c r="G546" s="293" t="s">
        <v>74</v>
      </c>
      <c r="J546" s="476">
        <f>J70</f>
        <v>1393317</v>
      </c>
      <c r="K546" s="476">
        <f t="shared" ref="K546:Y546" si="146">K70</f>
        <v>0</v>
      </c>
      <c r="L546" s="476">
        <f t="shared" si="146"/>
        <v>37920</v>
      </c>
      <c r="M546" s="476">
        <f t="shared" si="146"/>
        <v>0</v>
      </c>
      <c r="N546" s="476">
        <f t="shared" si="146"/>
        <v>2873</v>
      </c>
      <c r="O546" s="476">
        <f t="shared" si="146"/>
        <v>1023</v>
      </c>
      <c r="P546" s="476">
        <f t="shared" si="146"/>
        <v>298</v>
      </c>
      <c r="Q546" s="476">
        <f t="shared" si="146"/>
        <v>574</v>
      </c>
      <c r="R546" s="476">
        <f t="shared" si="146"/>
        <v>0</v>
      </c>
      <c r="S546" s="476">
        <f t="shared" si="146"/>
        <v>0</v>
      </c>
      <c r="T546" s="476">
        <f t="shared" si="146"/>
        <v>0</v>
      </c>
      <c r="U546" s="476">
        <f t="shared" si="146"/>
        <v>0</v>
      </c>
      <c r="V546" s="476">
        <f t="shared" si="146"/>
        <v>0</v>
      </c>
      <c r="W546" s="476">
        <f t="shared" si="146"/>
        <v>0</v>
      </c>
      <c r="X546" s="476">
        <f t="shared" si="146"/>
        <v>0</v>
      </c>
      <c r="Y546" s="476">
        <f t="shared" si="146"/>
        <v>0</v>
      </c>
      <c r="AQ546" s="88"/>
    </row>
    <row r="547" spans="5:43" x14ac:dyDescent="0.25">
      <c r="E547" s="39"/>
      <c r="F547" s="98" t="s">
        <v>1097</v>
      </c>
      <c r="G547" s="293" t="s">
        <v>74</v>
      </c>
      <c r="J547" s="476">
        <f>J79</f>
        <v>0</v>
      </c>
      <c r="K547" s="476">
        <f t="shared" ref="K547:Y547" si="147">K79</f>
        <v>0</v>
      </c>
      <c r="L547" s="476">
        <f t="shared" si="147"/>
        <v>30846</v>
      </c>
      <c r="M547" s="476">
        <f t="shared" si="147"/>
        <v>0</v>
      </c>
      <c r="N547" s="476">
        <f t="shared" si="147"/>
        <v>1818</v>
      </c>
      <c r="O547" s="476">
        <f t="shared" si="147"/>
        <v>805</v>
      </c>
      <c r="P547" s="476">
        <f t="shared" si="147"/>
        <v>286</v>
      </c>
      <c r="Q547" s="476">
        <f t="shared" si="147"/>
        <v>0</v>
      </c>
      <c r="R547" s="476">
        <f t="shared" si="147"/>
        <v>0</v>
      </c>
      <c r="S547" s="476">
        <f t="shared" si="147"/>
        <v>0</v>
      </c>
      <c r="T547" s="476">
        <f t="shared" si="147"/>
        <v>0</v>
      </c>
      <c r="U547" s="476">
        <f t="shared" si="147"/>
        <v>0</v>
      </c>
      <c r="V547" s="476">
        <f t="shared" si="147"/>
        <v>0</v>
      </c>
      <c r="W547" s="476">
        <f t="shared" si="147"/>
        <v>0</v>
      </c>
      <c r="X547" s="476">
        <f t="shared" si="147"/>
        <v>0</v>
      </c>
      <c r="Y547" s="476">
        <f t="shared" si="147"/>
        <v>0</v>
      </c>
      <c r="AQ547" s="88"/>
    </row>
    <row r="548" spans="5:43" x14ac:dyDescent="0.25">
      <c r="E548" s="39"/>
      <c r="F548" s="98" t="s">
        <v>1098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15709</v>
      </c>
      <c r="M548" s="254">
        <f t="shared" si="148"/>
        <v>0</v>
      </c>
      <c r="N548" s="254">
        <f t="shared" si="148"/>
        <v>425</v>
      </c>
      <c r="O548" s="254">
        <f t="shared" si="148"/>
        <v>426</v>
      </c>
      <c r="P548" s="254">
        <f t="shared" si="148"/>
        <v>127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25">
      <c r="E549" s="39"/>
      <c r="F549" s="98" t="s">
        <v>1099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16398</v>
      </c>
      <c r="M549" s="254">
        <f t="shared" si="149"/>
        <v>0</v>
      </c>
      <c r="N549" s="254">
        <f t="shared" si="149"/>
        <v>283</v>
      </c>
      <c r="O549" s="254">
        <f t="shared" si="149"/>
        <v>821</v>
      </c>
      <c r="P549" s="254">
        <f t="shared" si="149"/>
        <v>90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2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25">
      <c r="E551" s="39"/>
      <c r="F551" s="98" t="s">
        <v>1063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0</v>
      </c>
      <c r="O551" s="258">
        <f t="shared" si="150"/>
        <v>0</v>
      </c>
      <c r="P551" s="258">
        <f t="shared" si="150"/>
        <v>0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25">
      <c r="E552" s="39"/>
      <c r="F552" s="98" t="s">
        <v>1096</v>
      </c>
      <c r="G552" s="293" t="s">
        <v>169</v>
      </c>
      <c r="J552" s="476">
        <f>J71</f>
        <v>0</v>
      </c>
      <c r="K552" s="476">
        <f t="shared" ref="K552:Y552" si="151">K71</f>
        <v>0</v>
      </c>
      <c r="L552" s="476">
        <f t="shared" si="151"/>
        <v>0</v>
      </c>
      <c r="M552" s="476">
        <f t="shared" si="151"/>
        <v>0</v>
      </c>
      <c r="N552" s="476">
        <f t="shared" si="151"/>
        <v>146223</v>
      </c>
      <c r="O552" s="476">
        <f t="shared" si="151"/>
        <v>53930</v>
      </c>
      <c r="P552" s="476">
        <f t="shared" si="151"/>
        <v>55246</v>
      </c>
      <c r="Q552" s="476">
        <f t="shared" si="151"/>
        <v>0</v>
      </c>
      <c r="R552" s="476">
        <f t="shared" si="151"/>
        <v>0</v>
      </c>
      <c r="S552" s="476">
        <f t="shared" si="151"/>
        <v>0</v>
      </c>
      <c r="T552" s="476">
        <f t="shared" si="151"/>
        <v>0</v>
      </c>
      <c r="U552" s="476">
        <f t="shared" si="151"/>
        <v>0</v>
      </c>
      <c r="V552" s="476">
        <f t="shared" si="151"/>
        <v>0</v>
      </c>
      <c r="W552" s="476">
        <f t="shared" si="151"/>
        <v>0</v>
      </c>
      <c r="X552" s="476">
        <f t="shared" si="151"/>
        <v>0</v>
      </c>
      <c r="Y552" s="476">
        <f t="shared" si="151"/>
        <v>0</v>
      </c>
      <c r="AQ552" s="88"/>
    </row>
    <row r="553" spans="5:43" x14ac:dyDescent="0.25">
      <c r="E553" s="39"/>
      <c r="F553" s="98" t="s">
        <v>1097</v>
      </c>
      <c r="G553" s="293" t="s">
        <v>169</v>
      </c>
      <c r="J553" s="476">
        <f>J80</f>
        <v>0</v>
      </c>
      <c r="K553" s="476">
        <f t="shared" ref="K553:Y553" si="152">K80</f>
        <v>0</v>
      </c>
      <c r="L553" s="476">
        <f t="shared" si="152"/>
        <v>0</v>
      </c>
      <c r="M553" s="476">
        <f t="shared" si="152"/>
        <v>0</v>
      </c>
      <c r="N553" s="476">
        <f t="shared" si="152"/>
        <v>211091</v>
      </c>
      <c r="O553" s="476">
        <f t="shared" si="152"/>
        <v>96368</v>
      </c>
      <c r="P553" s="476">
        <f t="shared" si="152"/>
        <v>199062</v>
      </c>
      <c r="Q553" s="476">
        <f t="shared" si="152"/>
        <v>0</v>
      </c>
      <c r="R553" s="476">
        <f t="shared" si="152"/>
        <v>0</v>
      </c>
      <c r="S553" s="476">
        <f t="shared" si="152"/>
        <v>0</v>
      </c>
      <c r="T553" s="476">
        <f t="shared" si="152"/>
        <v>0</v>
      </c>
      <c r="U553" s="476">
        <f t="shared" si="152"/>
        <v>0</v>
      </c>
      <c r="V553" s="476">
        <f t="shared" si="152"/>
        <v>0</v>
      </c>
      <c r="W553" s="476">
        <f t="shared" si="152"/>
        <v>0</v>
      </c>
      <c r="X553" s="476">
        <f t="shared" si="152"/>
        <v>0</v>
      </c>
      <c r="Y553" s="476">
        <f t="shared" si="152"/>
        <v>0</v>
      </c>
      <c r="AQ553" s="88"/>
    </row>
    <row r="554" spans="5:43" x14ac:dyDescent="0.25">
      <c r="E554" s="39"/>
      <c r="F554" s="98" t="s">
        <v>1098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81153</v>
      </c>
      <c r="O554" s="254">
        <f t="shared" si="153"/>
        <v>82957</v>
      </c>
      <c r="P554" s="254">
        <f t="shared" si="153"/>
        <v>178758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25">
      <c r="E555" s="39"/>
      <c r="F555" s="98" t="s">
        <v>1099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108467</v>
      </c>
      <c r="O555" s="254">
        <f t="shared" si="154"/>
        <v>333562</v>
      </c>
      <c r="P555" s="254">
        <f t="shared" si="154"/>
        <v>237923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2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25">
      <c r="E557" s="39"/>
      <c r="F557" s="98" t="s">
        <v>1063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0</v>
      </c>
      <c r="O557" s="258">
        <f t="shared" si="155"/>
        <v>0</v>
      </c>
      <c r="P557" s="258">
        <f t="shared" si="155"/>
        <v>0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25">
      <c r="E558" s="39"/>
      <c r="F558" s="98" t="s">
        <v>1096</v>
      </c>
      <c r="G558" s="293" t="s">
        <v>169</v>
      </c>
      <c r="J558" s="476">
        <f>J72</f>
        <v>0</v>
      </c>
      <c r="K558" s="476">
        <f t="shared" ref="K558:Y558" si="156">K72</f>
        <v>0</v>
      </c>
      <c r="L558" s="476">
        <f t="shared" si="156"/>
        <v>0</v>
      </c>
      <c r="M558" s="476">
        <f t="shared" si="156"/>
        <v>0</v>
      </c>
      <c r="N558" s="476">
        <f t="shared" si="156"/>
        <v>3303</v>
      </c>
      <c r="O558" s="476">
        <f t="shared" si="156"/>
        <v>3548</v>
      </c>
      <c r="P558" s="476">
        <f t="shared" si="156"/>
        <v>920</v>
      </c>
      <c r="Q558" s="476">
        <f t="shared" si="156"/>
        <v>0</v>
      </c>
      <c r="R558" s="476">
        <f t="shared" si="156"/>
        <v>0</v>
      </c>
      <c r="S558" s="476">
        <f t="shared" si="156"/>
        <v>0</v>
      </c>
      <c r="T558" s="476">
        <f t="shared" si="156"/>
        <v>0</v>
      </c>
      <c r="U558" s="476">
        <f t="shared" si="156"/>
        <v>0</v>
      </c>
      <c r="V558" s="476">
        <f t="shared" si="156"/>
        <v>0</v>
      </c>
      <c r="W558" s="476">
        <f t="shared" si="156"/>
        <v>0</v>
      </c>
      <c r="X558" s="476">
        <f t="shared" si="156"/>
        <v>0</v>
      </c>
      <c r="Y558" s="476">
        <f t="shared" si="156"/>
        <v>0</v>
      </c>
      <c r="AQ558" s="88"/>
    </row>
    <row r="559" spans="5:43" x14ac:dyDescent="0.25">
      <c r="E559" s="39"/>
      <c r="F559" s="98" t="s">
        <v>1097</v>
      </c>
      <c r="G559" s="293" t="s">
        <v>169</v>
      </c>
      <c r="J559" s="476">
        <f>J81</f>
        <v>0</v>
      </c>
      <c r="K559" s="476">
        <f t="shared" ref="K559:Y559" si="157">K81</f>
        <v>0</v>
      </c>
      <c r="L559" s="476">
        <f t="shared" si="157"/>
        <v>0</v>
      </c>
      <c r="M559" s="476">
        <f t="shared" si="157"/>
        <v>0</v>
      </c>
      <c r="N559" s="476">
        <f t="shared" si="157"/>
        <v>4768</v>
      </c>
      <c r="O559" s="476">
        <f t="shared" si="157"/>
        <v>5122</v>
      </c>
      <c r="P559" s="476">
        <f t="shared" si="157"/>
        <v>3314</v>
      </c>
      <c r="Q559" s="476">
        <f t="shared" si="157"/>
        <v>0</v>
      </c>
      <c r="R559" s="476">
        <f t="shared" si="157"/>
        <v>0</v>
      </c>
      <c r="S559" s="476">
        <f t="shared" si="157"/>
        <v>0</v>
      </c>
      <c r="T559" s="476">
        <f t="shared" si="157"/>
        <v>0</v>
      </c>
      <c r="U559" s="476">
        <f t="shared" si="157"/>
        <v>0</v>
      </c>
      <c r="V559" s="476">
        <f t="shared" si="157"/>
        <v>0</v>
      </c>
      <c r="W559" s="476">
        <f t="shared" si="157"/>
        <v>0</v>
      </c>
      <c r="X559" s="476">
        <f t="shared" si="157"/>
        <v>0</v>
      </c>
      <c r="Y559" s="476">
        <f t="shared" si="157"/>
        <v>0</v>
      </c>
      <c r="AQ559" s="88"/>
    </row>
    <row r="560" spans="5:43" x14ac:dyDescent="0.25">
      <c r="E560" s="39"/>
      <c r="F560" s="98" t="s">
        <v>1098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1833</v>
      </c>
      <c r="O560" s="254">
        <f t="shared" si="158"/>
        <v>1969</v>
      </c>
      <c r="P560" s="254">
        <f t="shared" si="158"/>
        <v>2976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25">
      <c r="E561" s="39"/>
      <c r="F561" s="98" t="s">
        <v>1099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2450</v>
      </c>
      <c r="O561" s="254">
        <f t="shared" si="159"/>
        <v>2632</v>
      </c>
      <c r="P561" s="254">
        <f t="shared" si="159"/>
        <v>3961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2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25">
      <c r="E563" s="39"/>
      <c r="F563" s="98" t="s">
        <v>1063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0</v>
      </c>
      <c r="O563" s="258">
        <f t="shared" si="160"/>
        <v>0</v>
      </c>
      <c r="P563" s="258">
        <f t="shared" si="160"/>
        <v>0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4390.8</v>
      </c>
      <c r="U563" s="258">
        <f t="shared" si="160"/>
        <v>0</v>
      </c>
      <c r="V563" s="258">
        <f t="shared" si="160"/>
        <v>172.2</v>
      </c>
      <c r="W563" s="258">
        <f t="shared" si="160"/>
        <v>0</v>
      </c>
      <c r="X563" s="258">
        <f t="shared" si="160"/>
        <v>7419.6</v>
      </c>
      <c r="Y563" s="258">
        <f t="shared" si="160"/>
        <v>0</v>
      </c>
      <c r="AQ563" s="88"/>
    </row>
    <row r="564" spans="4:43" x14ac:dyDescent="0.25">
      <c r="E564" s="39"/>
      <c r="F564" s="98" t="s">
        <v>1096</v>
      </c>
      <c r="G564" s="293" t="s">
        <v>170</v>
      </c>
      <c r="J564" s="476">
        <f>J73</f>
        <v>0</v>
      </c>
      <c r="K564" s="476">
        <f t="shared" ref="K564:Y564" si="161">K73</f>
        <v>0</v>
      </c>
      <c r="L564" s="476">
        <f t="shared" si="161"/>
        <v>0</v>
      </c>
      <c r="M564" s="476">
        <f t="shared" si="161"/>
        <v>0</v>
      </c>
      <c r="N564" s="476">
        <f t="shared" si="161"/>
        <v>20500.91</v>
      </c>
      <c r="O564" s="476">
        <f t="shared" si="161"/>
        <v>24847.258000000002</v>
      </c>
      <c r="P564" s="476">
        <f t="shared" si="161"/>
        <v>9223.2129999999997</v>
      </c>
      <c r="Q564" s="476">
        <f t="shared" si="161"/>
        <v>0</v>
      </c>
      <c r="R564" s="476">
        <f t="shared" si="161"/>
        <v>0</v>
      </c>
      <c r="S564" s="476">
        <f t="shared" si="161"/>
        <v>0</v>
      </c>
      <c r="T564" s="476">
        <f t="shared" si="161"/>
        <v>0</v>
      </c>
      <c r="U564" s="476">
        <f t="shared" si="161"/>
        <v>0</v>
      </c>
      <c r="V564" s="476">
        <f t="shared" si="161"/>
        <v>0</v>
      </c>
      <c r="W564" s="476">
        <f t="shared" si="161"/>
        <v>0</v>
      </c>
      <c r="X564" s="476">
        <f t="shared" si="161"/>
        <v>0</v>
      </c>
      <c r="Y564" s="476">
        <f t="shared" si="161"/>
        <v>0</v>
      </c>
      <c r="AQ564" s="88"/>
    </row>
    <row r="565" spans="4:43" x14ac:dyDescent="0.25">
      <c r="E565" s="39"/>
      <c r="F565" s="98" t="s">
        <v>1097</v>
      </c>
      <c r="G565" s="293" t="s">
        <v>170</v>
      </c>
      <c r="J565" s="476">
        <f>J82</f>
        <v>0</v>
      </c>
      <c r="K565" s="476">
        <f t="shared" ref="K565:Y565" si="162">K82</f>
        <v>0</v>
      </c>
      <c r="L565" s="476">
        <f t="shared" si="162"/>
        <v>0</v>
      </c>
      <c r="M565" s="476">
        <f t="shared" si="162"/>
        <v>0</v>
      </c>
      <c r="N565" s="476">
        <f t="shared" si="162"/>
        <v>29595.538</v>
      </c>
      <c r="O565" s="476">
        <f t="shared" si="162"/>
        <v>35870.017</v>
      </c>
      <c r="P565" s="476">
        <f t="shared" si="162"/>
        <v>33233.078999999998</v>
      </c>
      <c r="Q565" s="476">
        <f t="shared" si="162"/>
        <v>0</v>
      </c>
      <c r="R565" s="476">
        <f t="shared" si="162"/>
        <v>0</v>
      </c>
      <c r="S565" s="476">
        <f t="shared" si="162"/>
        <v>0</v>
      </c>
      <c r="T565" s="476">
        <f t="shared" si="162"/>
        <v>0</v>
      </c>
      <c r="U565" s="476">
        <f t="shared" si="162"/>
        <v>0</v>
      </c>
      <c r="V565" s="476">
        <f t="shared" si="162"/>
        <v>0</v>
      </c>
      <c r="W565" s="476">
        <f t="shared" si="162"/>
        <v>0</v>
      </c>
      <c r="X565" s="476">
        <f t="shared" si="162"/>
        <v>0</v>
      </c>
      <c r="Y565" s="476">
        <f t="shared" si="162"/>
        <v>0</v>
      </c>
      <c r="AQ565" s="88"/>
    </row>
    <row r="566" spans="4:43" x14ac:dyDescent="0.25">
      <c r="E566" s="39"/>
      <c r="F566" s="98" t="s">
        <v>1098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11377.915000000001</v>
      </c>
      <c r="O566" s="254">
        <f t="shared" si="163"/>
        <v>13790.119000000001</v>
      </c>
      <c r="P566" s="254">
        <f t="shared" si="163"/>
        <v>29843.308000000001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25">
      <c r="E567" s="36"/>
      <c r="F567" s="477" t="s">
        <v>1099</v>
      </c>
      <c r="G567" s="93" t="s">
        <v>170</v>
      </c>
      <c r="H567" s="93"/>
      <c r="I567" s="93"/>
      <c r="J567" s="476">
        <f>J100</f>
        <v>0</v>
      </c>
      <c r="K567" s="476">
        <f t="shared" ref="K567:Y567" si="164">K100</f>
        <v>0</v>
      </c>
      <c r="L567" s="476">
        <f t="shared" si="164"/>
        <v>0</v>
      </c>
      <c r="M567" s="476">
        <f t="shared" si="164"/>
        <v>0</v>
      </c>
      <c r="N567" s="476">
        <f t="shared" si="164"/>
        <v>15207.356</v>
      </c>
      <c r="O567" s="476">
        <f t="shared" si="164"/>
        <v>18431.431</v>
      </c>
      <c r="P567" s="476">
        <f t="shared" si="164"/>
        <v>39720.864000000001</v>
      </c>
      <c r="Q567" s="476">
        <f t="shared" si="164"/>
        <v>0</v>
      </c>
      <c r="R567" s="476">
        <f t="shared" si="164"/>
        <v>0</v>
      </c>
      <c r="S567" s="476">
        <f t="shared" si="164"/>
        <v>0</v>
      </c>
      <c r="T567" s="476">
        <f t="shared" si="164"/>
        <v>0</v>
      </c>
      <c r="U567" s="476">
        <f t="shared" si="164"/>
        <v>0</v>
      </c>
      <c r="V567" s="476">
        <f t="shared" si="164"/>
        <v>0</v>
      </c>
      <c r="W567" s="476">
        <f t="shared" si="164"/>
        <v>0</v>
      </c>
      <c r="X567" s="476">
        <f t="shared" si="164"/>
        <v>0</v>
      </c>
      <c r="Y567" s="476">
        <f t="shared" si="164"/>
        <v>0</v>
      </c>
      <c r="AQ567" s="88"/>
    </row>
    <row r="568" spans="4:43" x14ac:dyDescent="0.25">
      <c r="AQ568" s="88"/>
    </row>
    <row r="569" spans="4:43" x14ac:dyDescent="0.25">
      <c r="D569" s="96" t="s">
        <v>1229</v>
      </c>
      <c r="AQ569" s="88"/>
    </row>
    <row r="570" spans="4:43" x14ac:dyDescent="0.2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25">
      <c r="E571" s="39"/>
      <c r="F571" s="98" t="s">
        <v>1063</v>
      </c>
      <c r="G571" s="293" t="s">
        <v>120</v>
      </c>
      <c r="J571" s="258">
        <f>J105</f>
        <v>0</v>
      </c>
      <c r="K571" s="258">
        <f t="shared" ref="K571:Y571" si="165">K105</f>
        <v>0</v>
      </c>
      <c r="L571" s="258">
        <f t="shared" si="165"/>
        <v>0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0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25">
      <c r="E572" s="39"/>
      <c r="F572" s="98" t="s">
        <v>1096</v>
      </c>
      <c r="G572" s="293" t="s">
        <v>120</v>
      </c>
      <c r="J572" s="476">
        <f>J114</f>
        <v>8306.6021289228665</v>
      </c>
      <c r="K572" s="476">
        <f t="shared" ref="K572:Y572" si="166">K114</f>
        <v>0</v>
      </c>
      <c r="L572" s="476">
        <f t="shared" si="166"/>
        <v>7.2436713889719169</v>
      </c>
      <c r="M572" s="476">
        <f t="shared" si="166"/>
        <v>0</v>
      </c>
      <c r="N572" s="476">
        <f t="shared" si="166"/>
        <v>34.413257999999992</v>
      </c>
      <c r="O572" s="476">
        <f t="shared" si="166"/>
        <v>0</v>
      </c>
      <c r="P572" s="476">
        <f t="shared" si="166"/>
        <v>0</v>
      </c>
      <c r="Q572" s="476">
        <f t="shared" si="166"/>
        <v>4.0484626290277781</v>
      </c>
      <c r="R572" s="476">
        <f t="shared" si="166"/>
        <v>0</v>
      </c>
      <c r="S572" s="476">
        <f t="shared" si="166"/>
        <v>0</v>
      </c>
      <c r="T572" s="476">
        <f t="shared" si="166"/>
        <v>0</v>
      </c>
      <c r="U572" s="476">
        <f t="shared" si="166"/>
        <v>0</v>
      </c>
      <c r="V572" s="476">
        <f t="shared" si="166"/>
        <v>0</v>
      </c>
      <c r="W572" s="476">
        <f t="shared" si="166"/>
        <v>0</v>
      </c>
      <c r="X572" s="476">
        <f t="shared" si="166"/>
        <v>0</v>
      </c>
      <c r="Y572" s="476">
        <f t="shared" si="166"/>
        <v>0</v>
      </c>
      <c r="AQ572" s="88"/>
    </row>
    <row r="573" spans="4:43" x14ac:dyDescent="0.25">
      <c r="E573" s="39"/>
      <c r="F573" s="98" t="s">
        <v>1097</v>
      </c>
      <c r="G573" s="293" t="s">
        <v>120</v>
      </c>
      <c r="J573" s="476">
        <f>J123</f>
        <v>0</v>
      </c>
      <c r="K573" s="476">
        <f t="shared" ref="K573:Y573" si="167">K123</f>
        <v>0</v>
      </c>
      <c r="L573" s="476">
        <f t="shared" si="167"/>
        <v>31.932630999120803</v>
      </c>
      <c r="M573" s="476">
        <f t="shared" si="167"/>
        <v>0</v>
      </c>
      <c r="N573" s="476">
        <f t="shared" si="167"/>
        <v>356.25543224999996</v>
      </c>
      <c r="O573" s="476">
        <f t="shared" si="167"/>
        <v>0</v>
      </c>
      <c r="P573" s="476">
        <f t="shared" si="167"/>
        <v>0</v>
      </c>
      <c r="Q573" s="476">
        <f t="shared" si="167"/>
        <v>0</v>
      </c>
      <c r="R573" s="476">
        <f t="shared" si="167"/>
        <v>0</v>
      </c>
      <c r="S573" s="476">
        <f t="shared" si="167"/>
        <v>0</v>
      </c>
      <c r="T573" s="476">
        <f t="shared" si="167"/>
        <v>0</v>
      </c>
      <c r="U573" s="476">
        <f t="shared" si="167"/>
        <v>0</v>
      </c>
      <c r="V573" s="476">
        <f t="shared" si="167"/>
        <v>0</v>
      </c>
      <c r="W573" s="476">
        <f t="shared" si="167"/>
        <v>0</v>
      </c>
      <c r="X573" s="476">
        <f t="shared" si="167"/>
        <v>0</v>
      </c>
      <c r="Y573" s="476">
        <f t="shared" si="167"/>
        <v>0</v>
      </c>
      <c r="AQ573" s="88"/>
    </row>
    <row r="574" spans="4:43" x14ac:dyDescent="0.25">
      <c r="E574" s="39"/>
      <c r="F574" s="98" t="s">
        <v>1098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40.452214392886461</v>
      </c>
      <c r="M574" s="254">
        <f t="shared" si="168"/>
        <v>0</v>
      </c>
      <c r="N574" s="254">
        <f t="shared" si="168"/>
        <v>205.69742849999994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25">
      <c r="E575" s="39"/>
      <c r="F575" s="98" t="s">
        <v>1099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138.1906828346134</v>
      </c>
      <c r="M575" s="254">
        <f t="shared" si="169"/>
        <v>0</v>
      </c>
      <c r="N575" s="254">
        <f t="shared" si="169"/>
        <v>159.68273124999999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2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25">
      <c r="E577" s="39"/>
      <c r="F577" s="98" t="s">
        <v>1063</v>
      </c>
      <c r="G577" s="293" t="s">
        <v>120</v>
      </c>
      <c r="J577" s="258">
        <f>J106</f>
        <v>0</v>
      </c>
      <c r="K577" s="258">
        <f t="shared" ref="K577:Y577" si="170">K106</f>
        <v>0</v>
      </c>
      <c r="L577" s="258">
        <f t="shared" si="170"/>
        <v>0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0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25">
      <c r="E578" s="39"/>
      <c r="F578" s="98" t="s">
        <v>1096</v>
      </c>
      <c r="G578" s="293" t="s">
        <v>120</v>
      </c>
      <c r="J578" s="476">
        <f>J115</f>
        <v>29533.933561876322</v>
      </c>
      <c r="K578" s="476">
        <f t="shared" ref="K578:Y578" si="171">K115</f>
        <v>0</v>
      </c>
      <c r="L578" s="476">
        <f t="shared" si="171"/>
        <v>38.060246396439958</v>
      </c>
      <c r="M578" s="476">
        <f t="shared" si="171"/>
        <v>0</v>
      </c>
      <c r="N578" s="476">
        <f t="shared" si="171"/>
        <v>157.41759572889416</v>
      </c>
      <c r="O578" s="476">
        <f t="shared" si="171"/>
        <v>0</v>
      </c>
      <c r="P578" s="476">
        <f t="shared" si="171"/>
        <v>0</v>
      </c>
      <c r="Q578" s="476">
        <f t="shared" si="171"/>
        <v>53.178547581699839</v>
      </c>
      <c r="R578" s="476">
        <f t="shared" si="171"/>
        <v>0</v>
      </c>
      <c r="S578" s="476">
        <f t="shared" si="171"/>
        <v>0</v>
      </c>
      <c r="T578" s="476">
        <f t="shared" si="171"/>
        <v>0</v>
      </c>
      <c r="U578" s="476">
        <f t="shared" si="171"/>
        <v>0</v>
      </c>
      <c r="V578" s="476">
        <f t="shared" si="171"/>
        <v>0</v>
      </c>
      <c r="W578" s="476">
        <f t="shared" si="171"/>
        <v>0</v>
      </c>
      <c r="X578" s="476">
        <f t="shared" si="171"/>
        <v>0</v>
      </c>
      <c r="Y578" s="476">
        <f t="shared" si="171"/>
        <v>0</v>
      </c>
      <c r="AQ578" s="88"/>
    </row>
    <row r="579" spans="5:43" x14ac:dyDescent="0.25">
      <c r="E579" s="39"/>
      <c r="F579" s="98" t="s">
        <v>1097</v>
      </c>
      <c r="G579" s="293" t="s">
        <v>120</v>
      </c>
      <c r="J579" s="476">
        <f>J124</f>
        <v>0</v>
      </c>
      <c r="K579" s="476">
        <f t="shared" ref="K579:Y579" si="172">K124</f>
        <v>0</v>
      </c>
      <c r="L579" s="476">
        <f t="shared" si="172"/>
        <v>167.78284638414956</v>
      </c>
      <c r="M579" s="476">
        <f t="shared" si="172"/>
        <v>0</v>
      </c>
      <c r="N579" s="476">
        <f t="shared" si="172"/>
        <v>1629.6298830570747</v>
      </c>
      <c r="O579" s="476">
        <f t="shared" si="172"/>
        <v>0</v>
      </c>
      <c r="P579" s="476">
        <f t="shared" si="172"/>
        <v>0</v>
      </c>
      <c r="Q579" s="476">
        <f t="shared" si="172"/>
        <v>0</v>
      </c>
      <c r="R579" s="476">
        <f t="shared" si="172"/>
        <v>0</v>
      </c>
      <c r="S579" s="476">
        <f t="shared" si="172"/>
        <v>0</v>
      </c>
      <c r="T579" s="476">
        <f t="shared" si="172"/>
        <v>0</v>
      </c>
      <c r="U579" s="476">
        <f t="shared" si="172"/>
        <v>0</v>
      </c>
      <c r="V579" s="476">
        <f t="shared" si="172"/>
        <v>0</v>
      </c>
      <c r="W579" s="476">
        <f t="shared" si="172"/>
        <v>0</v>
      </c>
      <c r="X579" s="476">
        <f t="shared" si="172"/>
        <v>0</v>
      </c>
      <c r="Y579" s="476">
        <f t="shared" si="172"/>
        <v>0</v>
      </c>
      <c r="AQ579" s="88"/>
    </row>
    <row r="580" spans="5:43" x14ac:dyDescent="0.25">
      <c r="E580" s="39"/>
      <c r="F580" s="98" t="s">
        <v>1098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212.54708619428266</v>
      </c>
      <c r="M580" s="254">
        <f t="shared" si="173"/>
        <v>0</v>
      </c>
      <c r="N580" s="254">
        <f t="shared" si="173"/>
        <v>940.92790174316281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25">
      <c r="E581" s="39"/>
      <c r="F581" s="98" t="s">
        <v>1099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726.09194370482794</v>
      </c>
      <c r="M581" s="254">
        <f t="shared" si="174"/>
        <v>0</v>
      </c>
      <c r="N581" s="254">
        <f t="shared" si="174"/>
        <v>730.44149533293705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2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25">
      <c r="E583" s="39"/>
      <c r="F583" s="98" t="s">
        <v>1063</v>
      </c>
      <c r="G583" s="293" t="s">
        <v>120</v>
      </c>
      <c r="J583" s="258">
        <f>J107</f>
        <v>0</v>
      </c>
      <c r="K583" s="258">
        <f t="shared" ref="K583:Y583" si="175">K107</f>
        <v>0</v>
      </c>
      <c r="L583" s="258">
        <f t="shared" si="175"/>
        <v>0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0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25">
      <c r="E584" s="39"/>
      <c r="F584" s="98" t="s">
        <v>1096</v>
      </c>
      <c r="G584" s="293" t="s">
        <v>120</v>
      </c>
      <c r="J584" s="476">
        <f>J116</f>
        <v>27775.710046862965</v>
      </c>
      <c r="K584" s="476">
        <f t="shared" ref="K584:Y584" si="176">K116</f>
        <v>0</v>
      </c>
      <c r="L584" s="476">
        <f t="shared" si="176"/>
        <v>36.921677671108576</v>
      </c>
      <c r="M584" s="476">
        <f t="shared" si="176"/>
        <v>0</v>
      </c>
      <c r="N584" s="476">
        <f t="shared" si="176"/>
        <v>143.7306318763377</v>
      </c>
      <c r="O584" s="476">
        <f t="shared" si="176"/>
        <v>0</v>
      </c>
      <c r="P584" s="476">
        <f t="shared" si="176"/>
        <v>0</v>
      </c>
      <c r="Q584" s="476">
        <f t="shared" si="176"/>
        <v>60.454134059674857</v>
      </c>
      <c r="R584" s="476">
        <f t="shared" si="176"/>
        <v>0</v>
      </c>
      <c r="S584" s="476">
        <f t="shared" si="176"/>
        <v>0</v>
      </c>
      <c r="T584" s="476">
        <f t="shared" si="176"/>
        <v>0</v>
      </c>
      <c r="U584" s="476">
        <f t="shared" si="176"/>
        <v>0</v>
      </c>
      <c r="V584" s="476">
        <f t="shared" si="176"/>
        <v>0</v>
      </c>
      <c r="W584" s="476">
        <f t="shared" si="176"/>
        <v>0</v>
      </c>
      <c r="X584" s="476">
        <f t="shared" si="176"/>
        <v>0</v>
      </c>
      <c r="Y584" s="476">
        <f t="shared" si="176"/>
        <v>0</v>
      </c>
      <c r="AQ584" s="88"/>
    </row>
    <row r="585" spans="5:43" x14ac:dyDescent="0.25">
      <c r="E585" s="39"/>
      <c r="F585" s="98" t="s">
        <v>1097</v>
      </c>
      <c r="G585" s="293" t="s">
        <v>120</v>
      </c>
      <c r="J585" s="476">
        <f>J125</f>
        <v>0</v>
      </c>
      <c r="K585" s="476">
        <f t="shared" ref="K585:Y585" si="177">K125</f>
        <v>0</v>
      </c>
      <c r="L585" s="476">
        <f t="shared" si="177"/>
        <v>162.76363816488958</v>
      </c>
      <c r="M585" s="476">
        <f t="shared" si="177"/>
        <v>0</v>
      </c>
      <c r="N585" s="476">
        <f t="shared" si="177"/>
        <v>1487.9387004470868</v>
      </c>
      <c r="O585" s="476">
        <f t="shared" si="177"/>
        <v>0</v>
      </c>
      <c r="P585" s="476">
        <f t="shared" si="177"/>
        <v>0</v>
      </c>
      <c r="Q585" s="476">
        <f t="shared" si="177"/>
        <v>0</v>
      </c>
      <c r="R585" s="476">
        <f t="shared" si="177"/>
        <v>0</v>
      </c>
      <c r="S585" s="476">
        <f t="shared" si="177"/>
        <v>0</v>
      </c>
      <c r="T585" s="476">
        <f t="shared" si="177"/>
        <v>0</v>
      </c>
      <c r="U585" s="476">
        <f t="shared" si="177"/>
        <v>0</v>
      </c>
      <c r="V585" s="476">
        <f t="shared" si="177"/>
        <v>0</v>
      </c>
      <c r="W585" s="476">
        <f t="shared" si="177"/>
        <v>0</v>
      </c>
      <c r="X585" s="476">
        <f t="shared" si="177"/>
        <v>0</v>
      </c>
      <c r="Y585" s="476">
        <f t="shared" si="177"/>
        <v>0</v>
      </c>
      <c r="AQ585" s="88"/>
    </row>
    <row r="586" spans="5:43" x14ac:dyDescent="0.25">
      <c r="E586" s="39"/>
      <c r="F586" s="98" t="s">
        <v>1098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206.18875991125159</v>
      </c>
      <c r="M586" s="254">
        <f t="shared" si="178"/>
        <v>0</v>
      </c>
      <c r="N586" s="254">
        <f t="shared" si="178"/>
        <v>859.11718598810933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25">
      <c r="E587" s="39"/>
      <c r="F587" s="98" t="s">
        <v>1099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704.37097085020366</v>
      </c>
      <c r="M587" s="254">
        <f t="shared" si="179"/>
        <v>0</v>
      </c>
      <c r="N587" s="254">
        <f t="shared" si="179"/>
        <v>666.9319092746731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2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25">
      <c r="E589" s="39"/>
      <c r="F589" s="98" t="s">
        <v>1063</v>
      </c>
      <c r="G589" s="293" t="s">
        <v>74</v>
      </c>
      <c r="J589" s="258">
        <f>J108</f>
        <v>0</v>
      </c>
      <c r="K589" s="258">
        <f t="shared" ref="K589:Y589" si="180">K108</f>
        <v>0</v>
      </c>
      <c r="L589" s="258">
        <f t="shared" si="180"/>
        <v>0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0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25">
      <c r="E590" s="39"/>
      <c r="F590" s="98" t="s">
        <v>1096</v>
      </c>
      <c r="G590" s="293" t="s">
        <v>74</v>
      </c>
      <c r="J590" s="476">
        <f>J117</f>
        <v>23151</v>
      </c>
      <c r="K590" s="476">
        <f t="shared" ref="K590:Y590" si="181">K117</f>
        <v>0</v>
      </c>
      <c r="L590" s="476">
        <f t="shared" si="181"/>
        <v>12</v>
      </c>
      <c r="M590" s="476">
        <f t="shared" si="181"/>
        <v>0</v>
      </c>
      <c r="N590" s="476">
        <f t="shared" si="181"/>
        <v>5</v>
      </c>
      <c r="O590" s="476">
        <f t="shared" si="181"/>
        <v>0</v>
      </c>
      <c r="P590" s="476">
        <f t="shared" si="181"/>
        <v>0</v>
      </c>
      <c r="Q590" s="476">
        <f t="shared" si="181"/>
        <v>14</v>
      </c>
      <c r="R590" s="476">
        <f t="shared" si="181"/>
        <v>0</v>
      </c>
      <c r="S590" s="476">
        <f t="shared" si="181"/>
        <v>0</v>
      </c>
      <c r="T590" s="476">
        <f t="shared" si="181"/>
        <v>0</v>
      </c>
      <c r="U590" s="476">
        <f t="shared" si="181"/>
        <v>0</v>
      </c>
      <c r="V590" s="476">
        <f t="shared" si="181"/>
        <v>0</v>
      </c>
      <c r="W590" s="476">
        <f t="shared" si="181"/>
        <v>0</v>
      </c>
      <c r="X590" s="476">
        <f t="shared" si="181"/>
        <v>0</v>
      </c>
      <c r="Y590" s="476">
        <f t="shared" si="181"/>
        <v>0</v>
      </c>
      <c r="AQ590" s="88"/>
    </row>
    <row r="591" spans="5:43" x14ac:dyDescent="0.25">
      <c r="E591" s="39"/>
      <c r="F591" s="98" t="s">
        <v>1097</v>
      </c>
      <c r="G591" s="293" t="s">
        <v>74</v>
      </c>
      <c r="J591" s="476">
        <f>J126</f>
        <v>0</v>
      </c>
      <c r="K591" s="476">
        <f t="shared" ref="K591:Y591" si="182">K126</f>
        <v>0</v>
      </c>
      <c r="L591" s="476">
        <f t="shared" si="182"/>
        <v>55</v>
      </c>
      <c r="M591" s="476">
        <f t="shared" si="182"/>
        <v>0</v>
      </c>
      <c r="N591" s="476">
        <f t="shared" si="182"/>
        <v>23</v>
      </c>
      <c r="O591" s="476">
        <f t="shared" si="182"/>
        <v>0</v>
      </c>
      <c r="P591" s="476">
        <f t="shared" si="182"/>
        <v>0</v>
      </c>
      <c r="Q591" s="476">
        <f t="shared" si="182"/>
        <v>0</v>
      </c>
      <c r="R591" s="476">
        <f t="shared" si="182"/>
        <v>0</v>
      </c>
      <c r="S591" s="476">
        <f t="shared" si="182"/>
        <v>0</v>
      </c>
      <c r="T591" s="476">
        <f t="shared" si="182"/>
        <v>0</v>
      </c>
      <c r="U591" s="476">
        <f t="shared" si="182"/>
        <v>0</v>
      </c>
      <c r="V591" s="476">
        <f t="shared" si="182"/>
        <v>0</v>
      </c>
      <c r="W591" s="476">
        <f t="shared" si="182"/>
        <v>0</v>
      </c>
      <c r="X591" s="476">
        <f t="shared" si="182"/>
        <v>0</v>
      </c>
      <c r="Y591" s="476">
        <f t="shared" si="182"/>
        <v>0</v>
      </c>
      <c r="AQ591" s="88"/>
    </row>
    <row r="592" spans="5:43" x14ac:dyDescent="0.25">
      <c r="E592" s="39"/>
      <c r="F592" s="98" t="s">
        <v>1098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69</v>
      </c>
      <c r="M592" s="254">
        <f t="shared" si="183"/>
        <v>0</v>
      </c>
      <c r="N592" s="254">
        <f t="shared" si="183"/>
        <v>8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25">
      <c r="E593" s="39"/>
      <c r="F593" s="98" t="s">
        <v>1099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237</v>
      </c>
      <c r="M593" s="254">
        <f t="shared" si="184"/>
        <v>0</v>
      </c>
      <c r="N593" s="254">
        <f t="shared" si="184"/>
        <v>4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2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25">
      <c r="E595" s="39"/>
      <c r="F595" s="98" t="s">
        <v>1063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25">
      <c r="E596" s="39"/>
      <c r="F596" s="98" t="s">
        <v>1096</v>
      </c>
      <c r="G596" s="293" t="s">
        <v>169</v>
      </c>
      <c r="J596" s="476">
        <f>J118</f>
        <v>0</v>
      </c>
      <c r="K596" s="476">
        <f t="shared" ref="K596:Y596" si="186">K118</f>
        <v>0</v>
      </c>
      <c r="L596" s="476">
        <f t="shared" si="186"/>
        <v>0</v>
      </c>
      <c r="M596" s="476">
        <f t="shared" si="186"/>
        <v>0</v>
      </c>
      <c r="N596" s="476">
        <f t="shared" si="186"/>
        <v>264</v>
      </c>
      <c r="O596" s="476">
        <f t="shared" si="186"/>
        <v>0</v>
      </c>
      <c r="P596" s="476">
        <f t="shared" si="186"/>
        <v>0</v>
      </c>
      <c r="Q596" s="476">
        <f t="shared" si="186"/>
        <v>0</v>
      </c>
      <c r="R596" s="476">
        <f t="shared" si="186"/>
        <v>0</v>
      </c>
      <c r="S596" s="476">
        <f t="shared" si="186"/>
        <v>0</v>
      </c>
      <c r="T596" s="476">
        <f t="shared" si="186"/>
        <v>0</v>
      </c>
      <c r="U596" s="476">
        <f t="shared" si="186"/>
        <v>0</v>
      </c>
      <c r="V596" s="476">
        <f t="shared" si="186"/>
        <v>0</v>
      </c>
      <c r="W596" s="476">
        <f t="shared" si="186"/>
        <v>0</v>
      </c>
      <c r="X596" s="476">
        <f t="shared" si="186"/>
        <v>0</v>
      </c>
      <c r="Y596" s="476">
        <f t="shared" si="186"/>
        <v>0</v>
      </c>
      <c r="AQ596" s="88"/>
    </row>
    <row r="597" spans="5:43" x14ac:dyDescent="0.25">
      <c r="E597" s="39"/>
      <c r="F597" s="98" t="s">
        <v>1097</v>
      </c>
      <c r="G597" s="293" t="s">
        <v>169</v>
      </c>
      <c r="J597" s="476">
        <f>J127</f>
        <v>0</v>
      </c>
      <c r="K597" s="476">
        <f t="shared" ref="K597:Y597" si="187">K127</f>
        <v>0</v>
      </c>
      <c r="L597" s="476">
        <f t="shared" si="187"/>
        <v>0</v>
      </c>
      <c r="M597" s="476">
        <f t="shared" si="187"/>
        <v>0</v>
      </c>
      <c r="N597" s="476">
        <f t="shared" si="187"/>
        <v>2733</v>
      </c>
      <c r="O597" s="476">
        <f t="shared" si="187"/>
        <v>0</v>
      </c>
      <c r="P597" s="476">
        <f t="shared" si="187"/>
        <v>0</v>
      </c>
      <c r="Q597" s="476">
        <f t="shared" si="187"/>
        <v>0</v>
      </c>
      <c r="R597" s="476">
        <f t="shared" si="187"/>
        <v>0</v>
      </c>
      <c r="S597" s="476">
        <f t="shared" si="187"/>
        <v>0</v>
      </c>
      <c r="T597" s="476">
        <f t="shared" si="187"/>
        <v>0</v>
      </c>
      <c r="U597" s="476">
        <f t="shared" si="187"/>
        <v>0</v>
      </c>
      <c r="V597" s="476">
        <f t="shared" si="187"/>
        <v>0</v>
      </c>
      <c r="W597" s="476">
        <f t="shared" si="187"/>
        <v>0</v>
      </c>
      <c r="X597" s="476">
        <f t="shared" si="187"/>
        <v>0</v>
      </c>
      <c r="Y597" s="476">
        <f t="shared" si="187"/>
        <v>0</v>
      </c>
      <c r="AQ597" s="88"/>
    </row>
    <row r="598" spans="5:43" x14ac:dyDescent="0.25">
      <c r="E598" s="39"/>
      <c r="F598" s="98" t="s">
        <v>1098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1578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25">
      <c r="E599" s="39"/>
      <c r="F599" s="98" t="s">
        <v>1099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1225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2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25">
      <c r="E601" s="39"/>
      <c r="F601" s="98" t="s">
        <v>1063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25">
      <c r="E602" s="39"/>
      <c r="F602" s="98" t="s">
        <v>1096</v>
      </c>
      <c r="G602" s="293" t="s">
        <v>169</v>
      </c>
      <c r="J602" s="476">
        <f>J119</f>
        <v>0</v>
      </c>
      <c r="K602" s="476">
        <f t="shared" ref="K602:Y602" si="191">K119</f>
        <v>0</v>
      </c>
      <c r="L602" s="476">
        <f t="shared" si="191"/>
        <v>0</v>
      </c>
      <c r="M602" s="476">
        <f t="shared" si="191"/>
        <v>0</v>
      </c>
      <c r="N602" s="476">
        <f t="shared" si="191"/>
        <v>0</v>
      </c>
      <c r="O602" s="476">
        <f t="shared" si="191"/>
        <v>0</v>
      </c>
      <c r="P602" s="476">
        <f t="shared" si="191"/>
        <v>0</v>
      </c>
      <c r="Q602" s="476">
        <f t="shared" si="191"/>
        <v>0</v>
      </c>
      <c r="R602" s="476">
        <f t="shared" si="191"/>
        <v>0</v>
      </c>
      <c r="S602" s="476">
        <f t="shared" si="191"/>
        <v>0</v>
      </c>
      <c r="T602" s="476">
        <f t="shared" si="191"/>
        <v>0</v>
      </c>
      <c r="U602" s="476">
        <f t="shared" si="191"/>
        <v>0</v>
      </c>
      <c r="V602" s="476">
        <f t="shared" si="191"/>
        <v>0</v>
      </c>
      <c r="W602" s="476">
        <f t="shared" si="191"/>
        <v>0</v>
      </c>
      <c r="X602" s="476">
        <f t="shared" si="191"/>
        <v>0</v>
      </c>
      <c r="Y602" s="476">
        <f t="shared" si="191"/>
        <v>0</v>
      </c>
      <c r="AQ602" s="88"/>
    </row>
    <row r="603" spans="5:43" x14ac:dyDescent="0.25">
      <c r="E603" s="39"/>
      <c r="F603" s="98" t="s">
        <v>1097</v>
      </c>
      <c r="G603" s="293" t="s">
        <v>169</v>
      </c>
      <c r="J603" s="476">
        <f>J128</f>
        <v>0</v>
      </c>
      <c r="K603" s="476">
        <f t="shared" ref="K603:Y603" si="192">K128</f>
        <v>0</v>
      </c>
      <c r="L603" s="476">
        <f t="shared" si="192"/>
        <v>0</v>
      </c>
      <c r="M603" s="476">
        <f t="shared" si="192"/>
        <v>0</v>
      </c>
      <c r="N603" s="476">
        <f t="shared" si="192"/>
        <v>0</v>
      </c>
      <c r="O603" s="476">
        <f t="shared" si="192"/>
        <v>0</v>
      </c>
      <c r="P603" s="476">
        <f t="shared" si="192"/>
        <v>0</v>
      </c>
      <c r="Q603" s="476">
        <f t="shared" si="192"/>
        <v>0</v>
      </c>
      <c r="R603" s="476">
        <f t="shared" si="192"/>
        <v>0</v>
      </c>
      <c r="S603" s="476">
        <f t="shared" si="192"/>
        <v>0</v>
      </c>
      <c r="T603" s="476">
        <f t="shared" si="192"/>
        <v>0</v>
      </c>
      <c r="U603" s="476">
        <f t="shared" si="192"/>
        <v>0</v>
      </c>
      <c r="V603" s="476">
        <f t="shared" si="192"/>
        <v>0</v>
      </c>
      <c r="W603" s="476">
        <f t="shared" si="192"/>
        <v>0</v>
      </c>
      <c r="X603" s="476">
        <f t="shared" si="192"/>
        <v>0</v>
      </c>
      <c r="Y603" s="476">
        <f t="shared" si="192"/>
        <v>0</v>
      </c>
      <c r="AQ603" s="88"/>
    </row>
    <row r="604" spans="5:43" x14ac:dyDescent="0.25">
      <c r="E604" s="39"/>
      <c r="F604" s="98" t="s">
        <v>1098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0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25">
      <c r="E605" s="39"/>
      <c r="F605" s="98" t="s">
        <v>1099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0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2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25">
      <c r="E607" s="39"/>
      <c r="F607" s="98" t="s">
        <v>1063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25">
      <c r="E608" s="39"/>
      <c r="F608" s="98" t="s">
        <v>1096</v>
      </c>
      <c r="G608" s="293" t="s">
        <v>170</v>
      </c>
      <c r="J608" s="476">
        <f>J120</f>
        <v>0</v>
      </c>
      <c r="K608" s="476">
        <f t="shared" ref="K608:Y608" si="196">K120</f>
        <v>0</v>
      </c>
      <c r="L608" s="476">
        <f t="shared" si="196"/>
        <v>0</v>
      </c>
      <c r="M608" s="476">
        <f t="shared" si="196"/>
        <v>0</v>
      </c>
      <c r="N608" s="476">
        <f t="shared" si="196"/>
        <v>12.011767862068968</v>
      </c>
      <c r="O608" s="476">
        <f t="shared" si="196"/>
        <v>0</v>
      </c>
      <c r="P608" s="476">
        <f t="shared" si="196"/>
        <v>0</v>
      </c>
      <c r="Q608" s="476">
        <f t="shared" si="196"/>
        <v>0</v>
      </c>
      <c r="R608" s="476">
        <f t="shared" si="196"/>
        <v>0</v>
      </c>
      <c r="S608" s="476">
        <f t="shared" si="196"/>
        <v>0</v>
      </c>
      <c r="T608" s="476">
        <f t="shared" si="196"/>
        <v>0</v>
      </c>
      <c r="U608" s="476">
        <f t="shared" si="196"/>
        <v>0</v>
      </c>
      <c r="V608" s="476">
        <f t="shared" si="196"/>
        <v>0</v>
      </c>
      <c r="W608" s="476">
        <f t="shared" si="196"/>
        <v>0</v>
      </c>
      <c r="X608" s="476">
        <f t="shared" si="196"/>
        <v>0</v>
      </c>
      <c r="Y608" s="476">
        <f t="shared" si="196"/>
        <v>0</v>
      </c>
      <c r="AQ608" s="88"/>
    </row>
    <row r="609" spans="4:43" x14ac:dyDescent="0.25">
      <c r="E609" s="39"/>
      <c r="F609" s="98" t="s">
        <v>1097</v>
      </c>
      <c r="G609" s="293" t="s">
        <v>170</v>
      </c>
      <c r="J609" s="476">
        <f>J129</f>
        <v>0</v>
      </c>
      <c r="K609" s="476">
        <f t="shared" ref="K609:Y609" si="197">K129</f>
        <v>0</v>
      </c>
      <c r="L609" s="476">
        <f t="shared" si="197"/>
        <v>0</v>
      </c>
      <c r="M609" s="476">
        <f t="shared" si="197"/>
        <v>0</v>
      </c>
      <c r="N609" s="476">
        <f t="shared" si="197"/>
        <v>124.3490968448276</v>
      </c>
      <c r="O609" s="476">
        <f t="shared" si="197"/>
        <v>0</v>
      </c>
      <c r="P609" s="476">
        <f t="shared" si="197"/>
        <v>0</v>
      </c>
      <c r="Q609" s="476">
        <f t="shared" si="197"/>
        <v>0</v>
      </c>
      <c r="R609" s="476">
        <f t="shared" si="197"/>
        <v>0</v>
      </c>
      <c r="S609" s="476">
        <f t="shared" si="197"/>
        <v>0</v>
      </c>
      <c r="T609" s="476">
        <f t="shared" si="197"/>
        <v>0</v>
      </c>
      <c r="U609" s="476">
        <f t="shared" si="197"/>
        <v>0</v>
      </c>
      <c r="V609" s="476">
        <f t="shared" si="197"/>
        <v>0</v>
      </c>
      <c r="W609" s="476">
        <f t="shared" si="197"/>
        <v>0</v>
      </c>
      <c r="X609" s="476">
        <f t="shared" si="197"/>
        <v>0</v>
      </c>
      <c r="Y609" s="476">
        <f t="shared" si="197"/>
        <v>0</v>
      </c>
      <c r="AQ609" s="88"/>
    </row>
    <row r="610" spans="4:43" x14ac:dyDescent="0.25">
      <c r="E610" s="39"/>
      <c r="F610" s="98" t="s">
        <v>1098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71.797612448275856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25">
      <c r="E611" s="36"/>
      <c r="F611" s="477" t="s">
        <v>1099</v>
      </c>
      <c r="G611" s="93" t="s">
        <v>170</v>
      </c>
      <c r="H611" s="93"/>
      <c r="I611" s="93"/>
      <c r="J611" s="476">
        <f>J147</f>
        <v>0</v>
      </c>
      <c r="K611" s="476">
        <f t="shared" ref="K611:Y611" si="199">K147</f>
        <v>0</v>
      </c>
      <c r="L611" s="476">
        <f t="shared" si="199"/>
        <v>0</v>
      </c>
      <c r="M611" s="476">
        <f t="shared" si="199"/>
        <v>0</v>
      </c>
      <c r="N611" s="476">
        <f t="shared" si="199"/>
        <v>55.736422844827587</v>
      </c>
      <c r="O611" s="476">
        <f t="shared" si="199"/>
        <v>0</v>
      </c>
      <c r="P611" s="476">
        <f t="shared" si="199"/>
        <v>0</v>
      </c>
      <c r="Q611" s="476">
        <f t="shared" si="199"/>
        <v>0</v>
      </c>
      <c r="R611" s="476">
        <f t="shared" si="199"/>
        <v>0</v>
      </c>
      <c r="S611" s="476">
        <f t="shared" si="199"/>
        <v>0</v>
      </c>
      <c r="T611" s="476">
        <f t="shared" si="199"/>
        <v>0</v>
      </c>
      <c r="U611" s="476">
        <f t="shared" si="199"/>
        <v>0</v>
      </c>
      <c r="V611" s="476">
        <f t="shared" si="199"/>
        <v>0</v>
      </c>
      <c r="W611" s="476">
        <f t="shared" si="199"/>
        <v>0</v>
      </c>
      <c r="X611" s="476">
        <f t="shared" si="199"/>
        <v>0</v>
      </c>
      <c r="Y611" s="476">
        <f t="shared" si="199"/>
        <v>0</v>
      </c>
      <c r="AQ611" s="88"/>
    </row>
    <row r="612" spans="4:43" x14ac:dyDescent="0.25">
      <c r="AQ612" s="88"/>
    </row>
    <row r="613" spans="4:43" x14ac:dyDescent="0.25">
      <c r="D613" s="96" t="s">
        <v>1230</v>
      </c>
      <c r="AQ613" s="88"/>
    </row>
    <row r="614" spans="4:43" x14ac:dyDescent="0.2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25">
      <c r="E615" s="39"/>
      <c r="F615" s="98" t="s">
        <v>1063</v>
      </c>
      <c r="G615" s="293" t="s">
        <v>120</v>
      </c>
      <c r="J615" s="258">
        <f>J152</f>
        <v>0</v>
      </c>
      <c r="K615" s="258">
        <f t="shared" ref="K615:Y615" si="200">K152</f>
        <v>0</v>
      </c>
      <c r="L615" s="258">
        <f t="shared" si="200"/>
        <v>0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0</v>
      </c>
      <c r="S615" s="258">
        <f t="shared" si="200"/>
        <v>0</v>
      </c>
      <c r="T615" s="258">
        <f t="shared" si="200"/>
        <v>50.298000000000002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25">
      <c r="E616" s="39"/>
      <c r="F616" s="98" t="s">
        <v>1096</v>
      </c>
      <c r="G616" s="293" t="s">
        <v>120</v>
      </c>
      <c r="J616" s="476">
        <f>J161</f>
        <v>11575.563194024691</v>
      </c>
      <c r="K616" s="476">
        <f t="shared" ref="K616:Y616" si="201">K161</f>
        <v>0</v>
      </c>
      <c r="L616" s="476">
        <f t="shared" si="201"/>
        <v>28.385778382189841</v>
      </c>
      <c r="M616" s="476">
        <f t="shared" si="201"/>
        <v>0</v>
      </c>
      <c r="N616" s="476">
        <f t="shared" si="201"/>
        <v>4024.2458965719497</v>
      </c>
      <c r="O616" s="476">
        <f t="shared" si="201"/>
        <v>102.09339619095061</v>
      </c>
      <c r="P616" s="476">
        <f t="shared" si="201"/>
        <v>160.39226894387983</v>
      </c>
      <c r="Q616" s="476">
        <f t="shared" si="201"/>
        <v>8.6509294967914947</v>
      </c>
      <c r="R616" s="476">
        <f t="shared" si="201"/>
        <v>0</v>
      </c>
      <c r="S616" s="476">
        <f t="shared" si="201"/>
        <v>0</v>
      </c>
      <c r="T616" s="476">
        <f t="shared" si="201"/>
        <v>0</v>
      </c>
      <c r="U616" s="476">
        <f t="shared" si="201"/>
        <v>0</v>
      </c>
      <c r="V616" s="476">
        <f t="shared" si="201"/>
        <v>0</v>
      </c>
      <c r="W616" s="476">
        <f t="shared" si="201"/>
        <v>0</v>
      </c>
      <c r="X616" s="476">
        <f t="shared" si="201"/>
        <v>0</v>
      </c>
      <c r="Y616" s="476">
        <f t="shared" si="201"/>
        <v>0</v>
      </c>
      <c r="AQ616" s="88"/>
    </row>
    <row r="617" spans="4:43" x14ac:dyDescent="0.25">
      <c r="E617" s="39"/>
      <c r="F617" s="98" t="s">
        <v>1097</v>
      </c>
      <c r="G617" s="293" t="s">
        <v>120</v>
      </c>
      <c r="J617" s="476">
        <f>J170</f>
        <v>0</v>
      </c>
      <c r="K617" s="476">
        <f t="shared" ref="K617:Y617" si="202">K170</f>
        <v>0</v>
      </c>
      <c r="L617" s="476">
        <f t="shared" si="202"/>
        <v>125.13441568888412</v>
      </c>
      <c r="M617" s="476">
        <f t="shared" si="202"/>
        <v>0</v>
      </c>
      <c r="N617" s="476">
        <f t="shared" si="202"/>
        <v>2430.0134934551165</v>
      </c>
      <c r="O617" s="476">
        <f t="shared" si="202"/>
        <v>1150.8614630290597</v>
      </c>
      <c r="P617" s="476">
        <f t="shared" si="202"/>
        <v>733.7502414139301</v>
      </c>
      <c r="Q617" s="476">
        <f t="shared" si="202"/>
        <v>0</v>
      </c>
      <c r="R617" s="476">
        <f t="shared" si="202"/>
        <v>0</v>
      </c>
      <c r="S617" s="476">
        <f t="shared" si="202"/>
        <v>0</v>
      </c>
      <c r="T617" s="476">
        <f t="shared" si="202"/>
        <v>0</v>
      </c>
      <c r="U617" s="476">
        <f t="shared" si="202"/>
        <v>0</v>
      </c>
      <c r="V617" s="476">
        <f t="shared" si="202"/>
        <v>0</v>
      </c>
      <c r="W617" s="476">
        <f t="shared" si="202"/>
        <v>0</v>
      </c>
      <c r="X617" s="476">
        <f t="shared" si="202"/>
        <v>0</v>
      </c>
      <c r="Y617" s="476">
        <f t="shared" si="202"/>
        <v>0</v>
      </c>
      <c r="AQ617" s="88"/>
    </row>
    <row r="618" spans="4:43" x14ac:dyDescent="0.25">
      <c r="E618" s="39"/>
      <c r="F618" s="98" t="s">
        <v>1098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158.52011102732766</v>
      </c>
      <c r="M618" s="254">
        <f t="shared" si="203"/>
        <v>0</v>
      </c>
      <c r="N618" s="254">
        <f t="shared" si="203"/>
        <v>288.384529573593</v>
      </c>
      <c r="O618" s="254">
        <f t="shared" si="203"/>
        <v>157.55153733171392</v>
      </c>
      <c r="P618" s="254">
        <f t="shared" si="203"/>
        <v>547.46438661656407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25">
      <c r="E619" s="39"/>
      <c r="F619" s="98" t="s">
        <v>1099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541.5278919746188</v>
      </c>
      <c r="M619" s="254">
        <f t="shared" si="204"/>
        <v>0</v>
      </c>
      <c r="N619" s="254">
        <f t="shared" si="204"/>
        <v>213.61817005451337</v>
      </c>
      <c r="O619" s="254">
        <f t="shared" si="204"/>
        <v>0</v>
      </c>
      <c r="P619" s="254">
        <f t="shared" si="204"/>
        <v>680.63139957734995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2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25">
      <c r="E621" s="39"/>
      <c r="F621" s="98" t="s">
        <v>1063</v>
      </c>
      <c r="G621" s="293" t="s">
        <v>120</v>
      </c>
      <c r="J621" s="258">
        <f>J153</f>
        <v>0</v>
      </c>
      <c r="K621" s="258">
        <f t="shared" ref="K621:Y621" si="205">K153</f>
        <v>0</v>
      </c>
      <c r="L621" s="258">
        <f t="shared" si="205"/>
        <v>0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0</v>
      </c>
      <c r="S621" s="258">
        <f t="shared" si="205"/>
        <v>0</v>
      </c>
      <c r="T621" s="258">
        <f t="shared" si="205"/>
        <v>0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25">
      <c r="E622" s="39"/>
      <c r="F622" s="98" t="s">
        <v>1096</v>
      </c>
      <c r="G622" s="293" t="s">
        <v>120</v>
      </c>
      <c r="J622" s="476">
        <f>J162</f>
        <v>41142.372442524007</v>
      </c>
      <c r="K622" s="476">
        <f t="shared" ref="K622:Y622" si="206">K162</f>
        <v>0</v>
      </c>
      <c r="L622" s="476">
        <f t="shared" si="206"/>
        <v>149.09742335497364</v>
      </c>
      <c r="M622" s="476">
        <f t="shared" si="206"/>
        <v>0</v>
      </c>
      <c r="N622" s="476">
        <f t="shared" si="206"/>
        <v>17388.083455144802</v>
      </c>
      <c r="O622" s="476">
        <f t="shared" si="206"/>
        <v>477.06649957759964</v>
      </c>
      <c r="P622" s="476">
        <f t="shared" si="206"/>
        <v>730.94570099748273</v>
      </c>
      <c r="Q622" s="476">
        <f t="shared" si="206"/>
        <v>108.36283197839724</v>
      </c>
      <c r="R622" s="476">
        <f t="shared" si="206"/>
        <v>0</v>
      </c>
      <c r="S622" s="476">
        <f t="shared" si="206"/>
        <v>0</v>
      </c>
      <c r="T622" s="476">
        <f t="shared" si="206"/>
        <v>0</v>
      </c>
      <c r="U622" s="476">
        <f t="shared" si="206"/>
        <v>0</v>
      </c>
      <c r="V622" s="476">
        <f t="shared" si="206"/>
        <v>0</v>
      </c>
      <c r="W622" s="476">
        <f t="shared" si="206"/>
        <v>0</v>
      </c>
      <c r="X622" s="476">
        <f t="shared" si="206"/>
        <v>0</v>
      </c>
      <c r="Y622" s="476">
        <f t="shared" si="206"/>
        <v>0</v>
      </c>
      <c r="AQ622" s="88"/>
    </row>
    <row r="623" spans="4:43" x14ac:dyDescent="0.25">
      <c r="E623" s="39"/>
      <c r="F623" s="98" t="s">
        <v>1097</v>
      </c>
      <c r="G623" s="293" t="s">
        <v>120</v>
      </c>
      <c r="J623" s="476">
        <f>J171</f>
        <v>0</v>
      </c>
      <c r="K623" s="476">
        <f t="shared" ref="K623:Y623" si="207">K171</f>
        <v>0</v>
      </c>
      <c r="L623" s="476">
        <f t="shared" si="207"/>
        <v>657.27346634781577</v>
      </c>
      <c r="M623" s="476">
        <f t="shared" si="207"/>
        <v>0</v>
      </c>
      <c r="N623" s="476">
        <f t="shared" si="207"/>
        <v>10499.675841707125</v>
      </c>
      <c r="O623" s="476">
        <f t="shared" si="207"/>
        <v>5377.7959216787649</v>
      </c>
      <c r="P623" s="476">
        <f t="shared" si="207"/>
        <v>3343.8742908178201</v>
      </c>
      <c r="Q623" s="476">
        <f t="shared" si="207"/>
        <v>0</v>
      </c>
      <c r="R623" s="476">
        <f t="shared" si="207"/>
        <v>0</v>
      </c>
      <c r="S623" s="476">
        <f t="shared" si="207"/>
        <v>0</v>
      </c>
      <c r="T623" s="476">
        <f t="shared" si="207"/>
        <v>0</v>
      </c>
      <c r="U623" s="476">
        <f t="shared" si="207"/>
        <v>0</v>
      </c>
      <c r="V623" s="476">
        <f t="shared" si="207"/>
        <v>0</v>
      </c>
      <c r="W623" s="476">
        <f t="shared" si="207"/>
        <v>0</v>
      </c>
      <c r="X623" s="476">
        <f t="shared" si="207"/>
        <v>0</v>
      </c>
      <c r="Y623" s="476">
        <f t="shared" si="207"/>
        <v>0</v>
      </c>
      <c r="AQ623" s="88"/>
    </row>
    <row r="624" spans="4:43" x14ac:dyDescent="0.25">
      <c r="E624" s="39"/>
      <c r="F624" s="98" t="s">
        <v>1098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832.63315121730921</v>
      </c>
      <c r="M624" s="254">
        <f t="shared" si="208"/>
        <v>0</v>
      </c>
      <c r="N624" s="254">
        <f t="shared" si="208"/>
        <v>1246.0606027255612</v>
      </c>
      <c r="O624" s="254">
        <f t="shared" si="208"/>
        <v>736.2137339160488</v>
      </c>
      <c r="P624" s="254">
        <f t="shared" si="208"/>
        <v>2494.9253631832894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25">
      <c r="E625" s="39"/>
      <c r="F625" s="98" t="s">
        <v>1099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2844.3966651598089</v>
      </c>
      <c r="M625" s="254">
        <f t="shared" si="209"/>
        <v>0</v>
      </c>
      <c r="N625" s="254">
        <f t="shared" si="209"/>
        <v>923.00785387078599</v>
      </c>
      <c r="O625" s="254">
        <f t="shared" si="209"/>
        <v>0</v>
      </c>
      <c r="P625" s="254">
        <f t="shared" si="209"/>
        <v>3101.7991001738196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2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25">
      <c r="E627" s="39"/>
      <c r="F627" s="98" t="s">
        <v>1063</v>
      </c>
      <c r="G627" s="293" t="s">
        <v>120</v>
      </c>
      <c r="J627" s="258">
        <f>J154</f>
        <v>0</v>
      </c>
      <c r="K627" s="258">
        <f t="shared" ref="K627:Y627" si="210">K154</f>
        <v>0</v>
      </c>
      <c r="L627" s="258">
        <f t="shared" si="210"/>
        <v>0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0</v>
      </c>
      <c r="S627" s="258">
        <f t="shared" si="210"/>
        <v>0</v>
      </c>
      <c r="T627" s="258">
        <f t="shared" si="210"/>
        <v>0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25">
      <c r="E628" s="39"/>
      <c r="F628" s="98" t="s">
        <v>1096</v>
      </c>
      <c r="G628" s="293" t="s">
        <v>120</v>
      </c>
      <c r="J628" s="476">
        <f>J163</f>
        <v>38695.794593341067</v>
      </c>
      <c r="K628" s="476">
        <f t="shared" ref="K628:Y628" si="211">K163</f>
        <v>0</v>
      </c>
      <c r="L628" s="476">
        <f t="shared" si="211"/>
        <v>144.76753584314579</v>
      </c>
      <c r="M628" s="476">
        <f t="shared" si="211"/>
        <v>0</v>
      </c>
      <c r="N628" s="476">
        <f t="shared" si="211"/>
        <v>16116.968384823227</v>
      </c>
      <c r="O628" s="476">
        <f t="shared" si="211"/>
        <v>460.45030881905086</v>
      </c>
      <c r="P628" s="476">
        <f t="shared" si="211"/>
        <v>755.43069781871247</v>
      </c>
      <c r="Q628" s="476">
        <f t="shared" si="211"/>
        <v>123.18908683710534</v>
      </c>
      <c r="R628" s="476">
        <f t="shared" si="211"/>
        <v>0</v>
      </c>
      <c r="S628" s="476">
        <f t="shared" si="211"/>
        <v>0</v>
      </c>
      <c r="T628" s="476">
        <f t="shared" si="211"/>
        <v>0</v>
      </c>
      <c r="U628" s="476">
        <f t="shared" si="211"/>
        <v>0</v>
      </c>
      <c r="V628" s="476">
        <f t="shared" si="211"/>
        <v>0</v>
      </c>
      <c r="W628" s="476">
        <f t="shared" si="211"/>
        <v>0</v>
      </c>
      <c r="X628" s="476">
        <f t="shared" si="211"/>
        <v>0</v>
      </c>
      <c r="Y628" s="476">
        <f t="shared" si="211"/>
        <v>0</v>
      </c>
      <c r="AQ628" s="88"/>
    </row>
    <row r="629" spans="5:43" x14ac:dyDescent="0.25">
      <c r="E629" s="39"/>
      <c r="F629" s="98" t="s">
        <v>1097</v>
      </c>
      <c r="G629" s="293" t="s">
        <v>120</v>
      </c>
      <c r="J629" s="476">
        <f>J172</f>
        <v>0</v>
      </c>
      <c r="K629" s="476">
        <f t="shared" ref="K629:Y629" si="212">K172</f>
        <v>0</v>
      </c>
      <c r="L629" s="476">
        <f t="shared" si="212"/>
        <v>638.18581137862441</v>
      </c>
      <c r="M629" s="476">
        <f t="shared" si="212"/>
        <v>0</v>
      </c>
      <c r="N629" s="476">
        <f t="shared" si="212"/>
        <v>9732.1216583887599</v>
      </c>
      <c r="O629" s="476">
        <f t="shared" si="212"/>
        <v>5190.4876890229843</v>
      </c>
      <c r="P629" s="476">
        <f t="shared" si="212"/>
        <v>3455.886374984314</v>
      </c>
      <c r="Q629" s="476">
        <f t="shared" si="212"/>
        <v>0</v>
      </c>
      <c r="R629" s="476">
        <f t="shared" si="212"/>
        <v>0</v>
      </c>
      <c r="S629" s="476">
        <f t="shared" si="212"/>
        <v>0</v>
      </c>
      <c r="T629" s="476">
        <f t="shared" si="212"/>
        <v>0</v>
      </c>
      <c r="U629" s="476">
        <f t="shared" si="212"/>
        <v>0</v>
      </c>
      <c r="V629" s="476">
        <f t="shared" si="212"/>
        <v>0</v>
      </c>
      <c r="W629" s="476">
        <f t="shared" si="212"/>
        <v>0</v>
      </c>
      <c r="X629" s="476">
        <f t="shared" si="212"/>
        <v>0</v>
      </c>
      <c r="Y629" s="476">
        <f t="shared" si="212"/>
        <v>0</v>
      </c>
      <c r="AQ629" s="88"/>
    </row>
    <row r="630" spans="5:43" x14ac:dyDescent="0.25">
      <c r="E630" s="39"/>
      <c r="F630" s="98" t="s">
        <v>1098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808.4529353405643</v>
      </c>
      <c r="M630" s="254">
        <f t="shared" si="213"/>
        <v>0</v>
      </c>
      <c r="N630" s="254">
        <f t="shared" si="213"/>
        <v>1154.9702640609053</v>
      </c>
      <c r="O630" s="254">
        <f t="shared" si="213"/>
        <v>710.57146422693029</v>
      </c>
      <c r="P630" s="254">
        <f t="shared" si="213"/>
        <v>2578.4996143258641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25">
      <c r="E631" s="39"/>
      <c r="F631" s="98" t="s">
        <v>1099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2761.793509974234</v>
      </c>
      <c r="M631" s="254">
        <f t="shared" si="214"/>
        <v>0</v>
      </c>
      <c r="N631" s="254">
        <f t="shared" si="214"/>
        <v>855.5335289340037</v>
      </c>
      <c r="O631" s="254">
        <f t="shared" si="214"/>
        <v>0</v>
      </c>
      <c r="P631" s="254">
        <f t="shared" si="214"/>
        <v>3205.7022232159393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2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25">
      <c r="E633" s="39"/>
      <c r="F633" s="98" t="s">
        <v>1063</v>
      </c>
      <c r="G633" s="293" t="s">
        <v>74</v>
      </c>
      <c r="J633" s="258">
        <f>J155</f>
        <v>0</v>
      </c>
      <c r="K633" s="258">
        <f t="shared" ref="K633:Y633" si="215">K155</f>
        <v>0</v>
      </c>
      <c r="L633" s="258">
        <f t="shared" si="215"/>
        <v>0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0</v>
      </c>
      <c r="S633" s="258">
        <f t="shared" si="215"/>
        <v>0</v>
      </c>
      <c r="T633" s="258">
        <f t="shared" si="215"/>
        <v>1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25">
      <c r="E634" s="39"/>
      <c r="F634" s="98" t="s">
        <v>1096</v>
      </c>
      <c r="G634" s="293" t="s">
        <v>74</v>
      </c>
      <c r="J634" s="476">
        <f>J164</f>
        <v>31794</v>
      </c>
      <c r="K634" s="476">
        <f t="shared" ref="K634:Y634" si="216">K164</f>
        <v>0</v>
      </c>
      <c r="L634" s="476">
        <f t="shared" si="216"/>
        <v>22</v>
      </c>
      <c r="M634" s="476">
        <f t="shared" si="216"/>
        <v>0</v>
      </c>
      <c r="N634" s="476">
        <f t="shared" si="216"/>
        <v>223</v>
      </c>
      <c r="O634" s="476">
        <f t="shared" si="216"/>
        <v>4</v>
      </c>
      <c r="P634" s="476">
        <f t="shared" si="216"/>
        <v>4</v>
      </c>
      <c r="Q634" s="476">
        <f t="shared" si="216"/>
        <v>59</v>
      </c>
      <c r="R634" s="476">
        <f t="shared" si="216"/>
        <v>0</v>
      </c>
      <c r="S634" s="476">
        <f t="shared" si="216"/>
        <v>0</v>
      </c>
      <c r="T634" s="476">
        <f t="shared" si="216"/>
        <v>0</v>
      </c>
      <c r="U634" s="476">
        <f t="shared" si="216"/>
        <v>0</v>
      </c>
      <c r="V634" s="476">
        <f t="shared" si="216"/>
        <v>0</v>
      </c>
      <c r="W634" s="476">
        <f t="shared" si="216"/>
        <v>0</v>
      </c>
      <c r="X634" s="476">
        <f t="shared" si="216"/>
        <v>0</v>
      </c>
      <c r="Y634" s="476">
        <f t="shared" si="216"/>
        <v>0</v>
      </c>
      <c r="AQ634" s="88"/>
    </row>
    <row r="635" spans="5:43" x14ac:dyDescent="0.25">
      <c r="E635" s="39"/>
      <c r="F635" s="98" t="s">
        <v>1097</v>
      </c>
      <c r="G635" s="293" t="s">
        <v>74</v>
      </c>
      <c r="J635" s="476">
        <f>J173</f>
        <v>0</v>
      </c>
      <c r="K635" s="476">
        <f t="shared" ref="K635:Y635" si="217">K173</f>
        <v>0</v>
      </c>
      <c r="L635" s="476">
        <f t="shared" si="217"/>
        <v>97</v>
      </c>
      <c r="M635" s="476">
        <f t="shared" si="217"/>
        <v>0</v>
      </c>
      <c r="N635" s="476">
        <f t="shared" si="217"/>
        <v>36</v>
      </c>
      <c r="O635" s="476">
        <f t="shared" si="217"/>
        <v>16</v>
      </c>
      <c r="P635" s="476">
        <f t="shared" si="217"/>
        <v>8</v>
      </c>
      <c r="Q635" s="476">
        <f t="shared" si="217"/>
        <v>0</v>
      </c>
      <c r="R635" s="476">
        <f t="shared" si="217"/>
        <v>0</v>
      </c>
      <c r="S635" s="476">
        <f t="shared" si="217"/>
        <v>0</v>
      </c>
      <c r="T635" s="476">
        <f t="shared" si="217"/>
        <v>0</v>
      </c>
      <c r="U635" s="476">
        <f t="shared" si="217"/>
        <v>0</v>
      </c>
      <c r="V635" s="476">
        <f t="shared" si="217"/>
        <v>0</v>
      </c>
      <c r="W635" s="476">
        <f t="shared" si="217"/>
        <v>0</v>
      </c>
      <c r="X635" s="476">
        <f t="shared" si="217"/>
        <v>0</v>
      </c>
      <c r="Y635" s="476">
        <f t="shared" si="217"/>
        <v>0</v>
      </c>
      <c r="AQ635" s="88"/>
    </row>
    <row r="636" spans="5:43" x14ac:dyDescent="0.25">
      <c r="E636" s="39"/>
      <c r="F636" s="98" t="s">
        <v>1098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123</v>
      </c>
      <c r="M636" s="254">
        <f t="shared" si="218"/>
        <v>0</v>
      </c>
      <c r="N636" s="254">
        <f t="shared" si="218"/>
        <v>2</v>
      </c>
      <c r="O636" s="254">
        <f t="shared" si="218"/>
        <v>1</v>
      </c>
      <c r="P636" s="254">
        <f t="shared" si="218"/>
        <v>3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25">
      <c r="E637" s="39"/>
      <c r="F637" s="98" t="s">
        <v>1099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420</v>
      </c>
      <c r="M637" s="254">
        <f t="shared" si="219"/>
        <v>0</v>
      </c>
      <c r="N637" s="254">
        <f t="shared" si="219"/>
        <v>1</v>
      </c>
      <c r="O637" s="254">
        <f t="shared" si="219"/>
        <v>0</v>
      </c>
      <c r="P637" s="254">
        <f t="shared" si="219"/>
        <v>2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2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25">
      <c r="E639" s="39"/>
      <c r="F639" s="98" t="s">
        <v>1063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25">
      <c r="E640" s="39"/>
      <c r="F640" s="98" t="s">
        <v>1096</v>
      </c>
      <c r="G640" s="293" t="s">
        <v>169</v>
      </c>
      <c r="J640" s="476">
        <f>J165</f>
        <v>0</v>
      </c>
      <c r="K640" s="476">
        <f t="shared" ref="K640:Y640" si="221">K165</f>
        <v>0</v>
      </c>
      <c r="L640" s="476">
        <f t="shared" si="221"/>
        <v>0</v>
      </c>
      <c r="M640" s="476">
        <f t="shared" si="221"/>
        <v>0</v>
      </c>
      <c r="N640" s="476">
        <f t="shared" si="221"/>
        <v>37677</v>
      </c>
      <c r="O640" s="476">
        <f t="shared" si="221"/>
        <v>972</v>
      </c>
      <c r="P640" s="476">
        <f t="shared" si="221"/>
        <v>1084</v>
      </c>
      <c r="Q640" s="476">
        <f t="shared" si="221"/>
        <v>0</v>
      </c>
      <c r="R640" s="476">
        <f t="shared" si="221"/>
        <v>0</v>
      </c>
      <c r="S640" s="476">
        <f t="shared" si="221"/>
        <v>0</v>
      </c>
      <c r="T640" s="476">
        <f t="shared" si="221"/>
        <v>0</v>
      </c>
      <c r="U640" s="476">
        <f t="shared" si="221"/>
        <v>0</v>
      </c>
      <c r="V640" s="476">
        <f t="shared" si="221"/>
        <v>0</v>
      </c>
      <c r="W640" s="476">
        <f t="shared" si="221"/>
        <v>0</v>
      </c>
      <c r="X640" s="476">
        <f t="shared" si="221"/>
        <v>0</v>
      </c>
      <c r="Y640" s="476">
        <f t="shared" si="221"/>
        <v>0</v>
      </c>
      <c r="AQ640" s="88"/>
    </row>
    <row r="641" spans="5:43" x14ac:dyDescent="0.25">
      <c r="E641" s="39"/>
      <c r="F641" s="98" t="s">
        <v>1097</v>
      </c>
      <c r="G641" s="293" t="s">
        <v>169</v>
      </c>
      <c r="J641" s="476">
        <f>J174</f>
        <v>0</v>
      </c>
      <c r="K641" s="476">
        <f t="shared" ref="K641:Y641" si="222">K174</f>
        <v>0</v>
      </c>
      <c r="L641" s="476">
        <f t="shared" si="222"/>
        <v>0</v>
      </c>
      <c r="M641" s="476">
        <f t="shared" si="222"/>
        <v>0</v>
      </c>
      <c r="N641" s="476">
        <f t="shared" si="222"/>
        <v>22751</v>
      </c>
      <c r="O641" s="476">
        <f t="shared" si="222"/>
        <v>10957</v>
      </c>
      <c r="P641" s="476">
        <f t="shared" si="222"/>
        <v>4959</v>
      </c>
      <c r="Q641" s="476">
        <f t="shared" si="222"/>
        <v>0</v>
      </c>
      <c r="R641" s="476">
        <f t="shared" si="222"/>
        <v>0</v>
      </c>
      <c r="S641" s="476">
        <f t="shared" si="222"/>
        <v>0</v>
      </c>
      <c r="T641" s="476">
        <f t="shared" si="222"/>
        <v>0</v>
      </c>
      <c r="U641" s="476">
        <f t="shared" si="222"/>
        <v>0</v>
      </c>
      <c r="V641" s="476">
        <f t="shared" si="222"/>
        <v>0</v>
      </c>
      <c r="W641" s="476">
        <f t="shared" si="222"/>
        <v>0</v>
      </c>
      <c r="X641" s="476">
        <f t="shared" si="222"/>
        <v>0</v>
      </c>
      <c r="Y641" s="476">
        <f t="shared" si="222"/>
        <v>0</v>
      </c>
      <c r="AQ641" s="88"/>
    </row>
    <row r="642" spans="5:43" x14ac:dyDescent="0.25">
      <c r="E642" s="39"/>
      <c r="F642" s="98" t="s">
        <v>1098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2700</v>
      </c>
      <c r="O642" s="254">
        <f t="shared" si="223"/>
        <v>1500</v>
      </c>
      <c r="P642" s="254">
        <f t="shared" si="223"/>
        <v>3700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25">
      <c r="E643" s="39"/>
      <c r="F643" s="98" t="s">
        <v>1099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2000</v>
      </c>
      <c r="O643" s="254">
        <f t="shared" si="224"/>
        <v>0</v>
      </c>
      <c r="P643" s="254">
        <f t="shared" si="224"/>
        <v>4600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2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25">
      <c r="E645" s="39"/>
      <c r="F645" s="98" t="s">
        <v>1063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25">
      <c r="E646" s="39"/>
      <c r="F646" s="98" t="s">
        <v>1096</v>
      </c>
      <c r="G646" s="293" t="s">
        <v>169</v>
      </c>
      <c r="J646" s="476">
        <f>J166</f>
        <v>0</v>
      </c>
      <c r="K646" s="476">
        <f t="shared" ref="K646:Y646" si="226">K166</f>
        <v>0</v>
      </c>
      <c r="L646" s="476">
        <f t="shared" si="226"/>
        <v>0</v>
      </c>
      <c r="M646" s="476">
        <f t="shared" si="226"/>
        <v>0</v>
      </c>
      <c r="N646" s="476">
        <f t="shared" si="226"/>
        <v>31.817881709863652</v>
      </c>
      <c r="O646" s="476">
        <f t="shared" si="226"/>
        <v>0</v>
      </c>
      <c r="P646" s="476">
        <f t="shared" si="226"/>
        <v>0.61091356991796231</v>
      </c>
      <c r="Q646" s="476">
        <f t="shared" si="226"/>
        <v>0</v>
      </c>
      <c r="R646" s="476">
        <f t="shared" si="226"/>
        <v>0</v>
      </c>
      <c r="S646" s="476">
        <f t="shared" si="226"/>
        <v>0</v>
      </c>
      <c r="T646" s="476">
        <f t="shared" si="226"/>
        <v>0</v>
      </c>
      <c r="U646" s="476">
        <f t="shared" si="226"/>
        <v>0</v>
      </c>
      <c r="V646" s="476">
        <f t="shared" si="226"/>
        <v>0</v>
      </c>
      <c r="W646" s="476">
        <f t="shared" si="226"/>
        <v>0</v>
      </c>
      <c r="X646" s="476">
        <f t="shared" si="226"/>
        <v>0</v>
      </c>
      <c r="Y646" s="476">
        <f t="shared" si="226"/>
        <v>0</v>
      </c>
      <c r="AQ646" s="88"/>
    </row>
    <row r="647" spans="5:43" x14ac:dyDescent="0.25">
      <c r="E647" s="39"/>
      <c r="F647" s="98" t="s">
        <v>1097</v>
      </c>
      <c r="G647" s="293" t="s">
        <v>169</v>
      </c>
      <c r="J647" s="476">
        <f>J175</f>
        <v>0</v>
      </c>
      <c r="K647" s="476">
        <f t="shared" ref="K647:Y647" si="227">K175</f>
        <v>0</v>
      </c>
      <c r="L647" s="476">
        <f t="shared" si="227"/>
        <v>0</v>
      </c>
      <c r="M647" s="476">
        <f t="shared" si="227"/>
        <v>0</v>
      </c>
      <c r="N647" s="476">
        <f t="shared" si="227"/>
        <v>19.213011300822995</v>
      </c>
      <c r="O647" s="476">
        <f t="shared" si="227"/>
        <v>0</v>
      </c>
      <c r="P647" s="476">
        <f t="shared" si="227"/>
        <v>2.7947605103534827</v>
      </c>
      <c r="Q647" s="476">
        <f t="shared" si="227"/>
        <v>0</v>
      </c>
      <c r="R647" s="476">
        <f t="shared" si="227"/>
        <v>0</v>
      </c>
      <c r="S647" s="476">
        <f t="shared" si="227"/>
        <v>0</v>
      </c>
      <c r="T647" s="476">
        <f t="shared" si="227"/>
        <v>0</v>
      </c>
      <c r="U647" s="476">
        <f t="shared" si="227"/>
        <v>0</v>
      </c>
      <c r="V647" s="476">
        <f t="shared" si="227"/>
        <v>0</v>
      </c>
      <c r="W647" s="476">
        <f t="shared" si="227"/>
        <v>0</v>
      </c>
      <c r="X647" s="476">
        <f t="shared" si="227"/>
        <v>0</v>
      </c>
      <c r="Y647" s="476">
        <f t="shared" si="227"/>
        <v>0</v>
      </c>
      <c r="AQ647" s="88"/>
    </row>
    <row r="648" spans="5:43" x14ac:dyDescent="0.25">
      <c r="E648" s="39"/>
      <c r="F648" s="98" t="s">
        <v>1098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2.2801252917332024</v>
      </c>
      <c r="O648" s="254">
        <f t="shared" si="228"/>
        <v>0</v>
      </c>
      <c r="P648" s="254">
        <f t="shared" si="228"/>
        <v>2.085221594738432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25">
      <c r="E649" s="39"/>
      <c r="F649" s="98" t="s">
        <v>1099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1.6889816975801499</v>
      </c>
      <c r="O649" s="254">
        <f t="shared" si="229"/>
        <v>0</v>
      </c>
      <c r="P649" s="254">
        <f t="shared" si="229"/>
        <v>2.5924376583234565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2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25">
      <c r="E651" s="39"/>
      <c r="F651" s="98" t="s">
        <v>1063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36.967100000000002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25">
      <c r="E652" s="39"/>
      <c r="F652" s="98" t="s">
        <v>1096</v>
      </c>
      <c r="G652" s="293" t="s">
        <v>170</v>
      </c>
      <c r="J652" s="476">
        <f>J167</f>
        <v>0</v>
      </c>
      <c r="K652" s="476">
        <f t="shared" ref="K652:Y652" si="231">K167</f>
        <v>0</v>
      </c>
      <c r="L652" s="476">
        <f t="shared" si="231"/>
        <v>0</v>
      </c>
      <c r="M652" s="476">
        <f t="shared" si="231"/>
        <v>0</v>
      </c>
      <c r="N652" s="476">
        <f t="shared" si="231"/>
        <v>2579.3713654173321</v>
      </c>
      <c r="O652" s="476">
        <f t="shared" si="231"/>
        <v>257.47357870280734</v>
      </c>
      <c r="P652" s="476">
        <f t="shared" si="231"/>
        <v>25.730190699295822</v>
      </c>
      <c r="Q652" s="476">
        <f t="shared" si="231"/>
        <v>0</v>
      </c>
      <c r="R652" s="476">
        <f t="shared" si="231"/>
        <v>0</v>
      </c>
      <c r="S652" s="476">
        <f t="shared" si="231"/>
        <v>0</v>
      </c>
      <c r="T652" s="476">
        <f t="shared" si="231"/>
        <v>0</v>
      </c>
      <c r="U652" s="476">
        <f t="shared" si="231"/>
        <v>0</v>
      </c>
      <c r="V652" s="476">
        <f t="shared" si="231"/>
        <v>0</v>
      </c>
      <c r="W652" s="476">
        <f t="shared" si="231"/>
        <v>0</v>
      </c>
      <c r="X652" s="476">
        <f t="shared" si="231"/>
        <v>0</v>
      </c>
      <c r="Y652" s="476">
        <f t="shared" si="231"/>
        <v>0</v>
      </c>
      <c r="AQ652" s="88"/>
    </row>
    <row r="653" spans="5:43" x14ac:dyDescent="0.25">
      <c r="E653" s="39"/>
      <c r="F653" s="98" t="s">
        <v>1097</v>
      </c>
      <c r="G653" s="293" t="s">
        <v>170</v>
      </c>
      <c r="J653" s="476">
        <f>J176</f>
        <v>0</v>
      </c>
      <c r="K653" s="476">
        <f t="shared" ref="K653:Y653" si="232">K176</f>
        <v>0</v>
      </c>
      <c r="L653" s="476">
        <f t="shared" si="232"/>
        <v>0</v>
      </c>
      <c r="M653" s="476">
        <f t="shared" si="232"/>
        <v>0</v>
      </c>
      <c r="N653" s="476">
        <f t="shared" si="232"/>
        <v>1557.5358424134015</v>
      </c>
      <c r="O653" s="476">
        <f t="shared" si="232"/>
        <v>2902.4053516940949</v>
      </c>
      <c r="P653" s="476">
        <f t="shared" si="232"/>
        <v>117.70850154779335</v>
      </c>
      <c r="Q653" s="476">
        <f t="shared" si="232"/>
        <v>0</v>
      </c>
      <c r="R653" s="476">
        <f t="shared" si="232"/>
        <v>0</v>
      </c>
      <c r="S653" s="476">
        <f t="shared" si="232"/>
        <v>0</v>
      </c>
      <c r="T653" s="476">
        <f t="shared" si="232"/>
        <v>0</v>
      </c>
      <c r="U653" s="476">
        <f t="shared" si="232"/>
        <v>0</v>
      </c>
      <c r="V653" s="476">
        <f t="shared" si="232"/>
        <v>0</v>
      </c>
      <c r="W653" s="476">
        <f t="shared" si="232"/>
        <v>0</v>
      </c>
      <c r="X653" s="476">
        <f t="shared" si="232"/>
        <v>0</v>
      </c>
      <c r="Y653" s="476">
        <f t="shared" si="232"/>
        <v>0</v>
      </c>
      <c r="AQ653" s="88"/>
    </row>
    <row r="654" spans="5:43" x14ac:dyDescent="0.25">
      <c r="E654" s="39"/>
      <c r="F654" s="98" t="s">
        <v>1098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184.8422827355362</v>
      </c>
      <c r="O654" s="254">
        <f t="shared" si="233"/>
        <v>397.33576960309773</v>
      </c>
      <c r="P654" s="254">
        <f t="shared" si="233"/>
        <v>87.824451648887944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25">
      <c r="E655" s="36"/>
      <c r="F655" s="477" t="s">
        <v>1099</v>
      </c>
      <c r="G655" s="93" t="s">
        <v>170</v>
      </c>
      <c r="H655" s="93"/>
      <c r="I655" s="93"/>
      <c r="J655" s="476">
        <f>J194</f>
        <v>0</v>
      </c>
      <c r="K655" s="476">
        <f t="shared" ref="K655:Y655" si="234">K194</f>
        <v>0</v>
      </c>
      <c r="L655" s="476">
        <f t="shared" si="234"/>
        <v>0</v>
      </c>
      <c r="M655" s="476">
        <f t="shared" si="234"/>
        <v>0</v>
      </c>
      <c r="N655" s="476">
        <f t="shared" si="234"/>
        <v>136.92020943373052</v>
      </c>
      <c r="O655" s="476">
        <f t="shared" si="234"/>
        <v>0</v>
      </c>
      <c r="P655" s="476">
        <f t="shared" si="234"/>
        <v>109.18715610402288</v>
      </c>
      <c r="Q655" s="476">
        <f t="shared" si="234"/>
        <v>0</v>
      </c>
      <c r="R655" s="476">
        <f t="shared" si="234"/>
        <v>0</v>
      </c>
      <c r="S655" s="476">
        <f t="shared" si="234"/>
        <v>0</v>
      </c>
      <c r="T655" s="476">
        <f t="shared" si="234"/>
        <v>0</v>
      </c>
      <c r="U655" s="476">
        <f t="shared" si="234"/>
        <v>0</v>
      </c>
      <c r="V655" s="476">
        <f t="shared" si="234"/>
        <v>0</v>
      </c>
      <c r="W655" s="476">
        <f t="shared" si="234"/>
        <v>0</v>
      </c>
      <c r="X655" s="476">
        <f t="shared" si="234"/>
        <v>0</v>
      </c>
      <c r="Y655" s="476">
        <f t="shared" si="234"/>
        <v>0</v>
      </c>
      <c r="AQ655" s="88"/>
    </row>
    <row r="656" spans="5:43" x14ac:dyDescent="0.25">
      <c r="AQ656" s="88"/>
    </row>
    <row r="657" spans="3:43" x14ac:dyDescent="0.25">
      <c r="C657" s="7" t="str">
        <f ca="1">INDEX('Version control'!$H$34:$H$60,MATCH($A$1,'Version control'!$F$34:$F$60,0),1)&amp;"-K: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25">
      <c r="AQ658" s="88"/>
    </row>
    <row r="659" spans="3:43" x14ac:dyDescent="0.25">
      <c r="D659" s="82" t="s">
        <v>1100</v>
      </c>
      <c r="I659" s="293" t="s">
        <v>359</v>
      </c>
      <c r="AA659" s="293" t="s">
        <v>1238</v>
      </c>
      <c r="AQ659" s="88"/>
    </row>
    <row r="660" spans="3:43" x14ac:dyDescent="0.25">
      <c r="D660" s="82" t="s">
        <v>1101</v>
      </c>
      <c r="AQ660" s="88"/>
    </row>
    <row r="661" spans="3:43" x14ac:dyDescent="0.25">
      <c r="D661" s="82" t="s">
        <v>1102</v>
      </c>
      <c r="AQ661" s="88"/>
    </row>
    <row r="662" spans="3:43" x14ac:dyDescent="0.25">
      <c r="D662" s="82" t="s">
        <v>1103</v>
      </c>
      <c r="AQ662" s="88"/>
    </row>
    <row r="663" spans="3:43" x14ac:dyDescent="0.25">
      <c r="AQ663" s="88"/>
    </row>
    <row r="664" spans="3:43" x14ac:dyDescent="0.25">
      <c r="E664" s="96" t="s">
        <v>1062</v>
      </c>
      <c r="J664" s="478" t="s">
        <v>1063</v>
      </c>
      <c r="K664" s="478" t="s">
        <v>1064</v>
      </c>
      <c r="L664" s="478" t="s">
        <v>1065</v>
      </c>
      <c r="M664" s="478" t="s">
        <v>1066</v>
      </c>
      <c r="N664" s="478" t="s">
        <v>1067</v>
      </c>
      <c r="AQ664" s="88"/>
    </row>
    <row r="665" spans="3:43" x14ac:dyDescent="0.25">
      <c r="E665" s="96"/>
      <c r="F665" s="91" t="s">
        <v>199</v>
      </c>
      <c r="G665" s="91" t="s">
        <v>94</v>
      </c>
      <c r="H665" s="91"/>
      <c r="I665" s="91"/>
      <c r="J665" s="479">
        <f>'Inputs by customer type'!J172</f>
        <v>0</v>
      </c>
      <c r="K665" s="479">
        <f>'Inputs by customer type'!K172</f>
        <v>4.7273629478738102E-2</v>
      </c>
      <c r="L665" s="479">
        <f>'Inputs by customer type'!L172</f>
        <v>0.17423566478358937</v>
      </c>
      <c r="M665" s="479">
        <f>'Inputs by customer type'!M172</f>
        <v>0.20274003571102514</v>
      </c>
      <c r="N665" s="479">
        <f>'Inputs by customer type'!N172</f>
        <v>0.57575067002664737</v>
      </c>
      <c r="AQ665" s="88"/>
    </row>
    <row r="666" spans="3:43" x14ac:dyDescent="0.25">
      <c r="E666" s="96"/>
      <c r="F666" s="293" t="s">
        <v>200</v>
      </c>
      <c r="G666" s="293" t="s">
        <v>94</v>
      </c>
      <c r="J666" s="480">
        <f>'Inputs by customer type'!J173</f>
        <v>0</v>
      </c>
      <c r="K666" s="480">
        <f>'Inputs by customer type'!K173</f>
        <v>4.7273629478738102E-2</v>
      </c>
      <c r="L666" s="480">
        <f>'Inputs by customer type'!L173</f>
        <v>0.17423566478358937</v>
      </c>
      <c r="M666" s="480">
        <f>'Inputs by customer type'!M173</f>
        <v>0.20274003571102514</v>
      </c>
      <c r="N666" s="480">
        <f>'Inputs by customer type'!N173</f>
        <v>0.57575067002664737</v>
      </c>
      <c r="AQ666" s="88"/>
    </row>
    <row r="667" spans="3:43" x14ac:dyDescent="0.25">
      <c r="E667" s="96"/>
      <c r="F667" s="93" t="s">
        <v>201</v>
      </c>
      <c r="G667" s="93" t="s">
        <v>94</v>
      </c>
      <c r="H667" s="93"/>
      <c r="I667" s="93"/>
      <c r="J667" s="481">
        <f>'Inputs by customer type'!J174</f>
        <v>0</v>
      </c>
      <c r="K667" s="481">
        <f>'Inputs by customer type'!K174</f>
        <v>4.7273629478738102E-2</v>
      </c>
      <c r="L667" s="481">
        <f>'Inputs by customer type'!L174</f>
        <v>0.17423566478358937</v>
      </c>
      <c r="M667" s="481">
        <f>'Inputs by customer type'!M174</f>
        <v>0.20274003571102514</v>
      </c>
      <c r="N667" s="481">
        <f>'Inputs by customer type'!N174</f>
        <v>0.57575067002664737</v>
      </c>
      <c r="AQ667" s="88"/>
    </row>
    <row r="668" spans="3:43" x14ac:dyDescent="0.25">
      <c r="E668" s="96"/>
      <c r="AQ668" s="88"/>
    </row>
    <row r="669" spans="3:43" x14ac:dyDescent="0.25">
      <c r="E669" s="96" t="s">
        <v>1068</v>
      </c>
      <c r="J669" s="478" t="s">
        <v>1063</v>
      </c>
      <c r="K669" s="478" t="s">
        <v>1064</v>
      </c>
      <c r="L669" s="478" t="s">
        <v>1065</v>
      </c>
      <c r="M669" s="478" t="s">
        <v>1066</v>
      </c>
      <c r="N669" s="478" t="s">
        <v>1067</v>
      </c>
      <c r="AQ669" s="88"/>
    </row>
    <row r="670" spans="3:43" x14ac:dyDescent="0.25">
      <c r="E670" s="96"/>
      <c r="F670" s="91" t="s">
        <v>199</v>
      </c>
      <c r="G670" s="91" t="s">
        <v>94</v>
      </c>
      <c r="H670" s="91"/>
      <c r="I670" s="91"/>
      <c r="J670" s="479">
        <f>'Inputs by customer type'!J177</f>
        <v>0</v>
      </c>
      <c r="K670" s="479">
        <f>'Inputs by customer type'!K177</f>
        <v>4.7273629478738102E-2</v>
      </c>
      <c r="L670" s="479">
        <f>'Inputs by customer type'!L177</f>
        <v>0.17423566478358937</v>
      </c>
      <c r="M670" s="479">
        <f>'Inputs by customer type'!M177</f>
        <v>0.20274003571102514</v>
      </c>
      <c r="N670" s="479">
        <f>'Inputs by customer type'!N177</f>
        <v>0.57575067002664737</v>
      </c>
      <c r="AQ670" s="88"/>
    </row>
    <row r="671" spans="3:43" x14ac:dyDescent="0.25">
      <c r="E671" s="96"/>
      <c r="F671" s="293" t="s">
        <v>200</v>
      </c>
      <c r="G671" s="293" t="s">
        <v>94</v>
      </c>
      <c r="J671" s="480">
        <f>'Inputs by customer type'!J178</f>
        <v>0</v>
      </c>
      <c r="K671" s="480">
        <f>'Inputs by customer type'!K178</f>
        <v>4.7273629478738102E-2</v>
      </c>
      <c r="L671" s="480">
        <f>'Inputs by customer type'!L178</f>
        <v>0.17423566478358937</v>
      </c>
      <c r="M671" s="480">
        <f>'Inputs by customer type'!M178</f>
        <v>0.20274003571102514</v>
      </c>
      <c r="N671" s="480">
        <f>'Inputs by customer type'!N178</f>
        <v>0.57575067002664737</v>
      </c>
      <c r="AQ671" s="88"/>
    </row>
    <row r="672" spans="3:43" x14ac:dyDescent="0.25">
      <c r="E672" s="96"/>
      <c r="F672" s="93" t="s">
        <v>201</v>
      </c>
      <c r="G672" s="93" t="s">
        <v>94</v>
      </c>
      <c r="H672" s="93"/>
      <c r="I672" s="93"/>
      <c r="J672" s="481">
        <f>'Inputs by customer type'!J179</f>
        <v>0</v>
      </c>
      <c r="K672" s="481">
        <f>'Inputs by customer type'!K179</f>
        <v>4.7273629478738102E-2</v>
      </c>
      <c r="L672" s="481">
        <f>'Inputs by customer type'!L179</f>
        <v>0.17423566478358937</v>
      </c>
      <c r="M672" s="481">
        <f>'Inputs by customer type'!M179</f>
        <v>0.20274003571102514</v>
      </c>
      <c r="N672" s="481">
        <f>'Inputs by customer type'!N179</f>
        <v>0.57575067002664737</v>
      </c>
      <c r="AQ672" s="88"/>
    </row>
    <row r="673" spans="5:43" x14ac:dyDescent="0.25">
      <c r="E673" s="96"/>
      <c r="AQ673" s="88"/>
    </row>
    <row r="674" spans="5:43" x14ac:dyDescent="0.25">
      <c r="E674" s="96" t="s">
        <v>1069</v>
      </c>
      <c r="J674" s="478" t="s">
        <v>1063</v>
      </c>
      <c r="K674" s="478" t="s">
        <v>1064</v>
      </c>
      <c r="L674" s="478" t="s">
        <v>1065</v>
      </c>
      <c r="M674" s="478" t="s">
        <v>1066</v>
      </c>
      <c r="N674" s="478" t="s">
        <v>1067</v>
      </c>
      <c r="AQ674" s="88"/>
    </row>
    <row r="675" spans="5:43" x14ac:dyDescent="0.25">
      <c r="F675" s="91" t="s">
        <v>199</v>
      </c>
      <c r="G675" s="91" t="s">
        <v>94</v>
      </c>
      <c r="H675" s="91"/>
      <c r="I675" s="91"/>
      <c r="J675" s="479">
        <f>'Inputs by customer type'!J182</f>
        <v>0</v>
      </c>
      <c r="K675" s="479">
        <f>'Inputs by customer type'!K182</f>
        <v>4.7273629478738102E-2</v>
      </c>
      <c r="L675" s="479">
        <f>'Inputs by customer type'!L182</f>
        <v>0.17423566478358937</v>
      </c>
      <c r="M675" s="479">
        <f>'Inputs by customer type'!M182</f>
        <v>0.20274003571102514</v>
      </c>
      <c r="N675" s="479">
        <f>'Inputs by customer type'!N182</f>
        <v>0.57575067002664737</v>
      </c>
      <c r="AQ675" s="88"/>
    </row>
    <row r="676" spans="5:43" x14ac:dyDescent="0.25">
      <c r="F676" s="293" t="s">
        <v>200</v>
      </c>
      <c r="G676" s="293" t="s">
        <v>94</v>
      </c>
      <c r="J676" s="480">
        <f>'Inputs by customer type'!J183</f>
        <v>0</v>
      </c>
      <c r="K676" s="480">
        <f>'Inputs by customer type'!K183</f>
        <v>4.7273629478738102E-2</v>
      </c>
      <c r="L676" s="480">
        <f>'Inputs by customer type'!L183</f>
        <v>0.17423566478358937</v>
      </c>
      <c r="M676" s="480">
        <f>'Inputs by customer type'!M183</f>
        <v>0.20274003571102514</v>
      </c>
      <c r="N676" s="480">
        <f>'Inputs by customer type'!N183</f>
        <v>0.57575067002664737</v>
      </c>
      <c r="AQ676" s="88"/>
    </row>
    <row r="677" spans="5:43" x14ac:dyDescent="0.25">
      <c r="F677" s="93" t="s">
        <v>201</v>
      </c>
      <c r="G677" s="93" t="s">
        <v>94</v>
      </c>
      <c r="H677" s="93"/>
      <c r="I677" s="93"/>
      <c r="J677" s="481">
        <f>'Inputs by customer type'!J184</f>
        <v>0</v>
      </c>
      <c r="K677" s="481">
        <f>'Inputs by customer type'!K184</f>
        <v>4.7273629478738102E-2</v>
      </c>
      <c r="L677" s="481">
        <f>'Inputs by customer type'!L184</f>
        <v>0.17423566478358937</v>
      </c>
      <c r="M677" s="481">
        <f>'Inputs by customer type'!M184</f>
        <v>0.20274003571102514</v>
      </c>
      <c r="N677" s="481">
        <f>'Inputs by customer type'!N184</f>
        <v>0.57575067002664737</v>
      </c>
      <c r="AQ677" s="88"/>
    </row>
    <row r="678" spans="5:43" x14ac:dyDescent="0.25">
      <c r="AQ678" s="88"/>
    </row>
    <row r="679" spans="5:43" x14ac:dyDescent="0.25">
      <c r="E679" s="96" t="s">
        <v>1104</v>
      </c>
      <c r="J679" s="478" t="s">
        <v>1063</v>
      </c>
      <c r="K679" s="478" t="s">
        <v>1064</v>
      </c>
      <c r="L679" s="478" t="s">
        <v>1065</v>
      </c>
      <c r="M679" s="478" t="s">
        <v>1066</v>
      </c>
      <c r="N679" s="478" t="s">
        <v>1067</v>
      </c>
      <c r="AQ679" s="88"/>
    </row>
    <row r="680" spans="5:43" x14ac:dyDescent="0.25">
      <c r="F680" s="91" t="s">
        <v>199</v>
      </c>
      <c r="G680" s="91" t="s">
        <v>120</v>
      </c>
      <c r="H680" s="91"/>
      <c r="I680" s="91"/>
      <c r="J680" s="482">
        <f t="shared" ref="J680:N682" si="235" xml:space="preserve"> $M58 * J665  + $M105 * J670 + $M152 * J675</f>
        <v>0</v>
      </c>
      <c r="K680" s="482">
        <f t="shared" si="235"/>
        <v>0.28944214629651677</v>
      </c>
      <c r="L680" s="482">
        <f t="shared" si="235"/>
        <v>1.0667923180944792</v>
      </c>
      <c r="M680" s="482">
        <f t="shared" si="235"/>
        <v>1.2413159667129918</v>
      </c>
      <c r="N680" s="482">
        <f t="shared" si="235"/>
        <v>3.5251473496258994</v>
      </c>
      <c r="AQ680" s="88"/>
    </row>
    <row r="681" spans="5:43" x14ac:dyDescent="0.25">
      <c r="F681" s="293" t="s">
        <v>200</v>
      </c>
      <c r="G681" s="293" t="s">
        <v>120</v>
      </c>
      <c r="J681" s="483">
        <f t="shared" si="235"/>
        <v>0</v>
      </c>
      <c r="K681" s="483">
        <f t="shared" si="235"/>
        <v>14.938386805926207</v>
      </c>
      <c r="L681" s="483">
        <f t="shared" si="235"/>
        <v>55.058174813837688</v>
      </c>
      <c r="M681" s="483">
        <f t="shared" si="235"/>
        <v>64.065507723724494</v>
      </c>
      <c r="N681" s="483">
        <f t="shared" si="235"/>
        <v>181.9362360678812</v>
      </c>
      <c r="AQ681" s="88"/>
    </row>
    <row r="682" spans="5:43" x14ac:dyDescent="0.25">
      <c r="F682" s="93" t="s">
        <v>201</v>
      </c>
      <c r="G682" s="93" t="s">
        <v>120</v>
      </c>
      <c r="H682" s="93"/>
      <c r="I682" s="93"/>
      <c r="J682" s="484">
        <f t="shared" si="235"/>
        <v>0</v>
      </c>
      <c r="K682" s="484">
        <f t="shared" si="235"/>
        <v>180.70948782188353</v>
      </c>
      <c r="L682" s="484">
        <f t="shared" si="235"/>
        <v>666.03808699539479</v>
      </c>
      <c r="M682" s="484">
        <f t="shared" si="235"/>
        <v>774.99968625865074</v>
      </c>
      <c r="N682" s="484">
        <f t="shared" si="235"/>
        <v>2200.8804875118931</v>
      </c>
      <c r="AQ682" s="88"/>
    </row>
    <row r="683" spans="5:43" x14ac:dyDescent="0.25">
      <c r="J683" s="252"/>
      <c r="K683" s="252"/>
      <c r="L683" s="252"/>
      <c r="M683" s="252"/>
      <c r="N683" s="252"/>
      <c r="AQ683" s="88"/>
    </row>
    <row r="684" spans="5:43" x14ac:dyDescent="0.25">
      <c r="J684" s="485" t="s">
        <v>1063</v>
      </c>
      <c r="K684" s="485" t="s">
        <v>1064</v>
      </c>
      <c r="L684" s="485" t="s">
        <v>1065</v>
      </c>
      <c r="M684" s="485" t="s">
        <v>1066</v>
      </c>
      <c r="N684" s="485" t="s">
        <v>1067</v>
      </c>
      <c r="AQ684" s="88"/>
    </row>
    <row r="685" spans="5:43" x14ac:dyDescent="0.25">
      <c r="E685" s="372" t="s">
        <v>1105</v>
      </c>
      <c r="G685" s="293" t="s">
        <v>120</v>
      </c>
      <c r="J685" s="252">
        <f>SUM(J680:J682)</f>
        <v>0</v>
      </c>
      <c r="K685" s="252">
        <f>SUM(K680:K682)</f>
        <v>195.93731677410625</v>
      </c>
      <c r="L685" s="252">
        <f t="shared" ref="L685:N685" si="236">SUM(L680:L682)</f>
        <v>722.16305412732697</v>
      </c>
      <c r="M685" s="252">
        <f t="shared" si="236"/>
        <v>840.30650994908819</v>
      </c>
      <c r="N685" s="252">
        <f t="shared" si="236"/>
        <v>2386.3418709294001</v>
      </c>
      <c r="AQ685" s="88"/>
    </row>
    <row r="686" spans="5:43" x14ac:dyDescent="0.25">
      <c r="J686" s="252"/>
      <c r="K686" s="252"/>
      <c r="L686" s="252"/>
      <c r="M686" s="252"/>
      <c r="N686" s="252"/>
      <c r="AQ686" s="88"/>
    </row>
    <row r="687" spans="5:43" x14ac:dyDescent="0.25">
      <c r="E687" s="293" t="s">
        <v>1106</v>
      </c>
      <c r="G687" s="293" t="s">
        <v>120</v>
      </c>
      <c r="H687" s="252">
        <f>SUM(J685:N685)</f>
        <v>4144.7487517799218</v>
      </c>
      <c r="AQ687" s="88"/>
    </row>
    <row r="688" spans="5:43" x14ac:dyDescent="0.25">
      <c r="J688" s="485" t="s">
        <v>1063</v>
      </c>
      <c r="K688" s="485" t="s">
        <v>1064</v>
      </c>
      <c r="L688" s="485" t="s">
        <v>1065</v>
      </c>
      <c r="M688" s="485" t="s">
        <v>1066</v>
      </c>
      <c r="N688" s="485" t="s">
        <v>1067</v>
      </c>
      <c r="AQ688" s="88"/>
    </row>
    <row r="689" spans="2:43" x14ac:dyDescent="0.25">
      <c r="E689" s="372" t="s">
        <v>1104</v>
      </c>
      <c r="G689" s="293" t="s">
        <v>94</v>
      </c>
      <c r="J689" s="17">
        <f>IF($H687 &lt;&gt; 0, J685/$H687, 0)</f>
        <v>0</v>
      </c>
      <c r="K689" s="17">
        <f>IF($H687 &lt;&gt; 0, K685/$H687, 0)</f>
        <v>4.7273629478738095E-2</v>
      </c>
      <c r="L689" s="17">
        <f>IF($H687 &lt;&gt; 0, L685/$H687, 0)</f>
        <v>0.17423566478358937</v>
      </c>
      <c r="M689" s="17">
        <f>IF($H687 &lt;&gt; 0, M685/$H687, 0)</f>
        <v>0.20274003571102514</v>
      </c>
      <c r="N689" s="17">
        <f>IF($H687 &lt;&gt; 0, N685/$H687, 0)</f>
        <v>0.57575067002664737</v>
      </c>
      <c r="AQ689" s="88"/>
    </row>
    <row r="690" spans="2:43" x14ac:dyDescent="0.25">
      <c r="AQ690" s="88"/>
    </row>
    <row r="691" spans="2:43" x14ac:dyDescent="0.2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25">
      <c r="E693" s="293" t="s">
        <v>416</v>
      </c>
      <c r="G693" s="122" t="s">
        <v>589</v>
      </c>
      <c r="H693" s="310">
        <f t="array" ref="H693">SUM(IF(ISERROR(H22:Y309), 1))</f>
        <v>0</v>
      </c>
    </row>
    <row r="695" spans="2:43" x14ac:dyDescent="0.2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00000000-0002-0000-1400-000000000000}">
      <formula1>0</formula1>
    </dataValidation>
    <dataValidation type="decimal" operator="greaterThanOrEqual" allowBlank="1" showInputMessage="1" showErrorMessage="1" sqref="Y198:Y223" xr:uid="{00000000-0002-0000-1400-000001000000}">
      <formula1>0</formula1>
    </dataValidation>
  </dataValidations>
  <hyperlinks>
    <hyperlink ref="B5:F5" location="'Model map'!A1" display="Click here to return to model map" xr:uid="{00000000-0004-0000-14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6" width="24.5703125" style="293" hidden="1" customWidth="1"/>
    <col min="307" max="16384" width="8.7109375" style="293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367" t="s">
        <v>91</v>
      </c>
      <c r="H5" s="382" t="s">
        <v>92</v>
      </c>
      <c r="I5" s="111"/>
      <c r="J5" s="382" t="s">
        <v>928</v>
      </c>
      <c r="K5" s="382" t="s">
        <v>929</v>
      </c>
      <c r="L5" s="382" t="s">
        <v>930</v>
      </c>
      <c r="M5" s="382" t="s">
        <v>931</v>
      </c>
      <c r="N5" s="382" t="s">
        <v>932</v>
      </c>
      <c r="O5" s="382" t="s">
        <v>933</v>
      </c>
      <c r="P5" s="382" t="s">
        <v>934</v>
      </c>
      <c r="Q5" s="382" t="s">
        <v>935</v>
      </c>
      <c r="R5" s="382" t="s">
        <v>936</v>
      </c>
      <c r="S5" s="382" t="s">
        <v>937</v>
      </c>
      <c r="T5" s="382" t="s">
        <v>938</v>
      </c>
      <c r="U5" s="382" t="s">
        <v>939</v>
      </c>
      <c r="V5" s="382" t="s">
        <v>940</v>
      </c>
      <c r="W5" s="382" t="s">
        <v>941</v>
      </c>
      <c r="X5" s="382" t="s">
        <v>942</v>
      </c>
      <c r="Y5" s="382" t="s">
        <v>943</v>
      </c>
      <c r="AA5" s="367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957</v>
      </c>
    </row>
    <row r="10" spans="1:27" x14ac:dyDescent="0.25">
      <c r="C10" s="82" t="s">
        <v>762</v>
      </c>
    </row>
    <row r="11" spans="1:27" x14ac:dyDescent="0.25">
      <c r="C11" s="82" t="s">
        <v>763</v>
      </c>
    </row>
    <row r="13" spans="1:27" x14ac:dyDescent="0.25">
      <c r="B13" s="95" t="s">
        <v>759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948</v>
      </c>
      <c r="I15" s="293" t="s">
        <v>359</v>
      </c>
      <c r="AA15" s="293" t="s">
        <v>949</v>
      </c>
    </row>
    <row r="16" spans="1:27" x14ac:dyDescent="0.25">
      <c r="C16" s="82" t="s">
        <v>764</v>
      </c>
    </row>
    <row r="18" spans="3:27" x14ac:dyDescent="0.25">
      <c r="C18" s="7" t="str">
        <f ca="1">INDEX('Version control'!$H$34:$H$60,MATCH($A$1,'Version control'!$F$34:$F$60,0),1)&amp;"-A: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63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25">
      <c r="E22" s="96" t="s">
        <v>240</v>
      </c>
      <c r="I22" s="293" t="s">
        <v>359</v>
      </c>
      <c r="AA22" s="293" t="s">
        <v>715</v>
      </c>
    </row>
    <row r="23" spans="3:27" x14ac:dyDescent="0.25">
      <c r="E23" s="82" t="s">
        <v>340</v>
      </c>
      <c r="F23" s="82"/>
    </row>
    <row r="24" spans="3:27" x14ac:dyDescent="0.2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783</v>
      </c>
      <c r="K24" s="272">
        <f>IF(K$20, 'General inputs'!$H19, 'General inputs'!$H24)</f>
        <v>783</v>
      </c>
      <c r="L24" s="272">
        <f>IF(L$20, 'General inputs'!$H19, 'General inputs'!$H24)</f>
        <v>783</v>
      </c>
      <c r="M24" s="272">
        <f>IF(M$20, 'General inputs'!$H19, 'General inputs'!$H24)</f>
        <v>783</v>
      </c>
      <c r="N24" s="272">
        <f>IF(N$20, 'General inputs'!$H19, 'General inputs'!$H24)</f>
        <v>783</v>
      </c>
      <c r="O24" s="272">
        <f>IF(O$20, 'General inputs'!$H19, 'General inputs'!$H24)</f>
        <v>783</v>
      </c>
      <c r="P24" s="272">
        <f>IF(P$20, 'General inputs'!$H19, 'General inputs'!$H24)</f>
        <v>783</v>
      </c>
      <c r="Q24" s="272">
        <f>IF(Q$20, 'General inputs'!$H19, 'General inputs'!$H24)</f>
        <v>258</v>
      </c>
      <c r="R24" s="272">
        <f>IF(R$20, 'General inputs'!$H19, 'General inputs'!$H24)</f>
        <v>783</v>
      </c>
      <c r="S24" s="272">
        <f>IF(S$20, 'General inputs'!$H19, 'General inputs'!$H24)</f>
        <v>783</v>
      </c>
      <c r="T24" s="272">
        <f>IF(T$20, 'General inputs'!$H19, 'General inputs'!$H24)</f>
        <v>783</v>
      </c>
      <c r="U24" s="272">
        <f>IF(U$20, 'General inputs'!$H19, 'General inputs'!$H24)</f>
        <v>783</v>
      </c>
      <c r="V24" s="272">
        <f>IF(V$20, 'General inputs'!$H19, 'General inputs'!$H24)</f>
        <v>783</v>
      </c>
      <c r="W24" s="272">
        <f>IF(W$20, 'General inputs'!$H19, 'General inputs'!$H24)</f>
        <v>783</v>
      </c>
      <c r="X24" s="272">
        <f>IF(X$20, 'General inputs'!$H19, 'General inputs'!$H24)</f>
        <v>783</v>
      </c>
      <c r="Y24" s="272">
        <f>IF(Y$20, 'General inputs'!$H19, 'General inputs'!$H24)</f>
        <v>783</v>
      </c>
    </row>
    <row r="25" spans="3:27" x14ac:dyDescent="0.25">
      <c r="F25" s="14" t="s">
        <v>244</v>
      </c>
      <c r="G25" s="293" t="s">
        <v>210</v>
      </c>
      <c r="H25" s="392"/>
      <c r="I25" s="392"/>
      <c r="J25" s="273">
        <f>IF(J$20, 'General inputs'!$H20, 'General inputs'!$H25)</f>
        <v>3417.5</v>
      </c>
      <c r="K25" s="273">
        <f>IF(K$20, 'General inputs'!$H20, 'General inputs'!$H25)</f>
        <v>3417.5</v>
      </c>
      <c r="L25" s="273">
        <f>IF(L$20, 'General inputs'!$H20, 'General inputs'!$H25)</f>
        <v>3417.5</v>
      </c>
      <c r="M25" s="273">
        <f>IF(M$20, 'General inputs'!$H20, 'General inputs'!$H25)</f>
        <v>3417.5</v>
      </c>
      <c r="N25" s="273">
        <f>IF(N$20, 'General inputs'!$H20, 'General inputs'!$H25)</f>
        <v>3417.5</v>
      </c>
      <c r="O25" s="273">
        <f>IF(O$20, 'General inputs'!$H20, 'General inputs'!$H25)</f>
        <v>3417.5</v>
      </c>
      <c r="P25" s="273">
        <f>IF(P$20, 'General inputs'!$H20, 'General inputs'!$H25)</f>
        <v>3417.5</v>
      </c>
      <c r="Q25" s="273">
        <f>IF(Q$20, 'General inputs'!$H20, 'General inputs'!$H25)</f>
        <v>3942.5</v>
      </c>
      <c r="R25" s="273">
        <f>IF(R$20, 'General inputs'!$H20, 'General inputs'!$H25)</f>
        <v>3417.5</v>
      </c>
      <c r="S25" s="273">
        <f>IF(S$20, 'General inputs'!$H20, 'General inputs'!$H25)</f>
        <v>3417.5</v>
      </c>
      <c r="T25" s="273">
        <f>IF(T$20, 'General inputs'!$H20, 'General inputs'!$H25)</f>
        <v>3417.5</v>
      </c>
      <c r="U25" s="273">
        <f>IF(U$20, 'General inputs'!$H20, 'General inputs'!$H25)</f>
        <v>3417.5</v>
      </c>
      <c r="V25" s="273">
        <f>IF(V$20, 'General inputs'!$H20, 'General inputs'!$H25)</f>
        <v>3417.5</v>
      </c>
      <c r="W25" s="273">
        <f>IF(W$20, 'General inputs'!$H20, 'General inputs'!$H25)</f>
        <v>3417.5</v>
      </c>
      <c r="X25" s="273">
        <f>IF(X$20, 'General inputs'!$H20, 'General inputs'!$H25)</f>
        <v>3417.5</v>
      </c>
      <c r="Y25" s="273">
        <f>IF(Y$20, 'General inputs'!$H20, 'General inputs'!$H25)</f>
        <v>3417.5</v>
      </c>
    </row>
    <row r="26" spans="3:27" x14ac:dyDescent="0.2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4559.5</v>
      </c>
      <c r="K26" s="274">
        <f>IF(K$20, 'General inputs'!$H21, 'General inputs'!$H26)</f>
        <v>4559.5</v>
      </c>
      <c r="L26" s="274">
        <f>IF(L$20, 'General inputs'!$H21, 'General inputs'!$H26)</f>
        <v>4559.5</v>
      </c>
      <c r="M26" s="274">
        <f>IF(M$20, 'General inputs'!$H21, 'General inputs'!$H26)</f>
        <v>4559.5</v>
      </c>
      <c r="N26" s="274">
        <f>IF(N$20, 'General inputs'!$H21, 'General inputs'!$H26)</f>
        <v>4559.5</v>
      </c>
      <c r="O26" s="274">
        <f>IF(O$20, 'General inputs'!$H21, 'General inputs'!$H26)</f>
        <v>4559.5</v>
      </c>
      <c r="P26" s="274">
        <f>IF(P$20, 'General inputs'!$H21, 'General inputs'!$H26)</f>
        <v>4559.5</v>
      </c>
      <c r="Q26" s="274">
        <f>IF(Q$20, 'General inputs'!$H21, 'General inputs'!$H26)</f>
        <v>4559.5</v>
      </c>
      <c r="R26" s="274">
        <f>IF(R$20, 'General inputs'!$H21, 'General inputs'!$H26)</f>
        <v>4559.5</v>
      </c>
      <c r="S26" s="274">
        <f>IF(S$20, 'General inputs'!$H21, 'General inputs'!$H26)</f>
        <v>4559.5</v>
      </c>
      <c r="T26" s="274">
        <f>IF(T$20, 'General inputs'!$H21, 'General inputs'!$H26)</f>
        <v>4559.5</v>
      </c>
      <c r="U26" s="274">
        <f>IF(U$20, 'General inputs'!$H21, 'General inputs'!$H26)</f>
        <v>4559.5</v>
      </c>
      <c r="V26" s="274">
        <f>IF(V$20, 'General inputs'!$H21, 'General inputs'!$H26)</f>
        <v>4559.5</v>
      </c>
      <c r="W26" s="274">
        <f>IF(W$20, 'General inputs'!$H21, 'General inputs'!$H26)</f>
        <v>4559.5</v>
      </c>
      <c r="X26" s="274">
        <f>IF(X$20, 'General inputs'!$H21, 'General inputs'!$H26)</f>
        <v>4559.5</v>
      </c>
      <c r="Y26" s="274">
        <f>IF(Y$20, 'General inputs'!$H21, 'General inputs'!$H26)</f>
        <v>4559.5</v>
      </c>
    </row>
    <row r="27" spans="3:27" x14ac:dyDescent="0.2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25">
      <c r="C28" s="7" t="str">
        <f ca="1">INDEX('Version control'!$H$34:$H$60,MATCH($A$1,'Version control'!$F$34:$F$60,0),1)&amp;"-B: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25">
      <c r="F31" s="16" t="s">
        <v>134</v>
      </c>
      <c r="G31" s="16" t="s">
        <v>120</v>
      </c>
      <c r="H31" s="91"/>
      <c r="I31" s="91"/>
      <c r="J31" s="272">
        <f>'Volume adjustments'!J238</f>
        <v>655475.49579930119</v>
      </c>
      <c r="K31" s="272">
        <f>'Volume adjustments'!K238</f>
        <v>50.685541167972772</v>
      </c>
      <c r="L31" s="272">
        <f>'Volume adjustments'!L238</f>
        <v>129890.63793144963</v>
      </c>
      <c r="M31" s="272">
        <f>'Volume adjustments'!M238</f>
        <v>6.1226977807298875</v>
      </c>
      <c r="N31" s="272">
        <f>'Volume adjustments'!N238</f>
        <v>90494.543380362695</v>
      </c>
      <c r="O31" s="272">
        <f>'Volume adjustments'!O238</f>
        <v>106265.0572651184</v>
      </c>
      <c r="P31" s="272">
        <f>'Volume adjustments'!P238</f>
        <v>167784.61332976178</v>
      </c>
      <c r="Q31" s="272">
        <f>'Volume adjustments'!Q238</f>
        <v>6455.2183475278016</v>
      </c>
      <c r="R31" s="272">
        <f>'Volume adjustments'!R238</f>
        <v>138.20714502602834</v>
      </c>
      <c r="S31" s="272">
        <f>'Volume adjustments'!S238</f>
        <v>19.850977162721037</v>
      </c>
      <c r="T31" s="272">
        <f>'Volume adjustments'!T238</f>
        <v>4652.727973052467</v>
      </c>
      <c r="U31" s="272">
        <f>'Volume adjustments'!U238</f>
        <v>0</v>
      </c>
      <c r="V31" s="272">
        <f>'Volume adjustments'!V238</f>
        <v>1319.5926901394901</v>
      </c>
      <c r="W31" s="272">
        <f>'Volume adjustments'!W238</f>
        <v>0</v>
      </c>
      <c r="X31" s="272">
        <f>'Volume adjustments'!X238</f>
        <v>42346.377102139319</v>
      </c>
      <c r="Y31" s="272">
        <f>'Volume adjustments'!Y238</f>
        <v>0</v>
      </c>
    </row>
    <row r="32" spans="3:27" x14ac:dyDescent="0.25">
      <c r="F32" s="14" t="s">
        <v>135</v>
      </c>
      <c r="G32" s="14" t="s">
        <v>120</v>
      </c>
      <c r="J32" s="273">
        <f>'Volume adjustments'!J249</f>
        <v>2319857.7445436521</v>
      </c>
      <c r="K32" s="273">
        <f>'Volume adjustments'!K249</f>
        <v>876.88932002307558</v>
      </c>
      <c r="L32" s="273">
        <f>'Volume adjustments'!L249</f>
        <v>682828.92734950723</v>
      </c>
      <c r="M32" s="273">
        <f>'Volume adjustments'!M249</f>
        <v>315.99830541136959</v>
      </c>
      <c r="N32" s="273">
        <f>'Volume adjustments'!N249</f>
        <v>410708.88779755548</v>
      </c>
      <c r="O32" s="273">
        <f>'Volume adjustments'!O249</f>
        <v>513416.32494007854</v>
      </c>
      <c r="P32" s="273">
        <f>'Volume adjustments'!P249</f>
        <v>769034.73915177863</v>
      </c>
      <c r="Q32" s="273">
        <f>'Volume adjustments'!Q249</f>
        <v>52643.235695354182</v>
      </c>
      <c r="R32" s="273">
        <f>'Volume adjustments'!R249</f>
        <v>675.42262204083556</v>
      </c>
      <c r="S32" s="273">
        <f>'Volume adjustments'!S249</f>
        <v>89.283262919470644</v>
      </c>
      <c r="T32" s="273">
        <f>'Volume adjustments'!T249</f>
        <v>22397.414037263683</v>
      </c>
      <c r="U32" s="273">
        <f>'Volume adjustments'!U249</f>
        <v>0</v>
      </c>
      <c r="V32" s="273">
        <f>'Volume adjustments'!V249</f>
        <v>5938.0182101575592</v>
      </c>
      <c r="W32" s="273">
        <f>'Volume adjustments'!W249</f>
        <v>0</v>
      </c>
      <c r="X32" s="273">
        <f>'Volume adjustments'!X249</f>
        <v>169950.37671525255</v>
      </c>
      <c r="Y32" s="273">
        <f>'Volume adjustments'!Y249</f>
        <v>0</v>
      </c>
    </row>
    <row r="33" spans="3:27" x14ac:dyDescent="0.25">
      <c r="F33" s="14" t="s">
        <v>136</v>
      </c>
      <c r="G33" s="14" t="s">
        <v>120</v>
      </c>
      <c r="J33" s="273">
        <f>'Volume adjustments'!J260</f>
        <v>2183608.0375141334</v>
      </c>
      <c r="K33" s="273">
        <f>'Volume adjustments'!K260</f>
        <v>11792.873278266205</v>
      </c>
      <c r="L33" s="273">
        <f>'Volume adjustments'!L260</f>
        <v>661276.83044341789</v>
      </c>
      <c r="M33" s="273">
        <f>'Volume adjustments'!M260</f>
        <v>3822.6277485878222</v>
      </c>
      <c r="N33" s="273">
        <f>'Volume adjustments'!N260</f>
        <v>353977.81810719153</v>
      </c>
      <c r="O33" s="273">
        <f>'Volume adjustments'!O260</f>
        <v>454600.96262621705</v>
      </c>
      <c r="P33" s="273">
        <f>'Volume adjustments'!P260</f>
        <v>834326.32374028722</v>
      </c>
      <c r="Q33" s="273">
        <f>'Volume adjustments'!Q260</f>
        <v>88973.638885898574</v>
      </c>
      <c r="R33" s="273">
        <f>'Volume adjustments'!R260</f>
        <v>734.62430353180275</v>
      </c>
      <c r="S33" s="273">
        <f>'Volume adjustments'!S260</f>
        <v>112.33780697547499</v>
      </c>
      <c r="T33" s="273">
        <f>'Volume adjustments'!T260</f>
        <v>25989.195328374855</v>
      </c>
      <c r="U33" s="273">
        <f>'Volume adjustments'!U260</f>
        <v>0</v>
      </c>
      <c r="V33" s="273">
        <f>'Volume adjustments'!V260</f>
        <v>7475.1781511239524</v>
      </c>
      <c r="W33" s="273">
        <f>'Volume adjustments'!W260</f>
        <v>0</v>
      </c>
      <c r="X33" s="273">
        <f>'Volume adjustments'!X260</f>
        <v>176946.04662843214</v>
      </c>
      <c r="Y33" s="273">
        <f>'Volume adjustments'!Y260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0">
        <f t="shared" ref="J34:Y34" si="0">SUM(J31:J33)</f>
        <v>5158941.2778570866</v>
      </c>
      <c r="K34" s="270">
        <f t="shared" si="0"/>
        <v>12720.448139457252</v>
      </c>
      <c r="L34" s="270">
        <f t="shared" si="0"/>
        <v>1473996.3957243748</v>
      </c>
      <c r="M34" s="270">
        <f t="shared" si="0"/>
        <v>4144.7487517799218</v>
      </c>
      <c r="N34" s="270">
        <f t="shared" si="0"/>
        <v>855181.24928510969</v>
      </c>
      <c r="O34" s="270">
        <f t="shared" si="0"/>
        <v>1074282.3448314141</v>
      </c>
      <c r="P34" s="270">
        <f t="shared" si="0"/>
        <v>1771145.6762218275</v>
      </c>
      <c r="Q34" s="270">
        <f t="shared" si="0"/>
        <v>148072.09292878056</v>
      </c>
      <c r="R34" s="270">
        <f t="shared" si="0"/>
        <v>1548.2540705986667</v>
      </c>
      <c r="S34" s="270">
        <f t="shared" si="0"/>
        <v>221.47204705766666</v>
      </c>
      <c r="T34" s="270">
        <f t="shared" si="0"/>
        <v>53039.33733869101</v>
      </c>
      <c r="U34" s="270">
        <f t="shared" si="0"/>
        <v>0</v>
      </c>
      <c r="V34" s="270">
        <f t="shared" si="0"/>
        <v>14732.789051421001</v>
      </c>
      <c r="W34" s="270">
        <f t="shared" si="0"/>
        <v>0</v>
      </c>
      <c r="X34" s="270">
        <f t="shared" si="0"/>
        <v>389242.80044582405</v>
      </c>
      <c r="Y34" s="270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control'!$H$34:$H$60,MATCH($A$1,'Version control'!$F$34:$F$60,0),1)&amp;"-C: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2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25">
      <c r="E38" s="14" t="s">
        <v>947</v>
      </c>
      <c r="F38" s="14"/>
      <c r="G38" s="14" t="s">
        <v>427</v>
      </c>
      <c r="I38" s="293" t="s">
        <v>359</v>
      </c>
      <c r="J38" s="393">
        <f>'Fixed inputs'!J149</f>
        <v>1</v>
      </c>
      <c r="K38" s="393">
        <f>'Fixed inputs'!K149</f>
        <v>1</v>
      </c>
      <c r="L38" s="393">
        <f>'Fixed inputs'!L149</f>
        <v>2</v>
      </c>
      <c r="M38" s="393">
        <f>'Fixed inputs'!M149</f>
        <v>2</v>
      </c>
      <c r="N38" s="393">
        <f>'Fixed inputs'!N149</f>
        <v>3</v>
      </c>
      <c r="O38" s="393">
        <f>'Fixed inputs'!O149</f>
        <v>4</v>
      </c>
      <c r="P38" s="393">
        <f>'Fixed inputs'!P149</f>
        <v>5</v>
      </c>
      <c r="Q38" s="394"/>
      <c r="R38" s="394"/>
      <c r="S38" s="394"/>
      <c r="T38" s="394"/>
      <c r="U38" s="394"/>
      <c r="V38" s="394"/>
      <c r="W38" s="394"/>
      <c r="X38" s="394"/>
      <c r="Y38" s="394"/>
      <c r="AA38" s="293" t="s">
        <v>950</v>
      </c>
    </row>
    <row r="39" spans="3:27" x14ac:dyDescent="0.2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25">
      <c r="E40" s="96" t="s">
        <v>951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25">
      <c r="E41" s="82" t="s">
        <v>340</v>
      </c>
    </row>
    <row r="42" spans="3:27" x14ac:dyDescent="0.25">
      <c r="F42" s="16" t="s">
        <v>243</v>
      </c>
      <c r="G42" s="16" t="s">
        <v>94</v>
      </c>
      <c r="H42" s="91"/>
      <c r="I42" s="91"/>
      <c r="J42" s="180">
        <f t="shared" ref="J42:P44" si="1">SUMIF($J$38:$Y$38, J$38, $J31:$Y31) / SUMIF($J$38:$Y$38, J$38, $J$34:$Y$34)</f>
        <v>0.12675349163796165</v>
      </c>
      <c r="K42" s="180">
        <f t="shared" si="1"/>
        <v>0.12675349163796165</v>
      </c>
      <c r="L42" s="180">
        <f t="shared" si="1"/>
        <v>8.7878455392881347E-2</v>
      </c>
      <c r="M42" s="180">
        <f t="shared" si="1"/>
        <v>8.7878455392881347E-2</v>
      </c>
      <c r="N42" s="180">
        <f t="shared" si="1"/>
        <v>0.10581913887379052</v>
      </c>
      <c r="O42" s="180">
        <f t="shared" si="1"/>
        <v>9.891725185318434E-2</v>
      </c>
      <c r="P42" s="180">
        <f t="shared" si="1"/>
        <v>9.4732249064727728E-2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244</v>
      </c>
      <c r="G43" s="14" t="s">
        <v>94</v>
      </c>
      <c r="J43" s="390">
        <f t="shared" si="1"/>
        <v>0.44874060927031828</v>
      </c>
      <c r="K43" s="390">
        <f t="shared" si="1"/>
        <v>0.44874060927031828</v>
      </c>
      <c r="L43" s="390">
        <f t="shared" si="1"/>
        <v>0.46216488067316569</v>
      </c>
      <c r="M43" s="390">
        <f t="shared" si="1"/>
        <v>0.46216488067316569</v>
      </c>
      <c r="N43" s="390">
        <f t="shared" si="1"/>
        <v>0.48025946329025376</v>
      </c>
      <c r="O43" s="390">
        <f t="shared" si="1"/>
        <v>0.47791563122136982</v>
      </c>
      <c r="P43" s="390">
        <f t="shared" si="1"/>
        <v>0.43420185559906521</v>
      </c>
      <c r="Q43" s="369"/>
      <c r="R43" s="369"/>
      <c r="S43" s="369"/>
      <c r="T43" s="369"/>
      <c r="U43" s="369"/>
      <c r="V43" s="369"/>
      <c r="W43" s="369"/>
      <c r="X43" s="369"/>
      <c r="Y43" s="369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0.4245058990917201</v>
      </c>
      <c r="K44" s="181">
        <f t="shared" si="1"/>
        <v>0.4245058990917201</v>
      </c>
      <c r="L44" s="181">
        <f t="shared" si="1"/>
        <v>0.44995666393395295</v>
      </c>
      <c r="M44" s="181">
        <f t="shared" si="1"/>
        <v>0.44995666393395295</v>
      </c>
      <c r="N44" s="181">
        <f t="shared" si="1"/>
        <v>0.41392139783595572</v>
      </c>
      <c r="O44" s="181">
        <f t="shared" si="1"/>
        <v>0.42316711692544579</v>
      </c>
      <c r="P44" s="181">
        <f t="shared" si="1"/>
        <v>0.47106589533620713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25">
      <c r="E46" s="96" t="s">
        <v>952</v>
      </c>
      <c r="F46" s="14"/>
      <c r="G46" s="14"/>
    </row>
    <row r="47" spans="3:27" x14ac:dyDescent="0.25">
      <c r="E47" s="82" t="s">
        <v>340</v>
      </c>
    </row>
    <row r="48" spans="3:27" x14ac:dyDescent="0.25">
      <c r="F48" s="16" t="s">
        <v>243</v>
      </c>
      <c r="G48" s="16" t="s">
        <v>94</v>
      </c>
      <c r="H48" s="91"/>
      <c r="I48" s="91"/>
      <c r="J48" s="180">
        <f>IF(ISNUMBER(J$38), J42, IF(J$34 = 0, 0, J31 / J$34))</f>
        <v>0.12675349163796165</v>
      </c>
      <c r="K48" s="180">
        <f t="shared" ref="K48:Y48" si="2">IF(ISNUMBER(K$38), K42, IF(K$34 = 0, 0, K31 / K$34))</f>
        <v>0.12675349163796165</v>
      </c>
      <c r="L48" s="180">
        <f t="shared" si="2"/>
        <v>8.7878455392881347E-2</v>
      </c>
      <c r="M48" s="180">
        <f t="shared" si="2"/>
        <v>8.7878455392881347E-2</v>
      </c>
      <c r="N48" s="180">
        <f t="shared" si="2"/>
        <v>0.10581913887379052</v>
      </c>
      <c r="O48" s="180">
        <f t="shared" si="2"/>
        <v>9.891725185318434E-2</v>
      </c>
      <c r="P48" s="180">
        <f t="shared" si="2"/>
        <v>9.4732249064727728E-2</v>
      </c>
      <c r="Q48" s="180">
        <f t="shared" si="2"/>
        <v>4.3595104383596581E-2</v>
      </c>
      <c r="R48" s="180">
        <f t="shared" si="2"/>
        <v>8.9266450287831312E-2</v>
      </c>
      <c r="S48" s="180">
        <f t="shared" si="2"/>
        <v>8.9631975802130281E-2</v>
      </c>
      <c r="T48" s="180">
        <f t="shared" si="2"/>
        <v>8.7722211598190644E-2</v>
      </c>
      <c r="U48" s="180">
        <f t="shared" si="2"/>
        <v>0</v>
      </c>
      <c r="V48" s="180">
        <f t="shared" si="2"/>
        <v>8.9568423570974373E-2</v>
      </c>
      <c r="W48" s="180">
        <f t="shared" si="2"/>
        <v>0</v>
      </c>
      <c r="X48" s="180">
        <f t="shared" si="2"/>
        <v>0.10879167720928268</v>
      </c>
      <c r="Y48" s="180">
        <f t="shared" si="2"/>
        <v>0</v>
      </c>
    </row>
    <row r="49" spans="2:27" x14ac:dyDescent="0.25">
      <c r="F49" s="14" t="s">
        <v>244</v>
      </c>
      <c r="G49" s="14" t="s">
        <v>94</v>
      </c>
      <c r="J49" s="390">
        <f t="shared" ref="J49:Y50" si="3">IF(ISNUMBER(J$38), J43, IF(J$34 = 0, 0, J32 / J$34))</f>
        <v>0.44874060927031828</v>
      </c>
      <c r="K49" s="390">
        <f t="shared" si="3"/>
        <v>0.44874060927031828</v>
      </c>
      <c r="L49" s="390">
        <f t="shared" si="3"/>
        <v>0.46216488067316569</v>
      </c>
      <c r="M49" s="390">
        <f t="shared" si="3"/>
        <v>0.46216488067316569</v>
      </c>
      <c r="N49" s="390">
        <f t="shared" si="3"/>
        <v>0.48025946329025376</v>
      </c>
      <c r="O49" s="390">
        <f t="shared" si="3"/>
        <v>0.47791563122136982</v>
      </c>
      <c r="P49" s="390">
        <f t="shared" si="3"/>
        <v>0.43420185559906521</v>
      </c>
      <c r="Q49" s="390">
        <f t="shared" si="3"/>
        <v>0.35552435745386829</v>
      </c>
      <c r="R49" s="390">
        <f t="shared" si="3"/>
        <v>0.43624792265501261</v>
      </c>
      <c r="S49" s="390">
        <f t="shared" si="3"/>
        <v>0.40313558349972339</v>
      </c>
      <c r="T49" s="390">
        <f t="shared" si="3"/>
        <v>0.42227929610510556</v>
      </c>
      <c r="U49" s="390">
        <f t="shared" si="3"/>
        <v>0</v>
      </c>
      <c r="V49" s="390">
        <f t="shared" si="3"/>
        <v>0.40304779966864646</v>
      </c>
      <c r="W49" s="390">
        <f t="shared" si="3"/>
        <v>0</v>
      </c>
      <c r="X49" s="390">
        <f t="shared" si="3"/>
        <v>0.43661790666544836</v>
      </c>
      <c r="Y49" s="390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0.4245058990917201</v>
      </c>
      <c r="K50" s="181">
        <f t="shared" si="3"/>
        <v>0.4245058990917201</v>
      </c>
      <c r="L50" s="181">
        <f t="shared" si="3"/>
        <v>0.44995666393395295</v>
      </c>
      <c r="M50" s="181">
        <f t="shared" si="3"/>
        <v>0.44995666393395295</v>
      </c>
      <c r="N50" s="181">
        <f t="shared" si="3"/>
        <v>0.41392139783595572</v>
      </c>
      <c r="O50" s="181">
        <f t="shared" si="3"/>
        <v>0.42316711692544579</v>
      </c>
      <c r="P50" s="181">
        <f t="shared" si="3"/>
        <v>0.47106589533620713</v>
      </c>
      <c r="Q50" s="181">
        <f t="shared" si="3"/>
        <v>0.60088053816253506</v>
      </c>
      <c r="R50" s="181">
        <f t="shared" si="3"/>
        <v>0.47448562705715608</v>
      </c>
      <c r="S50" s="181">
        <f t="shared" si="3"/>
        <v>0.50723244069814644</v>
      </c>
      <c r="T50" s="181">
        <f t="shared" si="3"/>
        <v>0.48999849229670367</v>
      </c>
      <c r="U50" s="181">
        <f t="shared" si="3"/>
        <v>0</v>
      </c>
      <c r="V50" s="181">
        <f t="shared" si="3"/>
        <v>0.50738377676037927</v>
      </c>
      <c r="W50" s="181">
        <f t="shared" si="3"/>
        <v>0</v>
      </c>
      <c r="X50" s="181">
        <f t="shared" si="3"/>
        <v>0.45459041612526885</v>
      </c>
      <c r="Y50" s="181">
        <f t="shared" si="3"/>
        <v>0</v>
      </c>
    </row>
    <row r="52" spans="2:27" x14ac:dyDescent="0.25">
      <c r="C52" s="7" t="str">
        <f ca="1">INDEX('Version control'!$H$34:$H$60,MATCH($A$1,'Version control'!$F$34:$F$60,0),1)&amp;"-D: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3" t="s">
        <v>212</v>
      </c>
      <c r="G54" s="293" t="s">
        <v>428</v>
      </c>
      <c r="H54" s="252"/>
      <c r="I54" s="252"/>
      <c r="J54" s="252">
        <f t="shared" ref="J54:Y54" si="4">J48 * hours_in_year / J24</f>
        <v>1.4180850405473107</v>
      </c>
      <c r="K54" s="252">
        <f t="shared" si="4"/>
        <v>1.4180850405473107</v>
      </c>
      <c r="L54" s="252">
        <f t="shared" si="4"/>
        <v>0.98316126339928567</v>
      </c>
      <c r="M54" s="252">
        <f t="shared" si="4"/>
        <v>0.98316126339928567</v>
      </c>
      <c r="N54" s="252">
        <f t="shared" si="4"/>
        <v>1.1838769559826372</v>
      </c>
      <c r="O54" s="252">
        <f t="shared" si="4"/>
        <v>1.1066604421888824</v>
      </c>
      <c r="P54" s="252">
        <f t="shared" si="4"/>
        <v>1.0598397213371837</v>
      </c>
      <c r="Q54" s="252">
        <f t="shared" si="4"/>
        <v>1.480205869768628</v>
      </c>
      <c r="R54" s="252">
        <f t="shared" si="4"/>
        <v>0.99868978866079472</v>
      </c>
      <c r="S54" s="252">
        <f t="shared" si="4"/>
        <v>1.0027791928820706</v>
      </c>
      <c r="T54" s="252">
        <f t="shared" si="4"/>
        <v>0.98141324853148149</v>
      </c>
      <c r="U54" s="252">
        <f t="shared" si="4"/>
        <v>0</v>
      </c>
      <c r="V54" s="252">
        <f t="shared" si="4"/>
        <v>1.0020681870775678</v>
      </c>
      <c r="W54" s="252">
        <f t="shared" si="4"/>
        <v>0</v>
      </c>
      <c r="X54" s="252">
        <f t="shared" si="4"/>
        <v>1.2171329404256912</v>
      </c>
      <c r="Y54" s="252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834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818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control'!$H$34:$H$60,MATCH($A$1,'Version control'!$F$34:$F$60,0),1)&amp;"-E: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0.45400000000000001</v>
      </c>
      <c r="K62" s="143">
        <f>'Inputs by customer type'!K18</f>
        <v>0.13266666666666668</v>
      </c>
      <c r="L62" s="143">
        <f>'Inputs by customer type'!L18</f>
        <v>0.43566666666666665</v>
      </c>
      <c r="M62" s="143">
        <f>'Inputs by customer type'!M18</f>
        <v>0.17600000000000002</v>
      </c>
      <c r="N62" s="143">
        <f>'Inputs by customer type'!N18</f>
        <v>0.58133333333333326</v>
      </c>
      <c r="O62" s="143">
        <f>'Inputs by customer type'!O18</f>
        <v>0.56866666666666665</v>
      </c>
      <c r="P62" s="143">
        <f>'Inputs by customer type'!P18</f>
        <v>0.74099999999999999</v>
      </c>
      <c r="Q62" s="143">
        <f>'Inputs by customer type'!Q18</f>
        <v>0.44600000000000001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0.86</v>
      </c>
      <c r="K63" s="143">
        <f>'Inputs by customer type'!K19</f>
        <v>0</v>
      </c>
      <c r="L63" s="143">
        <f>'Inputs by customer type'!L19</f>
        <v>0.69799999999999995</v>
      </c>
      <c r="M63" s="143">
        <f>'Inputs by customer type'!M19</f>
        <v>0</v>
      </c>
      <c r="N63" s="143">
        <f>'Inputs by customer type'!N19</f>
        <v>0.81433333333333335</v>
      </c>
      <c r="O63" s="143">
        <f>'Inputs by customer type'!O19</f>
        <v>0.75233333333333319</v>
      </c>
      <c r="P63" s="143">
        <f>'Inputs by customer type'!P19</f>
        <v>0.83266666666666656</v>
      </c>
      <c r="Q63" s="143">
        <f>'Inputs by customer type'!Q19</f>
        <v>0.83533333333333337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control'!$H$34:$H$60,MATCH($A$1,'Version control'!$F$34:$F$60,0),1)&amp;"-F: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246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323</v>
      </c>
      <c r="F69" s="14"/>
      <c r="G69" s="14" t="s">
        <v>102</v>
      </c>
      <c r="J69" s="252">
        <f t="shared" ref="J69:P69" si="5">J34 / hours_in_year</f>
        <v>588.92023719829751</v>
      </c>
      <c r="K69" s="252">
        <f t="shared" si="5"/>
        <v>1.452105951992837</v>
      </c>
      <c r="L69" s="252">
        <f t="shared" si="5"/>
        <v>168.26442873565924</v>
      </c>
      <c r="M69" s="252">
        <f t="shared" si="5"/>
        <v>0.47314483467807328</v>
      </c>
      <c r="N69" s="252">
        <f t="shared" si="5"/>
        <v>97.623430283688322</v>
      </c>
      <c r="O69" s="252">
        <f t="shared" si="5"/>
        <v>122.63497087116599</v>
      </c>
      <c r="P69" s="252">
        <f t="shared" si="5"/>
        <v>202.18557947737756</v>
      </c>
      <c r="Q69" s="394"/>
      <c r="R69" s="394"/>
      <c r="S69" s="394"/>
      <c r="T69" s="394"/>
      <c r="U69" s="394"/>
      <c r="V69" s="394"/>
      <c r="W69" s="394"/>
      <c r="X69" s="394"/>
      <c r="Y69" s="394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1297.1811392032987</v>
      </c>
      <c r="K71" s="252">
        <f t="shared" si="6"/>
        <v>10.945522251202288</v>
      </c>
      <c r="L71" s="252">
        <f t="shared" si="6"/>
        <v>386.22286626394623</v>
      </c>
      <c r="M71" s="252">
        <f t="shared" si="6"/>
        <v>2.6883229243072342</v>
      </c>
      <c r="N71" s="252">
        <f t="shared" si="6"/>
        <v>167.93021264395929</v>
      </c>
      <c r="O71" s="252">
        <f t="shared" si="6"/>
        <v>215.65352439243728</v>
      </c>
      <c r="P71" s="252">
        <f t="shared" si="6"/>
        <v>272.85503303289823</v>
      </c>
      <c r="Q71" s="394"/>
      <c r="R71" s="394"/>
      <c r="S71" s="394"/>
      <c r="T71" s="394"/>
      <c r="U71" s="394"/>
      <c r="V71" s="394"/>
      <c r="W71" s="394"/>
      <c r="X71" s="394"/>
      <c r="Y71" s="394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322</v>
      </c>
      <c r="F73" s="14"/>
      <c r="G73" s="14" t="s">
        <v>102</v>
      </c>
      <c r="J73" s="252">
        <f>J71 * J63</f>
        <v>1115.5757797148369</v>
      </c>
      <c r="K73" s="252">
        <f t="shared" ref="K73:P73" si="7">K71 * K63</f>
        <v>0</v>
      </c>
      <c r="L73" s="252">
        <f t="shared" si="7"/>
        <v>269.58356065223444</v>
      </c>
      <c r="M73" s="252">
        <f t="shared" si="7"/>
        <v>0</v>
      </c>
      <c r="N73" s="252">
        <f t="shared" si="7"/>
        <v>136.75116982973086</v>
      </c>
      <c r="O73" s="252">
        <f t="shared" si="7"/>
        <v>162.24333485124362</v>
      </c>
      <c r="P73" s="252">
        <f t="shared" si="7"/>
        <v>227.19729083872656</v>
      </c>
      <c r="Q73" s="394"/>
      <c r="R73" s="394"/>
      <c r="S73" s="394"/>
      <c r="T73" s="394"/>
      <c r="U73" s="394"/>
      <c r="V73" s="394"/>
      <c r="W73" s="394"/>
      <c r="X73" s="394"/>
      <c r="Y73" s="394"/>
    </row>
    <row r="74" spans="3:27" x14ac:dyDescent="0.25">
      <c r="D74" s="96"/>
      <c r="E74" s="14"/>
      <c r="F74" s="14"/>
      <c r="G74" s="14"/>
    </row>
    <row r="75" spans="3:27" x14ac:dyDescent="0.25">
      <c r="D75" s="96" t="s">
        <v>953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0">
        <f t="shared" ref="J77:P77" si="8">SUMIF($J$38:$Y$38, J$38, $J$69:$Y$69) / SUMIF($J$38:$Y$38, J$38, $J$71:$Y$71)</f>
        <v>0.45131129923906427</v>
      </c>
      <c r="K77" s="390">
        <f t="shared" si="8"/>
        <v>0.45131129923906427</v>
      </c>
      <c r="L77" s="390">
        <f t="shared" si="8"/>
        <v>0.43387173797321488</v>
      </c>
      <c r="M77" s="390">
        <f t="shared" si="8"/>
        <v>0.43387173797321488</v>
      </c>
      <c r="N77" s="390">
        <f t="shared" si="8"/>
        <v>0.58133333333333326</v>
      </c>
      <c r="O77" s="390">
        <f t="shared" si="8"/>
        <v>0.56866666666666665</v>
      </c>
      <c r="P77" s="390">
        <f t="shared" si="8"/>
        <v>0.74099999999999988</v>
      </c>
      <c r="Q77" s="394"/>
      <c r="R77" s="394"/>
      <c r="S77" s="394"/>
      <c r="T77" s="394"/>
      <c r="U77" s="394"/>
      <c r="V77" s="394"/>
      <c r="W77" s="394"/>
      <c r="X77" s="394"/>
      <c r="Y77" s="394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0">
        <f t="shared" ref="J79:P79" si="9">SUMIF($J$38:$Y$38, J$38, $J$73:$Y$73) / SUMIF($J$38:$Y$38, J$38, $J$71:$Y$71)</f>
        <v>0.85280409962322201</v>
      </c>
      <c r="K79" s="390">
        <f t="shared" si="9"/>
        <v>0.85280409962322201</v>
      </c>
      <c r="L79" s="390">
        <f t="shared" si="9"/>
        <v>0.69317512107305768</v>
      </c>
      <c r="M79" s="390">
        <f t="shared" si="9"/>
        <v>0.69317512107305768</v>
      </c>
      <c r="N79" s="390">
        <f t="shared" si="9"/>
        <v>0.81433333333333335</v>
      </c>
      <c r="O79" s="390">
        <f t="shared" si="9"/>
        <v>0.75233333333333319</v>
      </c>
      <c r="P79" s="390">
        <f t="shared" si="9"/>
        <v>0.83266666666666656</v>
      </c>
      <c r="Q79" s="394"/>
      <c r="R79" s="394"/>
      <c r="S79" s="394"/>
      <c r="T79" s="394"/>
      <c r="U79" s="394"/>
      <c r="V79" s="394"/>
      <c r="W79" s="394"/>
      <c r="X79" s="394"/>
      <c r="Y79" s="394"/>
    </row>
    <row r="80" spans="3:27" x14ac:dyDescent="0.25">
      <c r="D80" s="96"/>
      <c r="E80" s="14"/>
      <c r="F80" s="14"/>
      <c r="G80" s="14"/>
    </row>
    <row r="81" spans="2:27" x14ac:dyDescent="0.25">
      <c r="D81" s="96" t="s">
        <v>954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0">
        <f>IF(J$38 = 0, J62, J77)</f>
        <v>0.45131129923906427</v>
      </c>
      <c r="K83" s="390">
        <f t="shared" ref="K83:Y83" si="10">IF(K$38 = 0, K62, K77)</f>
        <v>0.45131129923906427</v>
      </c>
      <c r="L83" s="390">
        <f t="shared" si="10"/>
        <v>0.43387173797321488</v>
      </c>
      <c r="M83" s="390">
        <f>IF(M$38 = 0, M62, M77)</f>
        <v>0.43387173797321488</v>
      </c>
      <c r="N83" s="390">
        <f t="shared" si="10"/>
        <v>0.58133333333333326</v>
      </c>
      <c r="O83" s="390">
        <f t="shared" si="10"/>
        <v>0.56866666666666665</v>
      </c>
      <c r="P83" s="390">
        <f t="shared" si="10"/>
        <v>0.74099999999999988</v>
      </c>
      <c r="Q83" s="390">
        <f t="shared" si="10"/>
        <v>0.44600000000000001</v>
      </c>
      <c r="R83" s="390">
        <f t="shared" si="10"/>
        <v>0</v>
      </c>
      <c r="S83" s="390">
        <f t="shared" si="10"/>
        <v>0</v>
      </c>
      <c r="T83" s="390">
        <f t="shared" si="10"/>
        <v>0</v>
      </c>
      <c r="U83" s="390">
        <f t="shared" si="10"/>
        <v>0</v>
      </c>
      <c r="V83" s="390">
        <f t="shared" si="10"/>
        <v>0</v>
      </c>
      <c r="W83" s="390">
        <f t="shared" si="10"/>
        <v>0</v>
      </c>
      <c r="X83" s="390">
        <f t="shared" si="10"/>
        <v>0</v>
      </c>
      <c r="Y83" s="390">
        <f t="shared" si="10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0">
        <f>IF(J38 = 0, J63, J79)</f>
        <v>0.85280409962322201</v>
      </c>
      <c r="K85" s="390">
        <f t="shared" ref="K85:Y85" si="11">IF(K38 = 0, K63, K79)</f>
        <v>0.85280409962322201</v>
      </c>
      <c r="L85" s="390">
        <f t="shared" si="11"/>
        <v>0.69317512107305768</v>
      </c>
      <c r="M85" s="390">
        <f t="shared" si="11"/>
        <v>0.69317512107305768</v>
      </c>
      <c r="N85" s="390">
        <f t="shared" si="11"/>
        <v>0.81433333333333335</v>
      </c>
      <c r="O85" s="390">
        <f t="shared" si="11"/>
        <v>0.75233333333333319</v>
      </c>
      <c r="P85" s="390">
        <f t="shared" si="11"/>
        <v>0.83266666666666656</v>
      </c>
      <c r="Q85" s="390">
        <f t="shared" si="11"/>
        <v>0.83533333333333337</v>
      </c>
      <c r="R85" s="390">
        <f t="shared" si="11"/>
        <v>0</v>
      </c>
      <c r="S85" s="390">
        <f t="shared" si="11"/>
        <v>0</v>
      </c>
      <c r="T85" s="390">
        <f t="shared" si="11"/>
        <v>0</v>
      </c>
      <c r="U85" s="390">
        <f t="shared" si="11"/>
        <v>0</v>
      </c>
      <c r="V85" s="390">
        <f t="shared" si="11"/>
        <v>0</v>
      </c>
      <c r="W85" s="390">
        <f t="shared" si="11"/>
        <v>0</v>
      </c>
      <c r="X85" s="390">
        <f t="shared" si="11"/>
        <v>0</v>
      </c>
      <c r="Y85" s="390">
        <f t="shared" si="11"/>
        <v>0</v>
      </c>
    </row>
    <row r="87" spans="2:27" x14ac:dyDescent="0.25">
      <c r="C87" s="7" t="str">
        <f ca="1">INDEX('Version control'!$H$34:$H$60,MATCH($A$1,'Version control'!$F$34:$F$60,0),1)&amp;"-G: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428</v>
      </c>
      <c r="J89" s="252">
        <f t="shared" ref="J89:Y89" si="12">IF(AND(J62 = 0, J63 = 0), 1, J63 / J62)</f>
        <v>1.8942731277533038</v>
      </c>
      <c r="K89" s="252">
        <f t="shared" si="12"/>
        <v>0</v>
      </c>
      <c r="L89" s="252">
        <f t="shared" si="12"/>
        <v>1.6021423106350421</v>
      </c>
      <c r="M89" s="252">
        <f t="shared" si="12"/>
        <v>0</v>
      </c>
      <c r="N89" s="252">
        <f t="shared" si="12"/>
        <v>1.4008027522935782</v>
      </c>
      <c r="O89" s="252">
        <f t="shared" si="12"/>
        <v>1.3229777256740911</v>
      </c>
      <c r="P89" s="252">
        <f t="shared" si="12"/>
        <v>1.123706702654071</v>
      </c>
      <c r="Q89" s="252">
        <f t="shared" si="12"/>
        <v>1.8729446935724963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2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25">
      <c r="E91" s="14" t="s">
        <v>955</v>
      </c>
      <c r="G91" s="14" t="s">
        <v>428</v>
      </c>
      <c r="I91" s="293" t="s">
        <v>359</v>
      </c>
      <c r="J91" s="252">
        <f>IF(AND(J83 = 0, J85 = 0), 1, J85 / J83)</f>
        <v>1.8896138897056127</v>
      </c>
      <c r="K91" s="252">
        <f t="shared" ref="K91:Y91" si="13">IF(AND(K83 = 0, K85 = 0), 1, K85 / K83)</f>
        <v>1.8896138897056127</v>
      </c>
      <c r="L91" s="252">
        <f t="shared" si="13"/>
        <v>1.597649859175319</v>
      </c>
      <c r="M91" s="252">
        <f t="shared" si="13"/>
        <v>1.597649859175319</v>
      </c>
      <c r="N91" s="252">
        <f>IF(AND(N83 = 0, N85 = 0), 1, N85 / N83)</f>
        <v>1.4008027522935782</v>
      </c>
      <c r="O91" s="252">
        <f t="shared" si="13"/>
        <v>1.3229777256740911</v>
      </c>
      <c r="P91" s="252">
        <f t="shared" si="13"/>
        <v>1.123706702654071</v>
      </c>
      <c r="Q91" s="252">
        <f t="shared" si="13"/>
        <v>1.8729446935724963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950</v>
      </c>
    </row>
    <row r="92" spans="2:27" x14ac:dyDescent="0.2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25">
      <c r="E93" s="14" t="s">
        <v>593</v>
      </c>
      <c r="G93" s="14" t="s">
        <v>428</v>
      </c>
      <c r="I93" s="293" t="s">
        <v>359</v>
      </c>
      <c r="J93" s="252">
        <f>IF(OR(J54 = 0, J85 = 0), 1, J91 / J54)</f>
        <v>1.3325109818352749</v>
      </c>
      <c r="K93" s="252">
        <f t="shared" ref="K93:Y93" si="14">IF(OR(K54 = 0, K85 = 0), 1, K91 / K54)</f>
        <v>1.3325109818352749</v>
      </c>
      <c r="L93" s="252">
        <f t="shared" si="14"/>
        <v>1.625013025484177</v>
      </c>
      <c r="M93" s="252">
        <f t="shared" si="14"/>
        <v>1.625013025484177</v>
      </c>
      <c r="N93" s="252">
        <f>IF(OR(N54 = 0, N85 = 0), 1, N91 / N54)</f>
        <v>1.1832333970305968</v>
      </c>
      <c r="O93" s="252">
        <f t="shared" si="14"/>
        <v>1.1954685242542429</v>
      </c>
      <c r="P93" s="252">
        <f t="shared" si="14"/>
        <v>1.060260981005984</v>
      </c>
      <c r="Q93" s="252">
        <f t="shared" si="14"/>
        <v>1.2653271628123306</v>
      </c>
      <c r="R93" s="252">
        <f t="shared" si="14"/>
        <v>1</v>
      </c>
      <c r="S93" s="252">
        <f t="shared" si="14"/>
        <v>1</v>
      </c>
      <c r="T93" s="252">
        <f t="shared" si="14"/>
        <v>1</v>
      </c>
      <c r="U93" s="252">
        <f t="shared" si="14"/>
        <v>1</v>
      </c>
      <c r="V93" s="252">
        <f t="shared" si="14"/>
        <v>1</v>
      </c>
      <c r="W93" s="252">
        <f t="shared" si="14"/>
        <v>1</v>
      </c>
      <c r="X93" s="252">
        <f t="shared" si="14"/>
        <v>1</v>
      </c>
      <c r="Y93" s="252">
        <f t="shared" si="14"/>
        <v>1</v>
      </c>
      <c r="AA93" s="293" t="s">
        <v>751</v>
      </c>
    </row>
    <row r="94" spans="2:27" x14ac:dyDescent="0.25">
      <c r="F94" s="14"/>
      <c r="G94" s="14"/>
    </row>
    <row r="95" spans="2:27" x14ac:dyDescent="0.25">
      <c r="B95" s="95" t="s">
        <v>797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798</v>
      </c>
      <c r="I97" s="293" t="s">
        <v>359</v>
      </c>
      <c r="AA97" s="293" t="s">
        <v>752</v>
      </c>
    </row>
    <row r="98" spans="3:27" x14ac:dyDescent="0.25">
      <c r="C98" s="82" t="s">
        <v>641</v>
      </c>
    </row>
    <row r="100" spans="3:27" x14ac:dyDescent="0.25">
      <c r="C100" s="7" t="str">
        <f ca="1">INDEX('Version control'!$H$34:$H$60,MATCH($A$1,'Version control'!$F$34:$F$60,0),1)&amp;"-H: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580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0.69301867698138409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0.26838641252470796</v>
      </c>
    </row>
    <row r="105" spans="3:27" x14ac:dyDescent="0.25">
      <c r="F105" s="36" t="s">
        <v>86</v>
      </c>
      <c r="G105" s="15" t="s">
        <v>94</v>
      </c>
      <c r="H105" s="389">
        <f>'Inputs by network level'!K45</f>
        <v>3.859491049390814E-2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0.42427867223195098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0.53712641727414101</v>
      </c>
    </row>
    <row r="108" spans="3:27" x14ac:dyDescent="0.25">
      <c r="F108" s="36" t="s">
        <v>86</v>
      </c>
      <c r="G108" s="15" t="s">
        <v>94</v>
      </c>
      <c r="H108" s="182">
        <f>H105</f>
        <v>3.859491049390814E-2</v>
      </c>
    </row>
    <row r="109" spans="3:27" x14ac:dyDescent="0.25">
      <c r="F109" s="82"/>
      <c r="G109" s="14"/>
    </row>
    <row r="110" spans="3:27" x14ac:dyDescent="0.25">
      <c r="E110" s="96" t="s">
        <v>581</v>
      </c>
      <c r="G110" s="14"/>
    </row>
    <row r="111" spans="3:27" x14ac:dyDescent="0.25">
      <c r="F111" s="40" t="s">
        <v>243</v>
      </c>
      <c r="G111" s="16" t="s">
        <v>94</v>
      </c>
      <c r="H111" s="137">
        <f>'Inputs by network level'!L43</f>
        <v>0.69301867698138409</v>
      </c>
    </row>
    <row r="112" spans="3:27" x14ac:dyDescent="0.25">
      <c r="F112" s="109" t="s">
        <v>244</v>
      </c>
      <c r="G112" s="14" t="s">
        <v>94</v>
      </c>
      <c r="H112" s="143">
        <f>'Inputs by network level'!L44</f>
        <v>0.26838641252470796</v>
      </c>
    </row>
    <row r="113" spans="5:8" x14ac:dyDescent="0.25">
      <c r="F113" s="36" t="s">
        <v>86</v>
      </c>
      <c r="G113" s="15" t="s">
        <v>94</v>
      </c>
      <c r="H113" s="389">
        <f>'Inputs by network level'!L45</f>
        <v>3.859491049390814E-2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0.42427867223195098</v>
      </c>
    </row>
    <row r="115" spans="5:8" x14ac:dyDescent="0.25">
      <c r="F115" s="109" t="s">
        <v>88</v>
      </c>
      <c r="G115" s="14" t="s">
        <v>94</v>
      </c>
      <c r="H115" s="63">
        <f>SUM(H111:H112) - H114</f>
        <v>0.53712641727414101</v>
      </c>
    </row>
    <row r="116" spans="5:8" x14ac:dyDescent="0.25">
      <c r="F116" s="36" t="s">
        <v>86</v>
      </c>
      <c r="G116" s="15" t="s">
        <v>94</v>
      </c>
      <c r="H116" s="182">
        <f>H113</f>
        <v>3.859491049390814E-2</v>
      </c>
    </row>
    <row r="117" spans="5:8" x14ac:dyDescent="0.25">
      <c r="F117" s="82"/>
      <c r="G117" s="14"/>
    </row>
    <row r="118" spans="5:8" x14ac:dyDescent="0.25">
      <c r="E118" s="96" t="s">
        <v>582</v>
      </c>
      <c r="G118" s="14"/>
    </row>
    <row r="119" spans="5:8" x14ac:dyDescent="0.25">
      <c r="F119" s="40" t="s">
        <v>243</v>
      </c>
      <c r="G119" s="16" t="s">
        <v>94</v>
      </c>
      <c r="H119" s="137">
        <f>'Inputs by network level'!M43</f>
        <v>0.46936285646089426</v>
      </c>
    </row>
    <row r="120" spans="5:8" x14ac:dyDescent="0.25">
      <c r="F120" s="109" t="s">
        <v>244</v>
      </c>
      <c r="G120" s="14" t="s">
        <v>94</v>
      </c>
      <c r="H120" s="143">
        <f>'Inputs by network level'!M44</f>
        <v>0.44007220176642542</v>
      </c>
    </row>
    <row r="121" spans="5:8" x14ac:dyDescent="0.25">
      <c r="F121" s="36" t="s">
        <v>86</v>
      </c>
      <c r="G121" s="15" t="s">
        <v>94</v>
      </c>
      <c r="H121" s="389">
        <f>'Inputs by network level'!M45</f>
        <v>9.0564941772680582E-2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0.21935206001107954</v>
      </c>
    </row>
    <row r="123" spans="5:8" x14ac:dyDescent="0.25">
      <c r="F123" s="109" t="s">
        <v>88</v>
      </c>
      <c r="G123" s="14" t="s">
        <v>94</v>
      </c>
      <c r="H123" s="63">
        <f>SUM(H119:H120) - H122</f>
        <v>0.69008299821624008</v>
      </c>
    </row>
    <row r="124" spans="5:8" x14ac:dyDescent="0.25">
      <c r="F124" s="36" t="s">
        <v>86</v>
      </c>
      <c r="G124" s="15" t="s">
        <v>94</v>
      </c>
      <c r="H124" s="182">
        <f>H121</f>
        <v>9.0564941772680582E-2</v>
      </c>
    </row>
    <row r="125" spans="5:8" x14ac:dyDescent="0.25">
      <c r="F125" s="82"/>
      <c r="G125" s="14"/>
    </row>
    <row r="126" spans="5:8" x14ac:dyDescent="0.25">
      <c r="E126" s="96" t="s">
        <v>583</v>
      </c>
      <c r="G126" s="14"/>
    </row>
    <row r="127" spans="5:8" x14ac:dyDescent="0.25">
      <c r="F127" s="40" t="s">
        <v>243</v>
      </c>
      <c r="G127" s="16" t="s">
        <v>94</v>
      </c>
      <c r="H127" s="137">
        <f>'Inputs by network level'!N43</f>
        <v>0.46936285646089426</v>
      </c>
    </row>
    <row r="128" spans="5:8" x14ac:dyDescent="0.25">
      <c r="F128" s="109" t="s">
        <v>244</v>
      </c>
      <c r="G128" s="14" t="s">
        <v>94</v>
      </c>
      <c r="H128" s="143">
        <f>'Inputs by network level'!N44</f>
        <v>0.44007220176642542</v>
      </c>
    </row>
    <row r="129" spans="5:8" x14ac:dyDescent="0.25">
      <c r="F129" s="36" t="s">
        <v>86</v>
      </c>
      <c r="G129" s="15" t="s">
        <v>94</v>
      </c>
      <c r="H129" s="389">
        <f>'Inputs by network level'!N45</f>
        <v>9.0564941772680582E-2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0.21935206001107954</v>
      </c>
    </row>
    <row r="131" spans="5:8" x14ac:dyDescent="0.25">
      <c r="F131" s="109" t="s">
        <v>88</v>
      </c>
      <c r="G131" s="14" t="s">
        <v>94</v>
      </c>
      <c r="H131" s="63">
        <f>SUM(H127:H128) - H130</f>
        <v>0.69008299821624008</v>
      </c>
    </row>
    <row r="132" spans="5:8" x14ac:dyDescent="0.25">
      <c r="F132" s="36" t="s">
        <v>86</v>
      </c>
      <c r="G132" s="15" t="s">
        <v>94</v>
      </c>
      <c r="H132" s="182">
        <f>H129</f>
        <v>9.0564941772680582E-2</v>
      </c>
    </row>
    <row r="133" spans="5:8" x14ac:dyDescent="0.25">
      <c r="F133" s="82"/>
      <c r="G133" s="14"/>
    </row>
    <row r="134" spans="5:8" x14ac:dyDescent="0.25">
      <c r="E134" s="96" t="s">
        <v>584</v>
      </c>
      <c r="G134" s="14"/>
    </row>
    <row r="135" spans="5:8" x14ac:dyDescent="0.25">
      <c r="F135" s="40" t="s">
        <v>243</v>
      </c>
      <c r="G135" s="16" t="s">
        <v>94</v>
      </c>
      <c r="H135" s="137">
        <f>'Inputs by network level'!O43</f>
        <v>0.39588673279375791</v>
      </c>
    </row>
    <row r="136" spans="5:8" x14ac:dyDescent="0.25">
      <c r="F136" s="109" t="s">
        <v>244</v>
      </c>
      <c r="G136" s="14" t="s">
        <v>94</v>
      </c>
      <c r="H136" s="143">
        <f>'Inputs by network level'!O44</f>
        <v>0.54104909579910121</v>
      </c>
    </row>
    <row r="137" spans="5:8" x14ac:dyDescent="0.25">
      <c r="F137" s="36" t="s">
        <v>86</v>
      </c>
      <c r="G137" s="15" t="s">
        <v>94</v>
      </c>
      <c r="H137" s="389">
        <f>'Inputs by network level'!O45</f>
        <v>6.3064171407140796E-2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0.23892992067747731</v>
      </c>
    </row>
    <row r="139" spans="5:8" x14ac:dyDescent="0.25">
      <c r="F139" s="109" t="s">
        <v>88</v>
      </c>
      <c r="G139" s="14" t="s">
        <v>94</v>
      </c>
      <c r="H139" s="63">
        <f>SUM(H135:H136) - H138</f>
        <v>0.69800590791538175</v>
      </c>
    </row>
    <row r="140" spans="5:8" x14ac:dyDescent="0.25">
      <c r="F140" s="36" t="s">
        <v>86</v>
      </c>
      <c r="G140" s="15" t="s">
        <v>94</v>
      </c>
      <c r="H140" s="182">
        <f>H137</f>
        <v>6.3064171407140796E-2</v>
      </c>
    </row>
    <row r="141" spans="5:8" x14ac:dyDescent="0.25">
      <c r="F141" s="82"/>
      <c r="G141" s="14"/>
    </row>
    <row r="142" spans="5:8" x14ac:dyDescent="0.25">
      <c r="E142" s="96" t="s">
        <v>585</v>
      </c>
      <c r="G142" s="14"/>
    </row>
    <row r="143" spans="5:8" x14ac:dyDescent="0.2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89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586</v>
      </c>
      <c r="G150" s="14"/>
    </row>
    <row r="151" spans="5:8" x14ac:dyDescent="0.25">
      <c r="F151" s="40" t="s">
        <v>243</v>
      </c>
      <c r="G151" s="16" t="s">
        <v>94</v>
      </c>
      <c r="H151" s="137">
        <f>'Inputs by network level'!Q43</f>
        <v>0.39588673279375791</v>
      </c>
    </row>
    <row r="152" spans="5:8" x14ac:dyDescent="0.25">
      <c r="F152" s="109" t="s">
        <v>244</v>
      </c>
      <c r="G152" s="14" t="s">
        <v>94</v>
      </c>
      <c r="H152" s="143">
        <f>'Inputs by network level'!Q44</f>
        <v>0.54104909579910121</v>
      </c>
    </row>
    <row r="153" spans="5:8" x14ac:dyDescent="0.25">
      <c r="F153" s="36" t="s">
        <v>86</v>
      </c>
      <c r="G153" s="15" t="s">
        <v>94</v>
      </c>
      <c r="H153" s="389">
        <f>'Inputs by network level'!Q45</f>
        <v>6.3064171407140796E-2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0.23892992067747731</v>
      </c>
    </row>
    <row r="155" spans="5:8" x14ac:dyDescent="0.25">
      <c r="F155" s="109" t="s">
        <v>88</v>
      </c>
      <c r="G155" s="14" t="s">
        <v>94</v>
      </c>
      <c r="H155" s="63">
        <f>SUM(H151:H152) - H154</f>
        <v>0.69800590791538175</v>
      </c>
    </row>
    <row r="156" spans="5:8" x14ac:dyDescent="0.25">
      <c r="F156" s="36" t="s">
        <v>86</v>
      </c>
      <c r="G156" s="15" t="s">
        <v>94</v>
      </c>
      <c r="H156" s="182">
        <f>H153</f>
        <v>6.3064171407140796E-2</v>
      </c>
    </row>
    <row r="157" spans="5:8" x14ac:dyDescent="0.25">
      <c r="F157" s="82"/>
      <c r="G157" s="14"/>
    </row>
    <row r="158" spans="5:8" x14ac:dyDescent="0.25">
      <c r="E158" s="96" t="s">
        <v>587</v>
      </c>
      <c r="G158" s="14"/>
    </row>
    <row r="159" spans="5:8" x14ac:dyDescent="0.25">
      <c r="F159" s="40" t="s">
        <v>243</v>
      </c>
      <c r="G159" s="16" t="s">
        <v>94</v>
      </c>
      <c r="H159" s="137">
        <f>'Inputs by network level'!R43</f>
        <v>0.39588673279375791</v>
      </c>
    </row>
    <row r="160" spans="5:8" x14ac:dyDescent="0.25">
      <c r="F160" s="109" t="s">
        <v>244</v>
      </c>
      <c r="G160" s="14" t="s">
        <v>94</v>
      </c>
      <c r="H160" s="143">
        <f>'Inputs by network level'!R44</f>
        <v>0.54104909579910121</v>
      </c>
    </row>
    <row r="161" spans="3:27" x14ac:dyDescent="0.25">
      <c r="F161" s="36" t="s">
        <v>86</v>
      </c>
      <c r="G161" s="15" t="s">
        <v>94</v>
      </c>
      <c r="H161" s="389">
        <f>'Inputs by network level'!R45</f>
        <v>6.3064171407140796E-2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0.23892992067747731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0.69800590791538175</v>
      </c>
    </row>
    <row r="164" spans="3:27" x14ac:dyDescent="0.25">
      <c r="F164" s="36" t="s">
        <v>86</v>
      </c>
      <c r="G164" s="15" t="s">
        <v>94</v>
      </c>
      <c r="H164" s="182">
        <f>H161</f>
        <v>6.3064171407140796E-2</v>
      </c>
    </row>
    <row r="165" spans="3:27" x14ac:dyDescent="0.25">
      <c r="F165" s="82"/>
      <c r="G165" s="14"/>
    </row>
    <row r="166" spans="3:27" x14ac:dyDescent="0.25">
      <c r="E166" s="96" t="s">
        <v>588</v>
      </c>
      <c r="G166" s="14"/>
    </row>
    <row r="167" spans="3:27" x14ac:dyDescent="0.25">
      <c r="F167" s="40" t="s">
        <v>243</v>
      </c>
      <c r="G167" s="16" t="s">
        <v>94</v>
      </c>
      <c r="H167" s="137">
        <f>'Inputs by network level'!S43</f>
        <v>0.39588673279375791</v>
      </c>
    </row>
    <row r="168" spans="3:27" x14ac:dyDescent="0.25">
      <c r="F168" s="109" t="s">
        <v>244</v>
      </c>
      <c r="G168" s="14" t="s">
        <v>94</v>
      </c>
      <c r="H168" s="143">
        <f>'Inputs by network level'!S44</f>
        <v>0.54104909579910121</v>
      </c>
    </row>
    <row r="169" spans="3:27" x14ac:dyDescent="0.25">
      <c r="F169" s="36" t="s">
        <v>86</v>
      </c>
      <c r="G169" s="15" t="s">
        <v>94</v>
      </c>
      <c r="H169" s="389">
        <f>'Inputs by network level'!S45</f>
        <v>6.3064171407140796E-2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0.23892992067747731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0.69800590791538175</v>
      </c>
    </row>
    <row r="172" spans="3:27" x14ac:dyDescent="0.25">
      <c r="F172" s="36" t="s">
        <v>86</v>
      </c>
      <c r="G172" s="15" t="s">
        <v>94</v>
      </c>
      <c r="H172" s="182">
        <f>H169</f>
        <v>6.3064171407140796E-2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control'!$H$34:$H$60,MATCH($A$1,'Version control'!$F$34:$F$60,0),1)&amp;"-I: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580</v>
      </c>
      <c r="G176" s="14"/>
    </row>
    <row r="177" spans="5:25" x14ac:dyDescent="0.2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0.69301867698138409</v>
      </c>
      <c r="K177" s="180">
        <f t="shared" si="15"/>
        <v>0.69301867698138409</v>
      </c>
      <c r="L177" s="180">
        <f t="shared" si="15"/>
        <v>0.69301867698138409</v>
      </c>
      <c r="M177" s="180">
        <f t="shared" si="15"/>
        <v>0.69301867698138409</v>
      </c>
      <c r="N177" s="180">
        <f t="shared" si="15"/>
        <v>0.69301867698138409</v>
      </c>
      <c r="O177" s="180">
        <f t="shared" si="15"/>
        <v>0.69301867698138409</v>
      </c>
      <c r="P177" s="180">
        <f t="shared" si="15"/>
        <v>0.69301867698138409</v>
      </c>
      <c r="Q177" s="180">
        <f t="shared" si="15"/>
        <v>0.42427867223195098</v>
      </c>
      <c r="R177" s="180">
        <f t="shared" si="15"/>
        <v>0.69301867698138409</v>
      </c>
      <c r="S177" s="180">
        <f t="shared" si="15"/>
        <v>0.69301867698138409</v>
      </c>
      <c r="T177" s="180">
        <f t="shared" si="15"/>
        <v>0.69301867698138409</v>
      </c>
      <c r="U177" s="180">
        <f t="shared" si="15"/>
        <v>0.69301867698138409</v>
      </c>
      <c r="V177" s="180">
        <f t="shared" si="15"/>
        <v>0.69301867698138409</v>
      </c>
      <c r="W177" s="180">
        <f t="shared" si="15"/>
        <v>0.69301867698138409</v>
      </c>
      <c r="X177" s="180">
        <f t="shared" si="15"/>
        <v>0.69301867698138409</v>
      </c>
      <c r="Y177" s="180">
        <f t="shared" si="15"/>
        <v>0.69301867698138409</v>
      </c>
    </row>
    <row r="178" spans="5:25" x14ac:dyDescent="0.25">
      <c r="E178" s="82"/>
      <c r="F178" s="109" t="s">
        <v>244</v>
      </c>
      <c r="G178" s="14" t="s">
        <v>94</v>
      </c>
      <c r="H178" s="143"/>
      <c r="J178" s="390">
        <f t="shared" si="15"/>
        <v>0.26838641252470796</v>
      </c>
      <c r="K178" s="390">
        <f t="shared" si="15"/>
        <v>0.26838641252470796</v>
      </c>
      <c r="L178" s="390">
        <f t="shared" si="15"/>
        <v>0.26838641252470796</v>
      </c>
      <c r="M178" s="390">
        <f t="shared" si="15"/>
        <v>0.26838641252470796</v>
      </c>
      <c r="N178" s="390">
        <f t="shared" si="15"/>
        <v>0.26838641252470796</v>
      </c>
      <c r="O178" s="390">
        <f t="shared" si="15"/>
        <v>0.26838641252470796</v>
      </c>
      <c r="P178" s="390">
        <f t="shared" si="15"/>
        <v>0.26838641252470796</v>
      </c>
      <c r="Q178" s="390">
        <f t="shared" si="15"/>
        <v>0.53712641727414101</v>
      </c>
      <c r="R178" s="390">
        <f t="shared" si="15"/>
        <v>0.26838641252470796</v>
      </c>
      <c r="S178" s="390">
        <f t="shared" si="15"/>
        <v>0.26838641252470796</v>
      </c>
      <c r="T178" s="390">
        <f t="shared" si="15"/>
        <v>0.26838641252470796</v>
      </c>
      <c r="U178" s="390">
        <f t="shared" si="15"/>
        <v>0.26838641252470796</v>
      </c>
      <c r="V178" s="390">
        <f t="shared" si="15"/>
        <v>0.26838641252470796</v>
      </c>
      <c r="W178" s="390">
        <f t="shared" si="15"/>
        <v>0.26838641252470796</v>
      </c>
      <c r="X178" s="390">
        <f t="shared" si="15"/>
        <v>0.26838641252470796</v>
      </c>
      <c r="Y178" s="390">
        <f t="shared" si="15"/>
        <v>0.26838641252470796</v>
      </c>
    </row>
    <row r="179" spans="5:25" x14ac:dyDescent="0.25">
      <c r="E179" s="82"/>
      <c r="F179" s="36" t="s">
        <v>86</v>
      </c>
      <c r="G179" s="15" t="s">
        <v>94</v>
      </c>
      <c r="H179" s="389"/>
      <c r="I179" s="93"/>
      <c r="J179" s="181">
        <f t="shared" si="15"/>
        <v>3.859491049390814E-2</v>
      </c>
      <c r="K179" s="181">
        <f t="shared" si="15"/>
        <v>3.859491049390814E-2</v>
      </c>
      <c r="L179" s="181">
        <f t="shared" si="15"/>
        <v>3.859491049390814E-2</v>
      </c>
      <c r="M179" s="181">
        <f t="shared" si="15"/>
        <v>3.859491049390814E-2</v>
      </c>
      <c r="N179" s="181">
        <f t="shared" si="15"/>
        <v>3.859491049390814E-2</v>
      </c>
      <c r="O179" s="181">
        <f t="shared" si="15"/>
        <v>3.859491049390814E-2</v>
      </c>
      <c r="P179" s="181">
        <f t="shared" si="15"/>
        <v>3.859491049390814E-2</v>
      </c>
      <c r="Q179" s="181">
        <f t="shared" si="15"/>
        <v>3.859491049390814E-2</v>
      </c>
      <c r="R179" s="181">
        <f t="shared" si="15"/>
        <v>3.859491049390814E-2</v>
      </c>
      <c r="S179" s="181">
        <f t="shared" si="15"/>
        <v>3.859491049390814E-2</v>
      </c>
      <c r="T179" s="181">
        <f t="shared" si="15"/>
        <v>3.859491049390814E-2</v>
      </c>
      <c r="U179" s="181">
        <f t="shared" si="15"/>
        <v>3.859491049390814E-2</v>
      </c>
      <c r="V179" s="181">
        <f t="shared" si="15"/>
        <v>3.859491049390814E-2</v>
      </c>
      <c r="W179" s="181">
        <f t="shared" si="15"/>
        <v>3.859491049390814E-2</v>
      </c>
      <c r="X179" s="181">
        <f t="shared" si="15"/>
        <v>3.859491049390814E-2</v>
      </c>
      <c r="Y179" s="181">
        <f t="shared" si="15"/>
        <v>3.859491049390814E-2</v>
      </c>
    </row>
    <row r="180" spans="5:25" x14ac:dyDescent="0.25">
      <c r="E180" s="82"/>
      <c r="F180" s="109"/>
      <c r="G180" s="14"/>
      <c r="H180" s="143"/>
      <c r="J180" s="390"/>
      <c r="K180" s="390"/>
      <c r="L180" s="390"/>
      <c r="M180" s="390"/>
      <c r="N180" s="390"/>
      <c r="O180" s="390"/>
      <c r="P180" s="390"/>
      <c r="Q180" s="390"/>
      <c r="R180" s="390"/>
      <c r="S180" s="390"/>
      <c r="T180" s="390"/>
      <c r="U180" s="390"/>
      <c r="V180" s="390"/>
      <c r="W180" s="390"/>
      <c r="X180" s="390"/>
      <c r="Y180" s="390"/>
    </row>
    <row r="181" spans="5:25" x14ac:dyDescent="0.25">
      <c r="E181" s="96" t="s">
        <v>581</v>
      </c>
      <c r="G181" s="14"/>
    </row>
    <row r="182" spans="5:25" x14ac:dyDescent="0.2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0.69301867698138409</v>
      </c>
      <c r="K182" s="180">
        <f t="shared" si="16"/>
        <v>0.69301867698138409</v>
      </c>
      <c r="L182" s="180">
        <f t="shared" si="16"/>
        <v>0.69301867698138409</v>
      </c>
      <c r="M182" s="180">
        <f t="shared" si="16"/>
        <v>0.69301867698138409</v>
      </c>
      <c r="N182" s="180">
        <f t="shared" si="16"/>
        <v>0.69301867698138409</v>
      </c>
      <c r="O182" s="180">
        <f t="shared" si="16"/>
        <v>0.69301867698138409</v>
      </c>
      <c r="P182" s="180">
        <f t="shared" si="16"/>
        <v>0.69301867698138409</v>
      </c>
      <c r="Q182" s="180">
        <f t="shared" si="16"/>
        <v>0.42427867223195098</v>
      </c>
      <c r="R182" s="180">
        <f t="shared" si="16"/>
        <v>0.69301867698138409</v>
      </c>
      <c r="S182" s="180">
        <f t="shared" si="16"/>
        <v>0.69301867698138409</v>
      </c>
      <c r="T182" s="180">
        <f t="shared" si="16"/>
        <v>0.69301867698138409</v>
      </c>
      <c r="U182" s="180">
        <f t="shared" si="16"/>
        <v>0.69301867698138409</v>
      </c>
      <c r="V182" s="180">
        <f t="shared" si="16"/>
        <v>0.69301867698138409</v>
      </c>
      <c r="W182" s="180">
        <f t="shared" si="16"/>
        <v>0.69301867698138409</v>
      </c>
      <c r="X182" s="180">
        <f t="shared" si="16"/>
        <v>0.69301867698138409</v>
      </c>
      <c r="Y182" s="180">
        <f t="shared" si="16"/>
        <v>0.69301867698138409</v>
      </c>
    </row>
    <row r="183" spans="5:25" x14ac:dyDescent="0.25">
      <c r="E183" s="82"/>
      <c r="F183" s="109" t="s">
        <v>244</v>
      </c>
      <c r="G183" s="14" t="s">
        <v>94</v>
      </c>
      <c r="H183" s="143"/>
      <c r="J183" s="390">
        <f t="shared" si="16"/>
        <v>0.26838641252470796</v>
      </c>
      <c r="K183" s="390">
        <f t="shared" si="16"/>
        <v>0.26838641252470796</v>
      </c>
      <c r="L183" s="390">
        <f t="shared" si="16"/>
        <v>0.26838641252470796</v>
      </c>
      <c r="M183" s="390">
        <f t="shared" si="16"/>
        <v>0.26838641252470796</v>
      </c>
      <c r="N183" s="390">
        <f t="shared" si="16"/>
        <v>0.26838641252470796</v>
      </c>
      <c r="O183" s="390">
        <f t="shared" si="16"/>
        <v>0.26838641252470796</v>
      </c>
      <c r="P183" s="390">
        <f t="shared" si="16"/>
        <v>0.26838641252470796</v>
      </c>
      <c r="Q183" s="390">
        <f t="shared" si="16"/>
        <v>0.53712641727414101</v>
      </c>
      <c r="R183" s="390">
        <f t="shared" si="16"/>
        <v>0.26838641252470796</v>
      </c>
      <c r="S183" s="390">
        <f t="shared" si="16"/>
        <v>0.26838641252470796</v>
      </c>
      <c r="T183" s="390">
        <f t="shared" si="16"/>
        <v>0.26838641252470796</v>
      </c>
      <c r="U183" s="390">
        <f t="shared" si="16"/>
        <v>0.26838641252470796</v>
      </c>
      <c r="V183" s="390">
        <f t="shared" si="16"/>
        <v>0.26838641252470796</v>
      </c>
      <c r="W183" s="390">
        <f t="shared" si="16"/>
        <v>0.26838641252470796</v>
      </c>
      <c r="X183" s="390">
        <f t="shared" si="16"/>
        <v>0.26838641252470796</v>
      </c>
      <c r="Y183" s="390">
        <f t="shared" si="16"/>
        <v>0.26838641252470796</v>
      </c>
    </row>
    <row r="184" spans="5:25" x14ac:dyDescent="0.25">
      <c r="E184" s="82"/>
      <c r="F184" s="36" t="s">
        <v>86</v>
      </c>
      <c r="G184" s="15" t="s">
        <v>94</v>
      </c>
      <c r="H184" s="389"/>
      <c r="I184" s="93"/>
      <c r="J184" s="181">
        <f t="shared" si="16"/>
        <v>3.859491049390814E-2</v>
      </c>
      <c r="K184" s="181">
        <f t="shared" si="16"/>
        <v>3.859491049390814E-2</v>
      </c>
      <c r="L184" s="181">
        <f t="shared" si="16"/>
        <v>3.859491049390814E-2</v>
      </c>
      <c r="M184" s="181">
        <f t="shared" si="16"/>
        <v>3.859491049390814E-2</v>
      </c>
      <c r="N184" s="181">
        <f t="shared" si="16"/>
        <v>3.859491049390814E-2</v>
      </c>
      <c r="O184" s="181">
        <f t="shared" si="16"/>
        <v>3.859491049390814E-2</v>
      </c>
      <c r="P184" s="181">
        <f t="shared" si="16"/>
        <v>3.859491049390814E-2</v>
      </c>
      <c r="Q184" s="181">
        <f t="shared" si="16"/>
        <v>3.859491049390814E-2</v>
      </c>
      <c r="R184" s="181">
        <f t="shared" si="16"/>
        <v>3.859491049390814E-2</v>
      </c>
      <c r="S184" s="181">
        <f t="shared" si="16"/>
        <v>3.859491049390814E-2</v>
      </c>
      <c r="T184" s="181">
        <f t="shared" si="16"/>
        <v>3.859491049390814E-2</v>
      </c>
      <c r="U184" s="181">
        <f t="shared" si="16"/>
        <v>3.859491049390814E-2</v>
      </c>
      <c r="V184" s="181">
        <f t="shared" si="16"/>
        <v>3.859491049390814E-2</v>
      </c>
      <c r="W184" s="181">
        <f t="shared" si="16"/>
        <v>3.859491049390814E-2</v>
      </c>
      <c r="X184" s="181">
        <f t="shared" si="16"/>
        <v>3.859491049390814E-2</v>
      </c>
      <c r="Y184" s="181">
        <f t="shared" si="16"/>
        <v>3.859491049390814E-2</v>
      </c>
    </row>
    <row r="185" spans="5:25" x14ac:dyDescent="0.25">
      <c r="E185" s="82"/>
      <c r="F185" s="109"/>
      <c r="G185" s="14"/>
      <c r="H185" s="143"/>
      <c r="J185" s="390"/>
      <c r="K185" s="390"/>
      <c r="L185" s="390"/>
      <c r="M185" s="390"/>
      <c r="N185" s="390"/>
      <c r="O185" s="390"/>
      <c r="P185" s="390"/>
      <c r="Q185" s="390"/>
      <c r="R185" s="390"/>
      <c r="S185" s="390"/>
      <c r="T185" s="390"/>
      <c r="U185" s="390"/>
      <c r="V185" s="390"/>
      <c r="W185" s="390"/>
      <c r="X185" s="390"/>
      <c r="Y185" s="390"/>
    </row>
    <row r="186" spans="5:25" x14ac:dyDescent="0.25">
      <c r="E186" s="96" t="s">
        <v>582</v>
      </c>
      <c r="G186" s="14"/>
    </row>
    <row r="187" spans="5:25" x14ac:dyDescent="0.2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0.46936285646089426</v>
      </c>
      <c r="K187" s="180">
        <f t="shared" si="17"/>
        <v>0.46936285646089426</v>
      </c>
      <c r="L187" s="180">
        <f t="shared" si="17"/>
        <v>0.46936285646089426</v>
      </c>
      <c r="M187" s="180">
        <f t="shared" si="17"/>
        <v>0.46936285646089426</v>
      </c>
      <c r="N187" s="180">
        <f t="shared" si="17"/>
        <v>0.46936285646089426</v>
      </c>
      <c r="O187" s="180">
        <f t="shared" si="17"/>
        <v>0.46936285646089426</v>
      </c>
      <c r="P187" s="180">
        <f t="shared" si="17"/>
        <v>0.46936285646089426</v>
      </c>
      <c r="Q187" s="180">
        <f t="shared" si="17"/>
        <v>0.21935206001107954</v>
      </c>
      <c r="R187" s="180">
        <f t="shared" si="17"/>
        <v>0.46936285646089426</v>
      </c>
      <c r="S187" s="180">
        <f t="shared" si="17"/>
        <v>0.46936285646089426</v>
      </c>
      <c r="T187" s="180">
        <f t="shared" si="17"/>
        <v>0.46936285646089426</v>
      </c>
      <c r="U187" s="180">
        <f t="shared" si="17"/>
        <v>0.46936285646089426</v>
      </c>
      <c r="V187" s="180">
        <f t="shared" si="17"/>
        <v>0.46936285646089426</v>
      </c>
      <c r="W187" s="180">
        <f t="shared" si="17"/>
        <v>0.46936285646089426</v>
      </c>
      <c r="X187" s="180">
        <f t="shared" si="17"/>
        <v>0.46936285646089426</v>
      </c>
      <c r="Y187" s="180">
        <f t="shared" si="17"/>
        <v>0.46936285646089426</v>
      </c>
    </row>
    <row r="188" spans="5:25" x14ac:dyDescent="0.25">
      <c r="E188" s="82"/>
      <c r="F188" s="109" t="s">
        <v>244</v>
      </c>
      <c r="G188" s="14" t="s">
        <v>94</v>
      </c>
      <c r="H188" s="143"/>
      <c r="J188" s="390">
        <f t="shared" si="17"/>
        <v>0.44007220176642542</v>
      </c>
      <c r="K188" s="390">
        <f t="shared" si="17"/>
        <v>0.44007220176642542</v>
      </c>
      <c r="L188" s="390">
        <f t="shared" si="17"/>
        <v>0.44007220176642542</v>
      </c>
      <c r="M188" s="390">
        <f t="shared" si="17"/>
        <v>0.44007220176642542</v>
      </c>
      <c r="N188" s="390">
        <f t="shared" si="17"/>
        <v>0.44007220176642542</v>
      </c>
      <c r="O188" s="390">
        <f t="shared" si="17"/>
        <v>0.44007220176642542</v>
      </c>
      <c r="P188" s="390">
        <f t="shared" si="17"/>
        <v>0.44007220176642542</v>
      </c>
      <c r="Q188" s="390">
        <f t="shared" si="17"/>
        <v>0.69008299821624008</v>
      </c>
      <c r="R188" s="390">
        <f t="shared" si="17"/>
        <v>0.44007220176642542</v>
      </c>
      <c r="S188" s="390">
        <f t="shared" si="17"/>
        <v>0.44007220176642542</v>
      </c>
      <c r="T188" s="390">
        <f t="shared" si="17"/>
        <v>0.44007220176642542</v>
      </c>
      <c r="U188" s="390">
        <f t="shared" si="17"/>
        <v>0.44007220176642542</v>
      </c>
      <c r="V188" s="390">
        <f t="shared" si="17"/>
        <v>0.44007220176642542</v>
      </c>
      <c r="W188" s="390">
        <f t="shared" si="17"/>
        <v>0.44007220176642542</v>
      </c>
      <c r="X188" s="390">
        <f t="shared" si="17"/>
        <v>0.44007220176642542</v>
      </c>
      <c r="Y188" s="390">
        <f t="shared" si="17"/>
        <v>0.44007220176642542</v>
      </c>
    </row>
    <row r="189" spans="5:25" x14ac:dyDescent="0.25">
      <c r="E189" s="82"/>
      <c r="F189" s="36" t="s">
        <v>86</v>
      </c>
      <c r="G189" s="15" t="s">
        <v>94</v>
      </c>
      <c r="H189" s="389"/>
      <c r="I189" s="93"/>
      <c r="J189" s="181">
        <f t="shared" si="17"/>
        <v>9.0564941772680582E-2</v>
      </c>
      <c r="K189" s="181">
        <f t="shared" si="17"/>
        <v>9.0564941772680582E-2</v>
      </c>
      <c r="L189" s="181">
        <f t="shared" si="17"/>
        <v>9.0564941772680582E-2</v>
      </c>
      <c r="M189" s="181">
        <f t="shared" si="17"/>
        <v>9.0564941772680582E-2</v>
      </c>
      <c r="N189" s="181">
        <f t="shared" si="17"/>
        <v>9.0564941772680582E-2</v>
      </c>
      <c r="O189" s="181">
        <f t="shared" si="17"/>
        <v>9.0564941772680582E-2</v>
      </c>
      <c r="P189" s="181">
        <f t="shared" si="17"/>
        <v>9.0564941772680582E-2</v>
      </c>
      <c r="Q189" s="181">
        <f t="shared" si="17"/>
        <v>9.0564941772680582E-2</v>
      </c>
      <c r="R189" s="181">
        <f t="shared" si="17"/>
        <v>9.0564941772680582E-2</v>
      </c>
      <c r="S189" s="181">
        <f t="shared" si="17"/>
        <v>9.0564941772680582E-2</v>
      </c>
      <c r="T189" s="181">
        <f t="shared" si="17"/>
        <v>9.0564941772680582E-2</v>
      </c>
      <c r="U189" s="181">
        <f t="shared" si="17"/>
        <v>9.0564941772680582E-2</v>
      </c>
      <c r="V189" s="181">
        <f t="shared" si="17"/>
        <v>9.0564941772680582E-2</v>
      </c>
      <c r="W189" s="181">
        <f t="shared" si="17"/>
        <v>9.0564941772680582E-2</v>
      </c>
      <c r="X189" s="181">
        <f t="shared" si="17"/>
        <v>9.0564941772680582E-2</v>
      </c>
      <c r="Y189" s="181">
        <f t="shared" si="17"/>
        <v>9.0564941772680582E-2</v>
      </c>
    </row>
    <row r="190" spans="5:25" x14ac:dyDescent="0.25">
      <c r="E190" s="82"/>
      <c r="F190" s="109"/>
      <c r="G190" s="14"/>
      <c r="H190" s="143"/>
      <c r="J190" s="390"/>
      <c r="K190" s="390"/>
      <c r="L190" s="390"/>
      <c r="M190" s="390"/>
      <c r="N190" s="390"/>
      <c r="O190" s="390"/>
      <c r="P190" s="390"/>
      <c r="Q190" s="390"/>
      <c r="R190" s="390"/>
      <c r="S190" s="390"/>
      <c r="T190" s="390"/>
      <c r="U190" s="390"/>
      <c r="V190" s="390"/>
      <c r="W190" s="390"/>
      <c r="X190" s="390"/>
      <c r="Y190" s="390"/>
    </row>
    <row r="191" spans="5:25" x14ac:dyDescent="0.25">
      <c r="E191" s="96" t="s">
        <v>583</v>
      </c>
      <c r="G191" s="14"/>
    </row>
    <row r="192" spans="5:25" x14ac:dyDescent="0.2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0.46936285646089426</v>
      </c>
      <c r="K192" s="180">
        <f t="shared" si="18"/>
        <v>0.46936285646089426</v>
      </c>
      <c r="L192" s="180">
        <f t="shared" si="18"/>
        <v>0.46936285646089426</v>
      </c>
      <c r="M192" s="180">
        <f t="shared" si="18"/>
        <v>0.46936285646089426</v>
      </c>
      <c r="N192" s="180">
        <f t="shared" si="18"/>
        <v>0.46936285646089426</v>
      </c>
      <c r="O192" s="180">
        <f t="shared" si="18"/>
        <v>0.46936285646089426</v>
      </c>
      <c r="P192" s="180">
        <f t="shared" si="18"/>
        <v>0.46936285646089426</v>
      </c>
      <c r="Q192" s="180">
        <f t="shared" si="18"/>
        <v>0.21935206001107954</v>
      </c>
      <c r="R192" s="180">
        <f t="shared" si="18"/>
        <v>0.46936285646089426</v>
      </c>
      <c r="S192" s="180">
        <f t="shared" si="18"/>
        <v>0.46936285646089426</v>
      </c>
      <c r="T192" s="180">
        <f t="shared" si="18"/>
        <v>0.46936285646089426</v>
      </c>
      <c r="U192" s="180">
        <f t="shared" si="18"/>
        <v>0.46936285646089426</v>
      </c>
      <c r="V192" s="180">
        <f t="shared" si="18"/>
        <v>0.46936285646089426</v>
      </c>
      <c r="W192" s="180">
        <f t="shared" si="18"/>
        <v>0.46936285646089426</v>
      </c>
      <c r="X192" s="180">
        <f t="shared" si="18"/>
        <v>0.46936285646089426</v>
      </c>
      <c r="Y192" s="180">
        <f t="shared" si="18"/>
        <v>0.46936285646089426</v>
      </c>
    </row>
    <row r="193" spans="5:25" x14ac:dyDescent="0.25">
      <c r="E193" s="82"/>
      <c r="F193" s="109" t="s">
        <v>244</v>
      </c>
      <c r="G193" s="14" t="s">
        <v>94</v>
      </c>
      <c r="H193" s="143"/>
      <c r="J193" s="390">
        <f t="shared" si="18"/>
        <v>0.44007220176642542</v>
      </c>
      <c r="K193" s="390">
        <f t="shared" si="18"/>
        <v>0.44007220176642542</v>
      </c>
      <c r="L193" s="390">
        <f t="shared" si="18"/>
        <v>0.44007220176642542</v>
      </c>
      <c r="M193" s="390">
        <f t="shared" si="18"/>
        <v>0.44007220176642542</v>
      </c>
      <c r="N193" s="390">
        <f t="shared" si="18"/>
        <v>0.44007220176642542</v>
      </c>
      <c r="O193" s="390">
        <f t="shared" si="18"/>
        <v>0.44007220176642542</v>
      </c>
      <c r="P193" s="390">
        <f t="shared" si="18"/>
        <v>0.44007220176642542</v>
      </c>
      <c r="Q193" s="390">
        <f t="shared" si="18"/>
        <v>0.69008299821624008</v>
      </c>
      <c r="R193" s="390">
        <f t="shared" si="18"/>
        <v>0.44007220176642542</v>
      </c>
      <c r="S193" s="390">
        <f t="shared" si="18"/>
        <v>0.44007220176642542</v>
      </c>
      <c r="T193" s="390">
        <f t="shared" si="18"/>
        <v>0.44007220176642542</v>
      </c>
      <c r="U193" s="390">
        <f t="shared" si="18"/>
        <v>0.44007220176642542</v>
      </c>
      <c r="V193" s="390">
        <f t="shared" si="18"/>
        <v>0.44007220176642542</v>
      </c>
      <c r="W193" s="390">
        <f t="shared" si="18"/>
        <v>0.44007220176642542</v>
      </c>
      <c r="X193" s="390">
        <f t="shared" si="18"/>
        <v>0.44007220176642542</v>
      </c>
      <c r="Y193" s="390">
        <f t="shared" si="18"/>
        <v>0.44007220176642542</v>
      </c>
    </row>
    <row r="194" spans="5:25" x14ac:dyDescent="0.25">
      <c r="E194" s="82"/>
      <c r="F194" s="36" t="s">
        <v>86</v>
      </c>
      <c r="G194" s="15" t="s">
        <v>94</v>
      </c>
      <c r="H194" s="389"/>
      <c r="I194" s="93"/>
      <c r="J194" s="181">
        <f t="shared" si="18"/>
        <v>9.0564941772680582E-2</v>
      </c>
      <c r="K194" s="181">
        <f t="shared" si="18"/>
        <v>9.0564941772680582E-2</v>
      </c>
      <c r="L194" s="181">
        <f t="shared" si="18"/>
        <v>9.0564941772680582E-2</v>
      </c>
      <c r="M194" s="181">
        <f t="shared" si="18"/>
        <v>9.0564941772680582E-2</v>
      </c>
      <c r="N194" s="181">
        <f t="shared" si="18"/>
        <v>9.0564941772680582E-2</v>
      </c>
      <c r="O194" s="181">
        <f t="shared" si="18"/>
        <v>9.0564941772680582E-2</v>
      </c>
      <c r="P194" s="181">
        <f t="shared" si="18"/>
        <v>9.0564941772680582E-2</v>
      </c>
      <c r="Q194" s="181">
        <f t="shared" si="18"/>
        <v>9.0564941772680582E-2</v>
      </c>
      <c r="R194" s="181">
        <f t="shared" si="18"/>
        <v>9.0564941772680582E-2</v>
      </c>
      <c r="S194" s="181">
        <f t="shared" si="18"/>
        <v>9.0564941772680582E-2</v>
      </c>
      <c r="T194" s="181">
        <f t="shared" si="18"/>
        <v>9.0564941772680582E-2</v>
      </c>
      <c r="U194" s="181">
        <f t="shared" si="18"/>
        <v>9.0564941772680582E-2</v>
      </c>
      <c r="V194" s="181">
        <f t="shared" si="18"/>
        <v>9.0564941772680582E-2</v>
      </c>
      <c r="W194" s="181">
        <f t="shared" si="18"/>
        <v>9.0564941772680582E-2</v>
      </c>
      <c r="X194" s="181">
        <f t="shared" si="18"/>
        <v>9.0564941772680582E-2</v>
      </c>
      <c r="Y194" s="181">
        <f t="shared" si="18"/>
        <v>9.0564941772680582E-2</v>
      </c>
    </row>
    <row r="195" spans="5:25" x14ac:dyDescent="0.25">
      <c r="E195" s="82"/>
      <c r="F195" s="109"/>
      <c r="G195" s="14"/>
      <c r="H195" s="143"/>
      <c r="J195" s="390"/>
      <c r="K195" s="390"/>
      <c r="L195" s="390"/>
      <c r="M195" s="390"/>
      <c r="N195" s="390"/>
      <c r="O195" s="390"/>
      <c r="P195" s="390"/>
      <c r="Q195" s="390"/>
      <c r="R195" s="390"/>
      <c r="S195" s="390"/>
      <c r="T195" s="390"/>
      <c r="U195" s="390"/>
      <c r="V195" s="390"/>
      <c r="W195" s="390"/>
      <c r="X195" s="390"/>
      <c r="Y195" s="390"/>
    </row>
    <row r="196" spans="5:25" x14ac:dyDescent="0.25">
      <c r="E196" s="96" t="s">
        <v>584</v>
      </c>
      <c r="G196" s="14"/>
    </row>
    <row r="197" spans="5:25" x14ac:dyDescent="0.2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0.39588673279375791</v>
      </c>
      <c r="K197" s="180">
        <f t="shared" si="19"/>
        <v>0.39588673279375791</v>
      </c>
      <c r="L197" s="180">
        <f t="shared" si="19"/>
        <v>0.39588673279375791</v>
      </c>
      <c r="M197" s="180">
        <f t="shared" si="19"/>
        <v>0.39588673279375791</v>
      </c>
      <c r="N197" s="180">
        <f t="shared" si="19"/>
        <v>0.39588673279375791</v>
      </c>
      <c r="O197" s="180">
        <f t="shared" si="19"/>
        <v>0.39588673279375791</v>
      </c>
      <c r="P197" s="180">
        <f t="shared" si="19"/>
        <v>0.39588673279375791</v>
      </c>
      <c r="Q197" s="180">
        <f t="shared" si="19"/>
        <v>0.23892992067747731</v>
      </c>
      <c r="R197" s="180">
        <f t="shared" si="19"/>
        <v>0.39588673279375791</v>
      </c>
      <c r="S197" s="180">
        <f t="shared" si="19"/>
        <v>0.39588673279375791</v>
      </c>
      <c r="T197" s="180">
        <f t="shared" si="19"/>
        <v>0.39588673279375791</v>
      </c>
      <c r="U197" s="180">
        <f t="shared" si="19"/>
        <v>0.39588673279375791</v>
      </c>
      <c r="V197" s="180">
        <f t="shared" si="19"/>
        <v>0.39588673279375791</v>
      </c>
      <c r="W197" s="180">
        <f t="shared" si="19"/>
        <v>0.39588673279375791</v>
      </c>
      <c r="X197" s="180">
        <f t="shared" si="19"/>
        <v>0.39588673279375791</v>
      </c>
      <c r="Y197" s="180">
        <f t="shared" si="19"/>
        <v>0.39588673279375791</v>
      </c>
    </row>
    <row r="198" spans="5:25" x14ac:dyDescent="0.25">
      <c r="E198" s="82"/>
      <c r="F198" s="109" t="s">
        <v>244</v>
      </c>
      <c r="G198" s="14" t="s">
        <v>94</v>
      </c>
      <c r="H198" s="143"/>
      <c r="J198" s="390">
        <f t="shared" si="19"/>
        <v>0.54104909579910121</v>
      </c>
      <c r="K198" s="390">
        <f t="shared" si="19"/>
        <v>0.54104909579910121</v>
      </c>
      <c r="L198" s="390">
        <f t="shared" si="19"/>
        <v>0.54104909579910121</v>
      </c>
      <c r="M198" s="390">
        <f t="shared" si="19"/>
        <v>0.54104909579910121</v>
      </c>
      <c r="N198" s="390">
        <f t="shared" si="19"/>
        <v>0.54104909579910121</v>
      </c>
      <c r="O198" s="390">
        <f t="shared" si="19"/>
        <v>0.54104909579910121</v>
      </c>
      <c r="P198" s="390">
        <f t="shared" si="19"/>
        <v>0.54104909579910121</v>
      </c>
      <c r="Q198" s="390">
        <f t="shared" si="19"/>
        <v>0.69800590791538175</v>
      </c>
      <c r="R198" s="390">
        <f t="shared" si="19"/>
        <v>0.54104909579910121</v>
      </c>
      <c r="S198" s="390">
        <f t="shared" si="19"/>
        <v>0.54104909579910121</v>
      </c>
      <c r="T198" s="390">
        <f t="shared" si="19"/>
        <v>0.54104909579910121</v>
      </c>
      <c r="U198" s="390">
        <f t="shared" si="19"/>
        <v>0.54104909579910121</v>
      </c>
      <c r="V198" s="390">
        <f t="shared" si="19"/>
        <v>0.54104909579910121</v>
      </c>
      <c r="W198" s="390">
        <f t="shared" si="19"/>
        <v>0.54104909579910121</v>
      </c>
      <c r="X198" s="390">
        <f t="shared" si="19"/>
        <v>0.54104909579910121</v>
      </c>
      <c r="Y198" s="390">
        <f t="shared" si="19"/>
        <v>0.54104909579910121</v>
      </c>
    </row>
    <row r="199" spans="5:25" x14ac:dyDescent="0.25">
      <c r="E199" s="82"/>
      <c r="F199" s="36" t="s">
        <v>86</v>
      </c>
      <c r="G199" s="15" t="s">
        <v>94</v>
      </c>
      <c r="H199" s="389"/>
      <c r="I199" s="93"/>
      <c r="J199" s="181">
        <f t="shared" si="19"/>
        <v>6.3064171407140796E-2</v>
      </c>
      <c r="K199" s="181">
        <f t="shared" si="19"/>
        <v>6.3064171407140796E-2</v>
      </c>
      <c r="L199" s="181">
        <f t="shared" si="19"/>
        <v>6.3064171407140796E-2</v>
      </c>
      <c r="M199" s="181">
        <f t="shared" si="19"/>
        <v>6.3064171407140796E-2</v>
      </c>
      <c r="N199" s="181">
        <f t="shared" si="19"/>
        <v>6.3064171407140796E-2</v>
      </c>
      <c r="O199" s="181">
        <f t="shared" si="19"/>
        <v>6.3064171407140796E-2</v>
      </c>
      <c r="P199" s="181">
        <f t="shared" si="19"/>
        <v>6.3064171407140796E-2</v>
      </c>
      <c r="Q199" s="181">
        <f t="shared" si="19"/>
        <v>6.3064171407140796E-2</v>
      </c>
      <c r="R199" s="181">
        <f t="shared" si="19"/>
        <v>6.3064171407140796E-2</v>
      </c>
      <c r="S199" s="181">
        <f t="shared" si="19"/>
        <v>6.3064171407140796E-2</v>
      </c>
      <c r="T199" s="181">
        <f t="shared" si="19"/>
        <v>6.3064171407140796E-2</v>
      </c>
      <c r="U199" s="181">
        <f t="shared" si="19"/>
        <v>6.3064171407140796E-2</v>
      </c>
      <c r="V199" s="181">
        <f t="shared" si="19"/>
        <v>6.3064171407140796E-2</v>
      </c>
      <c r="W199" s="181">
        <f t="shared" si="19"/>
        <v>6.3064171407140796E-2</v>
      </c>
      <c r="X199" s="181">
        <f t="shared" si="19"/>
        <v>6.3064171407140796E-2</v>
      </c>
      <c r="Y199" s="181">
        <f t="shared" si="19"/>
        <v>6.3064171407140796E-2</v>
      </c>
    </row>
    <row r="200" spans="5:25" x14ac:dyDescent="0.25">
      <c r="E200" s="82"/>
      <c r="F200" s="109"/>
      <c r="G200" s="14"/>
      <c r="H200" s="143"/>
      <c r="J200" s="390"/>
      <c r="K200" s="390"/>
      <c r="L200" s="390"/>
      <c r="M200" s="390"/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</row>
    <row r="201" spans="5:25" x14ac:dyDescent="0.25">
      <c r="E201" s="96" t="s">
        <v>585</v>
      </c>
      <c r="G201" s="14"/>
    </row>
    <row r="202" spans="5:25" x14ac:dyDescent="0.2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25">
      <c r="E203" s="82"/>
      <c r="F203" s="109" t="s">
        <v>244</v>
      </c>
      <c r="G203" s="14" t="s">
        <v>94</v>
      </c>
      <c r="H203" s="143"/>
      <c r="J203" s="390">
        <f t="shared" si="20"/>
        <v>0</v>
      </c>
      <c r="K203" s="390">
        <f t="shared" si="20"/>
        <v>0</v>
      </c>
      <c r="L203" s="390">
        <f t="shared" si="20"/>
        <v>0</v>
      </c>
      <c r="M203" s="390">
        <f t="shared" si="20"/>
        <v>0</v>
      </c>
      <c r="N203" s="390">
        <f t="shared" si="20"/>
        <v>0</v>
      </c>
      <c r="O203" s="390">
        <f t="shared" si="20"/>
        <v>0</v>
      </c>
      <c r="P203" s="390">
        <f t="shared" si="20"/>
        <v>0</v>
      </c>
      <c r="Q203" s="390">
        <f t="shared" si="20"/>
        <v>0</v>
      </c>
      <c r="R203" s="390">
        <f t="shared" si="20"/>
        <v>0</v>
      </c>
      <c r="S203" s="390">
        <f t="shared" si="20"/>
        <v>0</v>
      </c>
      <c r="T203" s="390">
        <f t="shared" si="20"/>
        <v>0</v>
      </c>
      <c r="U203" s="390">
        <f t="shared" si="20"/>
        <v>0</v>
      </c>
      <c r="V203" s="390">
        <f t="shared" si="20"/>
        <v>0</v>
      </c>
      <c r="W203" s="390">
        <f t="shared" si="20"/>
        <v>0</v>
      </c>
      <c r="X203" s="390">
        <f t="shared" si="20"/>
        <v>0</v>
      </c>
      <c r="Y203" s="390">
        <f t="shared" si="20"/>
        <v>0</v>
      </c>
    </row>
    <row r="204" spans="5:25" x14ac:dyDescent="0.25">
      <c r="E204" s="82"/>
      <c r="F204" s="36" t="s">
        <v>86</v>
      </c>
      <c r="G204" s="15" t="s">
        <v>94</v>
      </c>
      <c r="H204" s="389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25">
      <c r="E205" s="82"/>
      <c r="F205" s="109"/>
      <c r="G205" s="14"/>
      <c r="H205" s="143"/>
      <c r="J205" s="390"/>
      <c r="K205" s="390"/>
      <c r="L205" s="390"/>
      <c r="M205" s="390"/>
      <c r="N205" s="390"/>
      <c r="O205" s="390"/>
      <c r="P205" s="390"/>
      <c r="Q205" s="390"/>
      <c r="R205" s="390"/>
      <c r="S205" s="390"/>
      <c r="T205" s="390"/>
      <c r="U205" s="390"/>
      <c r="V205" s="390"/>
      <c r="W205" s="390"/>
      <c r="X205" s="390"/>
      <c r="Y205" s="390"/>
    </row>
    <row r="206" spans="5:25" x14ac:dyDescent="0.25">
      <c r="E206" s="96" t="s">
        <v>586</v>
      </c>
      <c r="G206" s="14"/>
    </row>
    <row r="207" spans="5:25" x14ac:dyDescent="0.2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0.39588673279375791</v>
      </c>
      <c r="K207" s="180">
        <f t="shared" si="21"/>
        <v>0.39588673279375791</v>
      </c>
      <c r="L207" s="180">
        <f t="shared" si="21"/>
        <v>0.39588673279375791</v>
      </c>
      <c r="M207" s="180">
        <f t="shared" si="21"/>
        <v>0.39588673279375791</v>
      </c>
      <c r="N207" s="180">
        <f t="shared" si="21"/>
        <v>0.39588673279375791</v>
      </c>
      <c r="O207" s="180">
        <f t="shared" si="21"/>
        <v>0.39588673279375791</v>
      </c>
      <c r="P207" s="180">
        <f t="shared" si="21"/>
        <v>0.39588673279375791</v>
      </c>
      <c r="Q207" s="180">
        <f t="shared" si="21"/>
        <v>0.23892992067747731</v>
      </c>
      <c r="R207" s="180">
        <f t="shared" si="21"/>
        <v>0.39588673279375791</v>
      </c>
      <c r="S207" s="180">
        <f t="shared" si="21"/>
        <v>0.39588673279375791</v>
      </c>
      <c r="T207" s="180">
        <f t="shared" si="21"/>
        <v>0.39588673279375791</v>
      </c>
      <c r="U207" s="180">
        <f t="shared" si="21"/>
        <v>0.39588673279375791</v>
      </c>
      <c r="V207" s="180">
        <f t="shared" si="21"/>
        <v>0.39588673279375791</v>
      </c>
      <c r="W207" s="180">
        <f t="shared" si="21"/>
        <v>0.39588673279375791</v>
      </c>
      <c r="X207" s="180">
        <f t="shared" si="21"/>
        <v>0.39588673279375791</v>
      </c>
      <c r="Y207" s="180">
        <f t="shared" si="21"/>
        <v>0.39588673279375791</v>
      </c>
    </row>
    <row r="208" spans="5:25" x14ac:dyDescent="0.25">
      <c r="E208" s="82"/>
      <c r="F208" s="109" t="s">
        <v>244</v>
      </c>
      <c r="G208" s="14" t="s">
        <v>94</v>
      </c>
      <c r="H208" s="143"/>
      <c r="J208" s="390">
        <f t="shared" si="21"/>
        <v>0.54104909579910121</v>
      </c>
      <c r="K208" s="390">
        <f t="shared" si="21"/>
        <v>0.54104909579910121</v>
      </c>
      <c r="L208" s="390">
        <f t="shared" si="21"/>
        <v>0.54104909579910121</v>
      </c>
      <c r="M208" s="390">
        <f t="shared" si="21"/>
        <v>0.54104909579910121</v>
      </c>
      <c r="N208" s="390">
        <f t="shared" si="21"/>
        <v>0.54104909579910121</v>
      </c>
      <c r="O208" s="390">
        <f t="shared" si="21"/>
        <v>0.54104909579910121</v>
      </c>
      <c r="P208" s="390">
        <f t="shared" si="21"/>
        <v>0.54104909579910121</v>
      </c>
      <c r="Q208" s="390">
        <f t="shared" si="21"/>
        <v>0.69800590791538175</v>
      </c>
      <c r="R208" s="390">
        <f t="shared" si="21"/>
        <v>0.54104909579910121</v>
      </c>
      <c r="S208" s="390">
        <f t="shared" si="21"/>
        <v>0.54104909579910121</v>
      </c>
      <c r="T208" s="390">
        <f t="shared" si="21"/>
        <v>0.54104909579910121</v>
      </c>
      <c r="U208" s="390">
        <f t="shared" si="21"/>
        <v>0.54104909579910121</v>
      </c>
      <c r="V208" s="390">
        <f t="shared" si="21"/>
        <v>0.54104909579910121</v>
      </c>
      <c r="W208" s="390">
        <f t="shared" si="21"/>
        <v>0.54104909579910121</v>
      </c>
      <c r="X208" s="390">
        <f t="shared" si="21"/>
        <v>0.54104909579910121</v>
      </c>
      <c r="Y208" s="390">
        <f t="shared" si="21"/>
        <v>0.54104909579910121</v>
      </c>
    </row>
    <row r="209" spans="3:27" x14ac:dyDescent="0.25">
      <c r="E209" s="82"/>
      <c r="F209" s="36" t="s">
        <v>86</v>
      </c>
      <c r="G209" s="15" t="s">
        <v>94</v>
      </c>
      <c r="H209" s="389"/>
      <c r="I209" s="93"/>
      <c r="J209" s="181">
        <f t="shared" si="21"/>
        <v>6.3064171407140796E-2</v>
      </c>
      <c r="K209" s="181">
        <f t="shared" si="21"/>
        <v>6.3064171407140796E-2</v>
      </c>
      <c r="L209" s="181">
        <f t="shared" si="21"/>
        <v>6.3064171407140796E-2</v>
      </c>
      <c r="M209" s="181">
        <f t="shared" si="21"/>
        <v>6.3064171407140796E-2</v>
      </c>
      <c r="N209" s="181">
        <f t="shared" si="21"/>
        <v>6.3064171407140796E-2</v>
      </c>
      <c r="O209" s="181">
        <f t="shared" si="21"/>
        <v>6.3064171407140796E-2</v>
      </c>
      <c r="P209" s="181">
        <f t="shared" si="21"/>
        <v>6.3064171407140796E-2</v>
      </c>
      <c r="Q209" s="181">
        <f t="shared" si="21"/>
        <v>6.3064171407140796E-2</v>
      </c>
      <c r="R209" s="181">
        <f t="shared" si="21"/>
        <v>6.3064171407140796E-2</v>
      </c>
      <c r="S209" s="181">
        <f t="shared" si="21"/>
        <v>6.3064171407140796E-2</v>
      </c>
      <c r="T209" s="181">
        <f t="shared" si="21"/>
        <v>6.3064171407140796E-2</v>
      </c>
      <c r="U209" s="181">
        <f t="shared" si="21"/>
        <v>6.3064171407140796E-2</v>
      </c>
      <c r="V209" s="181">
        <f t="shared" si="21"/>
        <v>6.3064171407140796E-2</v>
      </c>
      <c r="W209" s="181">
        <f t="shared" si="21"/>
        <v>6.3064171407140796E-2</v>
      </c>
      <c r="X209" s="181">
        <f t="shared" si="21"/>
        <v>6.3064171407140796E-2</v>
      </c>
      <c r="Y209" s="181">
        <f t="shared" si="21"/>
        <v>6.3064171407140796E-2</v>
      </c>
    </row>
    <row r="210" spans="3:27" x14ac:dyDescent="0.25">
      <c r="E210" s="82"/>
      <c r="F210" s="109"/>
      <c r="G210" s="14"/>
      <c r="H210" s="143"/>
      <c r="J210" s="390"/>
      <c r="K210" s="390"/>
      <c r="L210" s="390"/>
      <c r="M210" s="390"/>
      <c r="N210" s="390"/>
      <c r="O210" s="390"/>
      <c r="P210" s="390"/>
      <c r="Q210" s="390"/>
      <c r="R210" s="390"/>
      <c r="S210" s="390"/>
      <c r="T210" s="390"/>
      <c r="U210" s="390"/>
      <c r="V210" s="390"/>
      <c r="W210" s="390"/>
      <c r="X210" s="390"/>
      <c r="Y210" s="390"/>
    </row>
    <row r="211" spans="3:27" x14ac:dyDescent="0.25">
      <c r="E211" s="96" t="s">
        <v>587</v>
      </c>
      <c r="G211" s="14"/>
    </row>
    <row r="212" spans="3:27" x14ac:dyDescent="0.2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0.39588673279375791</v>
      </c>
      <c r="K212" s="180">
        <f t="shared" si="22"/>
        <v>0.39588673279375791</v>
      </c>
      <c r="L212" s="180">
        <f t="shared" si="22"/>
        <v>0.39588673279375791</v>
      </c>
      <c r="M212" s="180">
        <f t="shared" si="22"/>
        <v>0.39588673279375791</v>
      </c>
      <c r="N212" s="180">
        <f t="shared" si="22"/>
        <v>0.39588673279375791</v>
      </c>
      <c r="O212" s="180">
        <f t="shared" si="22"/>
        <v>0.39588673279375791</v>
      </c>
      <c r="P212" s="180">
        <f t="shared" si="22"/>
        <v>0.39588673279375791</v>
      </c>
      <c r="Q212" s="180">
        <f t="shared" si="22"/>
        <v>0.23892992067747731</v>
      </c>
      <c r="R212" s="180">
        <f t="shared" si="22"/>
        <v>0.39588673279375791</v>
      </c>
      <c r="S212" s="180">
        <f t="shared" si="22"/>
        <v>0.39588673279375791</v>
      </c>
      <c r="T212" s="180">
        <f t="shared" si="22"/>
        <v>0.39588673279375791</v>
      </c>
      <c r="U212" s="180">
        <f t="shared" si="22"/>
        <v>0.39588673279375791</v>
      </c>
      <c r="V212" s="180">
        <f t="shared" si="22"/>
        <v>0.39588673279375791</v>
      </c>
      <c r="W212" s="180">
        <f t="shared" si="22"/>
        <v>0.39588673279375791</v>
      </c>
      <c r="X212" s="180">
        <f t="shared" si="22"/>
        <v>0.39588673279375791</v>
      </c>
      <c r="Y212" s="180">
        <f t="shared" si="22"/>
        <v>0.39588673279375791</v>
      </c>
    </row>
    <row r="213" spans="3:27" x14ac:dyDescent="0.25">
      <c r="E213" s="82"/>
      <c r="F213" s="109" t="s">
        <v>244</v>
      </c>
      <c r="G213" s="14" t="s">
        <v>94</v>
      </c>
      <c r="H213" s="143"/>
      <c r="J213" s="390">
        <f t="shared" si="22"/>
        <v>0.54104909579910121</v>
      </c>
      <c r="K213" s="390">
        <f t="shared" si="22"/>
        <v>0.54104909579910121</v>
      </c>
      <c r="L213" s="390">
        <f t="shared" si="22"/>
        <v>0.54104909579910121</v>
      </c>
      <c r="M213" s="390">
        <f t="shared" si="22"/>
        <v>0.54104909579910121</v>
      </c>
      <c r="N213" s="390">
        <f t="shared" si="22"/>
        <v>0.54104909579910121</v>
      </c>
      <c r="O213" s="390">
        <f t="shared" si="22"/>
        <v>0.54104909579910121</v>
      </c>
      <c r="P213" s="390">
        <f t="shared" si="22"/>
        <v>0.54104909579910121</v>
      </c>
      <c r="Q213" s="390">
        <f t="shared" si="22"/>
        <v>0.69800590791538175</v>
      </c>
      <c r="R213" s="390">
        <f t="shared" si="22"/>
        <v>0.54104909579910121</v>
      </c>
      <c r="S213" s="390">
        <f t="shared" si="22"/>
        <v>0.54104909579910121</v>
      </c>
      <c r="T213" s="390">
        <f t="shared" si="22"/>
        <v>0.54104909579910121</v>
      </c>
      <c r="U213" s="390">
        <f t="shared" si="22"/>
        <v>0.54104909579910121</v>
      </c>
      <c r="V213" s="390">
        <f t="shared" si="22"/>
        <v>0.54104909579910121</v>
      </c>
      <c r="W213" s="390">
        <f t="shared" si="22"/>
        <v>0.54104909579910121</v>
      </c>
      <c r="X213" s="390">
        <f t="shared" si="22"/>
        <v>0.54104909579910121</v>
      </c>
      <c r="Y213" s="390">
        <f t="shared" si="22"/>
        <v>0.54104909579910121</v>
      </c>
    </row>
    <row r="214" spans="3:27" x14ac:dyDescent="0.25">
      <c r="E214" s="82"/>
      <c r="F214" s="36" t="s">
        <v>86</v>
      </c>
      <c r="G214" s="15" t="s">
        <v>94</v>
      </c>
      <c r="H214" s="389"/>
      <c r="I214" s="93"/>
      <c r="J214" s="181">
        <f t="shared" si="22"/>
        <v>6.3064171407140796E-2</v>
      </c>
      <c r="K214" s="181">
        <f t="shared" si="22"/>
        <v>6.3064171407140796E-2</v>
      </c>
      <c r="L214" s="181">
        <f t="shared" si="22"/>
        <v>6.3064171407140796E-2</v>
      </c>
      <c r="M214" s="181">
        <f t="shared" si="22"/>
        <v>6.3064171407140796E-2</v>
      </c>
      <c r="N214" s="181">
        <f t="shared" si="22"/>
        <v>6.3064171407140796E-2</v>
      </c>
      <c r="O214" s="181">
        <f t="shared" si="22"/>
        <v>6.3064171407140796E-2</v>
      </c>
      <c r="P214" s="181">
        <f t="shared" si="22"/>
        <v>6.3064171407140796E-2</v>
      </c>
      <c r="Q214" s="181">
        <f t="shared" si="22"/>
        <v>6.3064171407140796E-2</v>
      </c>
      <c r="R214" s="181">
        <f t="shared" si="22"/>
        <v>6.3064171407140796E-2</v>
      </c>
      <c r="S214" s="181">
        <f t="shared" si="22"/>
        <v>6.3064171407140796E-2</v>
      </c>
      <c r="T214" s="181">
        <f t="shared" si="22"/>
        <v>6.3064171407140796E-2</v>
      </c>
      <c r="U214" s="181">
        <f t="shared" si="22"/>
        <v>6.3064171407140796E-2</v>
      </c>
      <c r="V214" s="181">
        <f t="shared" si="22"/>
        <v>6.3064171407140796E-2</v>
      </c>
      <c r="W214" s="181">
        <f t="shared" si="22"/>
        <v>6.3064171407140796E-2</v>
      </c>
      <c r="X214" s="181">
        <f t="shared" si="22"/>
        <v>6.3064171407140796E-2</v>
      </c>
      <c r="Y214" s="181">
        <f t="shared" si="22"/>
        <v>6.3064171407140796E-2</v>
      </c>
    </row>
    <row r="215" spans="3:27" x14ac:dyDescent="0.25">
      <c r="E215" s="82"/>
      <c r="F215" s="109"/>
      <c r="G215" s="14"/>
      <c r="H215" s="143"/>
      <c r="J215" s="390"/>
      <c r="K215" s="390"/>
      <c r="L215" s="390"/>
      <c r="M215" s="390"/>
      <c r="N215" s="390"/>
      <c r="O215" s="390"/>
      <c r="P215" s="390"/>
      <c r="Q215" s="390"/>
      <c r="R215" s="390"/>
      <c r="S215" s="390"/>
      <c r="T215" s="390"/>
      <c r="U215" s="390"/>
      <c r="V215" s="390"/>
      <c r="W215" s="390"/>
      <c r="X215" s="390"/>
      <c r="Y215" s="390"/>
    </row>
    <row r="216" spans="3:27" x14ac:dyDescent="0.25">
      <c r="E216" s="96" t="s">
        <v>588</v>
      </c>
      <c r="G216" s="14"/>
    </row>
    <row r="217" spans="3:27" x14ac:dyDescent="0.2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0.39588673279375791</v>
      </c>
      <c r="K217" s="180">
        <f t="shared" si="23"/>
        <v>0.39588673279375791</v>
      </c>
      <c r="L217" s="180">
        <f t="shared" si="23"/>
        <v>0.39588673279375791</v>
      </c>
      <c r="M217" s="180">
        <f t="shared" si="23"/>
        <v>0.39588673279375791</v>
      </c>
      <c r="N217" s="180">
        <f t="shared" si="23"/>
        <v>0.39588673279375791</v>
      </c>
      <c r="O217" s="180">
        <f t="shared" si="23"/>
        <v>0.39588673279375791</v>
      </c>
      <c r="P217" s="180">
        <f t="shared" si="23"/>
        <v>0.39588673279375791</v>
      </c>
      <c r="Q217" s="180">
        <f t="shared" si="23"/>
        <v>0.23892992067747731</v>
      </c>
      <c r="R217" s="180">
        <f t="shared" si="23"/>
        <v>0.39588673279375791</v>
      </c>
      <c r="S217" s="180">
        <f t="shared" si="23"/>
        <v>0.39588673279375791</v>
      </c>
      <c r="T217" s="180">
        <f t="shared" si="23"/>
        <v>0.39588673279375791</v>
      </c>
      <c r="U217" s="180">
        <f t="shared" si="23"/>
        <v>0.39588673279375791</v>
      </c>
      <c r="V217" s="180">
        <f t="shared" si="23"/>
        <v>0.39588673279375791</v>
      </c>
      <c r="W217" s="180">
        <f t="shared" si="23"/>
        <v>0.39588673279375791</v>
      </c>
      <c r="X217" s="180">
        <f t="shared" si="23"/>
        <v>0.39588673279375791</v>
      </c>
      <c r="Y217" s="180">
        <f t="shared" si="23"/>
        <v>0.39588673279375791</v>
      </c>
    </row>
    <row r="218" spans="3:27" x14ac:dyDescent="0.25">
      <c r="E218" s="82"/>
      <c r="F218" s="109" t="s">
        <v>244</v>
      </c>
      <c r="G218" s="14" t="s">
        <v>94</v>
      </c>
      <c r="H218" s="143"/>
      <c r="J218" s="390">
        <f t="shared" si="23"/>
        <v>0.54104909579910121</v>
      </c>
      <c r="K218" s="390">
        <f t="shared" si="23"/>
        <v>0.54104909579910121</v>
      </c>
      <c r="L218" s="390">
        <f t="shared" si="23"/>
        <v>0.54104909579910121</v>
      </c>
      <c r="M218" s="390">
        <f t="shared" si="23"/>
        <v>0.54104909579910121</v>
      </c>
      <c r="N218" s="390">
        <f t="shared" si="23"/>
        <v>0.54104909579910121</v>
      </c>
      <c r="O218" s="390">
        <f t="shared" si="23"/>
        <v>0.54104909579910121</v>
      </c>
      <c r="P218" s="390">
        <f t="shared" si="23"/>
        <v>0.54104909579910121</v>
      </c>
      <c r="Q218" s="390">
        <f t="shared" si="23"/>
        <v>0.69800590791538175</v>
      </c>
      <c r="R218" s="390">
        <f t="shared" si="23"/>
        <v>0.54104909579910121</v>
      </c>
      <c r="S218" s="390">
        <f t="shared" si="23"/>
        <v>0.54104909579910121</v>
      </c>
      <c r="T218" s="390">
        <f t="shared" si="23"/>
        <v>0.54104909579910121</v>
      </c>
      <c r="U218" s="390">
        <f t="shared" si="23"/>
        <v>0.54104909579910121</v>
      </c>
      <c r="V218" s="390">
        <f t="shared" si="23"/>
        <v>0.54104909579910121</v>
      </c>
      <c r="W218" s="390">
        <f t="shared" si="23"/>
        <v>0.54104909579910121</v>
      </c>
      <c r="X218" s="390">
        <f t="shared" si="23"/>
        <v>0.54104909579910121</v>
      </c>
      <c r="Y218" s="390">
        <f t="shared" si="23"/>
        <v>0.54104909579910121</v>
      </c>
    </row>
    <row r="219" spans="3:27" x14ac:dyDescent="0.25">
      <c r="E219" s="82"/>
      <c r="F219" s="36" t="s">
        <v>86</v>
      </c>
      <c r="G219" s="15" t="s">
        <v>94</v>
      </c>
      <c r="H219" s="389"/>
      <c r="I219" s="93"/>
      <c r="J219" s="181">
        <f t="shared" si="23"/>
        <v>6.3064171407140796E-2</v>
      </c>
      <c r="K219" s="181">
        <f t="shared" si="23"/>
        <v>6.3064171407140796E-2</v>
      </c>
      <c r="L219" s="181">
        <f t="shared" si="23"/>
        <v>6.3064171407140796E-2</v>
      </c>
      <c r="M219" s="181">
        <f t="shared" si="23"/>
        <v>6.3064171407140796E-2</v>
      </c>
      <c r="N219" s="181">
        <f t="shared" si="23"/>
        <v>6.3064171407140796E-2</v>
      </c>
      <c r="O219" s="181">
        <f t="shared" si="23"/>
        <v>6.3064171407140796E-2</v>
      </c>
      <c r="P219" s="181">
        <f t="shared" si="23"/>
        <v>6.3064171407140796E-2</v>
      </c>
      <c r="Q219" s="181">
        <f t="shared" si="23"/>
        <v>6.3064171407140796E-2</v>
      </c>
      <c r="R219" s="181">
        <f t="shared" si="23"/>
        <v>6.3064171407140796E-2</v>
      </c>
      <c r="S219" s="181">
        <f t="shared" si="23"/>
        <v>6.3064171407140796E-2</v>
      </c>
      <c r="T219" s="181">
        <f t="shared" si="23"/>
        <v>6.3064171407140796E-2</v>
      </c>
      <c r="U219" s="181">
        <f t="shared" si="23"/>
        <v>6.3064171407140796E-2</v>
      </c>
      <c r="V219" s="181">
        <f t="shared" si="23"/>
        <v>6.3064171407140796E-2</v>
      </c>
      <c r="W219" s="181">
        <f t="shared" si="23"/>
        <v>6.3064171407140796E-2</v>
      </c>
      <c r="X219" s="181">
        <f t="shared" si="23"/>
        <v>6.3064171407140796E-2</v>
      </c>
      <c r="Y219" s="181">
        <f t="shared" si="23"/>
        <v>6.3064171407140796E-2</v>
      </c>
    </row>
    <row r="220" spans="3:27" x14ac:dyDescent="0.25">
      <c r="D220" s="82"/>
      <c r="E220" s="109"/>
      <c r="G220" s="14"/>
      <c r="H220" s="143"/>
      <c r="J220" s="390"/>
      <c r="K220" s="390"/>
      <c r="L220" s="390"/>
      <c r="M220" s="390"/>
      <c r="N220" s="390"/>
      <c r="O220" s="390"/>
      <c r="P220" s="390"/>
      <c r="Q220" s="390"/>
      <c r="R220" s="390"/>
      <c r="S220" s="390"/>
      <c r="T220" s="390"/>
      <c r="U220" s="390"/>
      <c r="V220" s="390"/>
      <c r="W220" s="390"/>
      <c r="X220" s="390"/>
      <c r="Y220" s="390"/>
    </row>
    <row r="221" spans="3:27" x14ac:dyDescent="0.25">
      <c r="C221" s="7" t="str">
        <f ca="1">INDEX('Version control'!$H$34:$H$60,MATCH($A$1,'Version control'!$F$34:$F$60,0),1)&amp;"-J: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0"/>
      <c r="K222" s="390"/>
      <c r="L222" s="390"/>
      <c r="M222" s="390"/>
      <c r="N222" s="390"/>
      <c r="O222" s="390"/>
      <c r="P222" s="390"/>
      <c r="Q222" s="390"/>
      <c r="R222" s="390"/>
      <c r="S222" s="390"/>
      <c r="T222" s="390"/>
      <c r="U222" s="390"/>
      <c r="V222" s="390"/>
      <c r="W222" s="390"/>
      <c r="X222" s="390"/>
      <c r="Y222" s="390"/>
    </row>
    <row r="223" spans="3:27" x14ac:dyDescent="0.25">
      <c r="E223" s="96" t="s">
        <v>321</v>
      </c>
      <c r="G223" s="14"/>
    </row>
    <row r="224" spans="3:27" x14ac:dyDescent="0.25">
      <c r="F224" s="16" t="s">
        <v>243</v>
      </c>
      <c r="G224" s="16" t="s">
        <v>523</v>
      </c>
      <c r="H224" s="91"/>
      <c r="I224" s="91"/>
      <c r="J224" s="277">
        <f t="shared" ref="J224:Y226" si="24">1 / J24</f>
        <v>1.277139208173691E-3</v>
      </c>
      <c r="K224" s="277">
        <f t="shared" si="24"/>
        <v>1.277139208173691E-3</v>
      </c>
      <c r="L224" s="277">
        <f t="shared" si="24"/>
        <v>1.277139208173691E-3</v>
      </c>
      <c r="M224" s="277">
        <f t="shared" si="24"/>
        <v>1.277139208173691E-3</v>
      </c>
      <c r="N224" s="277">
        <f t="shared" si="24"/>
        <v>1.277139208173691E-3</v>
      </c>
      <c r="O224" s="277">
        <f t="shared" si="24"/>
        <v>1.277139208173691E-3</v>
      </c>
      <c r="P224" s="277">
        <f t="shared" si="24"/>
        <v>1.277139208173691E-3</v>
      </c>
      <c r="Q224" s="277">
        <f t="shared" si="24"/>
        <v>3.875968992248062E-3</v>
      </c>
      <c r="R224" s="277">
        <f t="shared" si="24"/>
        <v>1.277139208173691E-3</v>
      </c>
      <c r="S224" s="277">
        <f t="shared" si="24"/>
        <v>1.277139208173691E-3</v>
      </c>
      <c r="T224" s="277">
        <f t="shared" si="24"/>
        <v>1.277139208173691E-3</v>
      </c>
      <c r="U224" s="277">
        <f t="shared" si="24"/>
        <v>1.277139208173691E-3</v>
      </c>
      <c r="V224" s="277">
        <f t="shared" si="24"/>
        <v>1.277139208173691E-3</v>
      </c>
      <c r="W224" s="277">
        <f t="shared" si="24"/>
        <v>1.277139208173691E-3</v>
      </c>
      <c r="X224" s="277">
        <f t="shared" si="24"/>
        <v>1.277139208173691E-3</v>
      </c>
      <c r="Y224" s="277">
        <f t="shared" si="24"/>
        <v>1.277139208173691E-3</v>
      </c>
    </row>
    <row r="225" spans="5:25" x14ac:dyDescent="0.25">
      <c r="F225" s="14" t="s">
        <v>244</v>
      </c>
      <c r="G225" s="14" t="s">
        <v>523</v>
      </c>
      <c r="J225" s="252">
        <f t="shared" si="24"/>
        <v>2.9261155815654721E-4</v>
      </c>
      <c r="K225" s="252">
        <f t="shared" si="24"/>
        <v>2.9261155815654721E-4</v>
      </c>
      <c r="L225" s="252">
        <f t="shared" si="24"/>
        <v>2.9261155815654721E-4</v>
      </c>
      <c r="M225" s="252">
        <f t="shared" si="24"/>
        <v>2.9261155815654721E-4</v>
      </c>
      <c r="N225" s="252">
        <f t="shared" si="24"/>
        <v>2.9261155815654721E-4</v>
      </c>
      <c r="O225" s="252">
        <f t="shared" si="24"/>
        <v>2.9261155815654721E-4</v>
      </c>
      <c r="P225" s="252">
        <f t="shared" si="24"/>
        <v>2.9261155815654721E-4</v>
      </c>
      <c r="Q225" s="252">
        <f t="shared" si="24"/>
        <v>2.5364616360177552E-4</v>
      </c>
      <c r="R225" s="252">
        <f t="shared" si="24"/>
        <v>2.9261155815654721E-4</v>
      </c>
      <c r="S225" s="252">
        <f t="shared" si="24"/>
        <v>2.9261155815654721E-4</v>
      </c>
      <c r="T225" s="252">
        <f t="shared" si="24"/>
        <v>2.9261155815654721E-4</v>
      </c>
      <c r="U225" s="252">
        <f t="shared" si="24"/>
        <v>2.9261155815654721E-4</v>
      </c>
      <c r="V225" s="252">
        <f t="shared" si="24"/>
        <v>2.9261155815654721E-4</v>
      </c>
      <c r="W225" s="252">
        <f t="shared" si="24"/>
        <v>2.9261155815654721E-4</v>
      </c>
      <c r="X225" s="252">
        <f t="shared" si="24"/>
        <v>2.9261155815654721E-4</v>
      </c>
      <c r="Y225" s="252">
        <f t="shared" si="24"/>
        <v>2.9261155815654721E-4</v>
      </c>
    </row>
    <row r="226" spans="5:25" x14ac:dyDescent="0.25">
      <c r="F226" s="15" t="s">
        <v>86</v>
      </c>
      <c r="G226" s="15" t="s">
        <v>523</v>
      </c>
      <c r="H226" s="93"/>
      <c r="I226" s="93"/>
      <c r="J226" s="271">
        <f t="shared" si="24"/>
        <v>2.193222941111964E-4</v>
      </c>
      <c r="K226" s="271">
        <f t="shared" si="24"/>
        <v>2.193222941111964E-4</v>
      </c>
      <c r="L226" s="271">
        <f t="shared" si="24"/>
        <v>2.193222941111964E-4</v>
      </c>
      <c r="M226" s="271">
        <f t="shared" si="24"/>
        <v>2.193222941111964E-4</v>
      </c>
      <c r="N226" s="271">
        <f t="shared" si="24"/>
        <v>2.193222941111964E-4</v>
      </c>
      <c r="O226" s="271">
        <f t="shared" si="24"/>
        <v>2.193222941111964E-4</v>
      </c>
      <c r="P226" s="271">
        <f t="shared" si="24"/>
        <v>2.193222941111964E-4</v>
      </c>
      <c r="Q226" s="271">
        <f t="shared" si="24"/>
        <v>2.193222941111964E-4</v>
      </c>
      <c r="R226" s="271">
        <f t="shared" si="24"/>
        <v>2.193222941111964E-4</v>
      </c>
      <c r="S226" s="271">
        <f t="shared" si="24"/>
        <v>2.193222941111964E-4</v>
      </c>
      <c r="T226" s="271">
        <f t="shared" si="24"/>
        <v>2.193222941111964E-4</v>
      </c>
      <c r="U226" s="271">
        <f t="shared" si="24"/>
        <v>2.193222941111964E-4</v>
      </c>
      <c r="V226" s="271">
        <f t="shared" si="24"/>
        <v>2.193222941111964E-4</v>
      </c>
      <c r="W226" s="271">
        <f t="shared" si="24"/>
        <v>2.193222941111964E-4</v>
      </c>
      <c r="X226" s="271">
        <f t="shared" si="24"/>
        <v>2.193222941111964E-4</v>
      </c>
      <c r="Y226" s="271">
        <f t="shared" si="24"/>
        <v>2.193222941111964E-4</v>
      </c>
    </row>
    <row r="227" spans="5:25" x14ac:dyDescent="0.2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2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25">
      <c r="F229" s="107" t="s">
        <v>43</v>
      </c>
      <c r="G229" s="16" t="s">
        <v>428</v>
      </c>
      <c r="H229" s="91"/>
      <c r="I229" s="91"/>
      <c r="J229" s="270">
        <f>J177 * J$224 * hours_in_year</f>
        <v>7.7533124014775545</v>
      </c>
      <c r="K229" s="270">
        <f t="shared" ref="K229:Y229" si="25">K177 * K$224 * hours_in_year</f>
        <v>7.7533124014775545</v>
      </c>
      <c r="L229" s="270">
        <f t="shared" si="25"/>
        <v>7.7533124014775545</v>
      </c>
      <c r="M229" s="270">
        <f t="shared" si="25"/>
        <v>7.7533124014775545</v>
      </c>
      <c r="N229" s="270">
        <f t="shared" si="25"/>
        <v>7.7533124014775545</v>
      </c>
      <c r="O229" s="270">
        <f t="shared" si="25"/>
        <v>7.7533124014775545</v>
      </c>
      <c r="P229" s="270">
        <f t="shared" si="25"/>
        <v>7.7533124014775545</v>
      </c>
      <c r="Q229" s="270">
        <f t="shared" si="25"/>
        <v>14.405740964154615</v>
      </c>
      <c r="R229" s="270">
        <f t="shared" si="25"/>
        <v>7.7533124014775545</v>
      </c>
      <c r="S229" s="270">
        <f t="shared" si="25"/>
        <v>7.7533124014775545</v>
      </c>
      <c r="T229" s="270">
        <f t="shared" si="25"/>
        <v>7.7533124014775545</v>
      </c>
      <c r="U229" s="270">
        <f t="shared" si="25"/>
        <v>7.7533124014775545</v>
      </c>
      <c r="V229" s="270">
        <f t="shared" si="25"/>
        <v>7.7533124014775545</v>
      </c>
      <c r="W229" s="270">
        <f t="shared" si="25"/>
        <v>7.7533124014775545</v>
      </c>
      <c r="X229" s="270">
        <f t="shared" si="25"/>
        <v>7.7533124014775545</v>
      </c>
      <c r="Y229" s="270">
        <f t="shared" si="25"/>
        <v>7.7533124014775545</v>
      </c>
    </row>
    <row r="230" spans="5:25" x14ac:dyDescent="0.25">
      <c r="F230" s="395" t="s">
        <v>44</v>
      </c>
      <c r="G230" s="14" t="s">
        <v>428</v>
      </c>
      <c r="J230" s="270">
        <f t="shared" ref="J230:Y230" si="26">J182 * J224 * hours_in_year</f>
        <v>7.7533124014775545</v>
      </c>
      <c r="K230" s="270">
        <f t="shared" si="26"/>
        <v>7.7533124014775545</v>
      </c>
      <c r="L230" s="270">
        <f t="shared" si="26"/>
        <v>7.7533124014775545</v>
      </c>
      <c r="M230" s="270">
        <f t="shared" si="26"/>
        <v>7.7533124014775545</v>
      </c>
      <c r="N230" s="270">
        <f t="shared" si="26"/>
        <v>7.7533124014775545</v>
      </c>
      <c r="O230" s="270">
        <f t="shared" si="26"/>
        <v>7.7533124014775545</v>
      </c>
      <c r="P230" s="270">
        <f t="shared" si="26"/>
        <v>7.7533124014775545</v>
      </c>
      <c r="Q230" s="270">
        <f t="shared" si="26"/>
        <v>14.405740964154615</v>
      </c>
      <c r="R230" s="270">
        <f t="shared" si="26"/>
        <v>7.7533124014775545</v>
      </c>
      <c r="S230" s="270">
        <f t="shared" si="26"/>
        <v>7.7533124014775545</v>
      </c>
      <c r="T230" s="270">
        <f t="shared" si="26"/>
        <v>7.7533124014775545</v>
      </c>
      <c r="U230" s="270">
        <f t="shared" si="26"/>
        <v>7.7533124014775545</v>
      </c>
      <c r="V230" s="270">
        <f t="shared" si="26"/>
        <v>7.7533124014775545</v>
      </c>
      <c r="W230" s="270">
        <f t="shared" si="26"/>
        <v>7.7533124014775545</v>
      </c>
      <c r="X230" s="270">
        <f t="shared" si="26"/>
        <v>7.7533124014775545</v>
      </c>
      <c r="Y230" s="270">
        <f t="shared" si="26"/>
        <v>7.7533124014775545</v>
      </c>
    </row>
    <row r="231" spans="5:25" x14ac:dyDescent="0.25">
      <c r="F231" s="395" t="s">
        <v>45</v>
      </c>
      <c r="G231" s="14" t="s">
        <v>428</v>
      </c>
      <c r="J231" s="270">
        <f t="shared" ref="J231:Y231" si="27">J187 * J224 * hours_in_year</f>
        <v>5.2511093519762886</v>
      </c>
      <c r="K231" s="270">
        <f t="shared" si="27"/>
        <v>5.2511093519762886</v>
      </c>
      <c r="L231" s="270">
        <f t="shared" si="27"/>
        <v>5.2511093519762886</v>
      </c>
      <c r="M231" s="270">
        <f t="shared" si="27"/>
        <v>5.2511093519762886</v>
      </c>
      <c r="N231" s="270">
        <f t="shared" si="27"/>
        <v>5.2511093519762886</v>
      </c>
      <c r="O231" s="270">
        <f t="shared" si="27"/>
        <v>5.2511093519762886</v>
      </c>
      <c r="P231" s="270">
        <f t="shared" si="27"/>
        <v>5.2511093519762886</v>
      </c>
      <c r="Q231" s="270">
        <f t="shared" si="27"/>
        <v>7.4477676189808397</v>
      </c>
      <c r="R231" s="270">
        <f t="shared" si="27"/>
        <v>5.2511093519762886</v>
      </c>
      <c r="S231" s="270">
        <f t="shared" si="27"/>
        <v>5.2511093519762886</v>
      </c>
      <c r="T231" s="270">
        <f t="shared" si="27"/>
        <v>5.2511093519762886</v>
      </c>
      <c r="U231" s="270">
        <f t="shared" si="27"/>
        <v>5.2511093519762886</v>
      </c>
      <c r="V231" s="270">
        <f t="shared" si="27"/>
        <v>5.2511093519762886</v>
      </c>
      <c r="W231" s="270">
        <f t="shared" si="27"/>
        <v>5.2511093519762886</v>
      </c>
      <c r="X231" s="270">
        <f t="shared" si="27"/>
        <v>5.2511093519762886</v>
      </c>
      <c r="Y231" s="270">
        <f t="shared" si="27"/>
        <v>5.2511093519762886</v>
      </c>
    </row>
    <row r="232" spans="5:25" x14ac:dyDescent="0.25">
      <c r="F232" s="395" t="s">
        <v>46</v>
      </c>
      <c r="G232" s="14" t="s">
        <v>428</v>
      </c>
      <c r="J232" s="270">
        <f t="shared" ref="J232:Y232" si="28">J192 * J224 * hours_in_year</f>
        <v>5.2511093519762886</v>
      </c>
      <c r="K232" s="270">
        <f t="shared" si="28"/>
        <v>5.2511093519762886</v>
      </c>
      <c r="L232" s="270">
        <f t="shared" si="28"/>
        <v>5.2511093519762886</v>
      </c>
      <c r="M232" s="270">
        <f t="shared" si="28"/>
        <v>5.2511093519762886</v>
      </c>
      <c r="N232" s="270">
        <f t="shared" si="28"/>
        <v>5.2511093519762886</v>
      </c>
      <c r="O232" s="270">
        <f t="shared" si="28"/>
        <v>5.2511093519762886</v>
      </c>
      <c r="P232" s="270">
        <f t="shared" si="28"/>
        <v>5.2511093519762886</v>
      </c>
      <c r="Q232" s="270">
        <f t="shared" si="28"/>
        <v>7.4477676189808397</v>
      </c>
      <c r="R232" s="270">
        <f t="shared" si="28"/>
        <v>5.2511093519762886</v>
      </c>
      <c r="S232" s="270">
        <f t="shared" si="28"/>
        <v>5.2511093519762886</v>
      </c>
      <c r="T232" s="270">
        <f t="shared" si="28"/>
        <v>5.2511093519762886</v>
      </c>
      <c r="U232" s="270">
        <f t="shared" si="28"/>
        <v>5.2511093519762886</v>
      </c>
      <c r="V232" s="270">
        <f t="shared" si="28"/>
        <v>5.2511093519762886</v>
      </c>
      <c r="W232" s="270">
        <f t="shared" si="28"/>
        <v>5.2511093519762886</v>
      </c>
      <c r="X232" s="270">
        <f t="shared" si="28"/>
        <v>5.2511093519762886</v>
      </c>
      <c r="Y232" s="270">
        <f t="shared" si="28"/>
        <v>5.2511093519762886</v>
      </c>
    </row>
    <row r="233" spans="5:25" x14ac:dyDescent="0.25">
      <c r="F233" s="395" t="s">
        <v>47</v>
      </c>
      <c r="G233" s="14" t="s">
        <v>428</v>
      </c>
      <c r="J233" s="270">
        <f t="shared" ref="J233:Y233" si="29">J197 * J224 * hours_in_year</f>
        <v>4.4290776235930007</v>
      </c>
      <c r="K233" s="270">
        <f t="shared" si="29"/>
        <v>4.4290776235930007</v>
      </c>
      <c r="L233" s="270">
        <f t="shared" si="29"/>
        <v>4.4290776235930007</v>
      </c>
      <c r="M233" s="270">
        <f t="shared" si="29"/>
        <v>4.4290776235930007</v>
      </c>
      <c r="N233" s="270">
        <f t="shared" si="29"/>
        <v>4.4290776235930007</v>
      </c>
      <c r="O233" s="270">
        <f t="shared" si="29"/>
        <v>4.4290776235930007</v>
      </c>
      <c r="P233" s="270">
        <f t="shared" si="29"/>
        <v>4.4290776235930007</v>
      </c>
      <c r="Q233" s="270">
        <f t="shared" si="29"/>
        <v>8.1125042834678354</v>
      </c>
      <c r="R233" s="270">
        <f t="shared" si="29"/>
        <v>4.4290776235930007</v>
      </c>
      <c r="S233" s="270">
        <f t="shared" si="29"/>
        <v>4.4290776235930007</v>
      </c>
      <c r="T233" s="270">
        <f t="shared" si="29"/>
        <v>4.4290776235930007</v>
      </c>
      <c r="U233" s="270">
        <f t="shared" si="29"/>
        <v>4.4290776235930007</v>
      </c>
      <c r="V233" s="270">
        <f t="shared" si="29"/>
        <v>4.4290776235930007</v>
      </c>
      <c r="W233" s="270">
        <f t="shared" si="29"/>
        <v>4.4290776235930007</v>
      </c>
      <c r="X233" s="270">
        <f t="shared" si="29"/>
        <v>4.4290776235930007</v>
      </c>
      <c r="Y233" s="270">
        <f t="shared" si="29"/>
        <v>4.4290776235930007</v>
      </c>
    </row>
    <row r="234" spans="5:25" x14ac:dyDescent="0.25">
      <c r="F234" s="395" t="s">
        <v>51</v>
      </c>
      <c r="G234" s="14" t="s">
        <v>428</v>
      </c>
      <c r="J234" s="270">
        <f t="shared" ref="J234:Y234" si="30">J202 * J224 * hours_in_year</f>
        <v>0</v>
      </c>
      <c r="K234" s="270">
        <f t="shared" si="30"/>
        <v>0</v>
      </c>
      <c r="L234" s="270">
        <f t="shared" si="30"/>
        <v>0</v>
      </c>
      <c r="M234" s="270">
        <f t="shared" si="30"/>
        <v>0</v>
      </c>
      <c r="N234" s="270">
        <f t="shared" si="30"/>
        <v>0</v>
      </c>
      <c r="O234" s="270">
        <f t="shared" si="30"/>
        <v>0</v>
      </c>
      <c r="P234" s="270">
        <f t="shared" si="30"/>
        <v>0</v>
      </c>
      <c r="Q234" s="270">
        <f t="shared" si="30"/>
        <v>0</v>
      </c>
      <c r="R234" s="270">
        <f t="shared" si="30"/>
        <v>0</v>
      </c>
      <c r="S234" s="270">
        <f t="shared" si="30"/>
        <v>0</v>
      </c>
      <c r="T234" s="270">
        <f t="shared" si="30"/>
        <v>0</v>
      </c>
      <c r="U234" s="270">
        <f t="shared" si="30"/>
        <v>0</v>
      </c>
      <c r="V234" s="270">
        <f t="shared" si="30"/>
        <v>0</v>
      </c>
      <c r="W234" s="270">
        <f t="shared" si="30"/>
        <v>0</v>
      </c>
      <c r="X234" s="270">
        <f t="shared" si="30"/>
        <v>0</v>
      </c>
      <c r="Y234" s="270">
        <f t="shared" si="30"/>
        <v>0</v>
      </c>
    </row>
    <row r="235" spans="5:25" x14ac:dyDescent="0.25">
      <c r="F235" s="395" t="s">
        <v>48</v>
      </c>
      <c r="G235" s="14" t="s">
        <v>428</v>
      </c>
      <c r="J235" s="270">
        <f t="shared" ref="J235:Y235" si="31">J207 * J224 * hours_in_year</f>
        <v>4.4290776235930007</v>
      </c>
      <c r="K235" s="270">
        <f t="shared" si="31"/>
        <v>4.4290776235930007</v>
      </c>
      <c r="L235" s="270">
        <f t="shared" si="31"/>
        <v>4.4290776235930007</v>
      </c>
      <c r="M235" s="270">
        <f t="shared" si="31"/>
        <v>4.4290776235930007</v>
      </c>
      <c r="N235" s="270">
        <f t="shared" si="31"/>
        <v>4.4290776235930007</v>
      </c>
      <c r="O235" s="270">
        <f t="shared" si="31"/>
        <v>4.4290776235930007</v>
      </c>
      <c r="P235" s="270">
        <f t="shared" si="31"/>
        <v>4.4290776235930007</v>
      </c>
      <c r="Q235" s="270">
        <f t="shared" si="31"/>
        <v>8.1125042834678354</v>
      </c>
      <c r="R235" s="270">
        <f t="shared" si="31"/>
        <v>4.4290776235930007</v>
      </c>
      <c r="S235" s="270">
        <f t="shared" si="31"/>
        <v>4.4290776235930007</v>
      </c>
      <c r="T235" s="270">
        <f t="shared" si="31"/>
        <v>4.4290776235930007</v>
      </c>
      <c r="U235" s="270">
        <f t="shared" si="31"/>
        <v>4.4290776235930007</v>
      </c>
      <c r="V235" s="270">
        <f t="shared" si="31"/>
        <v>4.4290776235930007</v>
      </c>
      <c r="W235" s="270">
        <f t="shared" si="31"/>
        <v>4.4290776235930007</v>
      </c>
      <c r="X235" s="270">
        <f t="shared" si="31"/>
        <v>4.4290776235930007</v>
      </c>
      <c r="Y235" s="270">
        <f t="shared" si="31"/>
        <v>4.4290776235930007</v>
      </c>
    </row>
    <row r="236" spans="5:25" x14ac:dyDescent="0.25">
      <c r="F236" s="395" t="s">
        <v>49</v>
      </c>
      <c r="G236" s="14" t="s">
        <v>428</v>
      </c>
      <c r="J236" s="270">
        <f t="shared" ref="J236:Y236" si="32">J212 * J224 * hours_in_year</f>
        <v>4.4290776235930007</v>
      </c>
      <c r="K236" s="270">
        <f t="shared" si="32"/>
        <v>4.4290776235930007</v>
      </c>
      <c r="L236" s="270">
        <f t="shared" si="32"/>
        <v>4.4290776235930007</v>
      </c>
      <c r="M236" s="270">
        <f t="shared" si="32"/>
        <v>4.4290776235930007</v>
      </c>
      <c r="N236" s="270">
        <f t="shared" si="32"/>
        <v>4.4290776235930007</v>
      </c>
      <c r="O236" s="270">
        <f t="shared" si="32"/>
        <v>4.4290776235930007</v>
      </c>
      <c r="P236" s="270">
        <f t="shared" si="32"/>
        <v>4.4290776235930007</v>
      </c>
      <c r="Q236" s="270">
        <f t="shared" si="32"/>
        <v>8.1125042834678354</v>
      </c>
      <c r="R236" s="270">
        <f t="shared" si="32"/>
        <v>4.4290776235930007</v>
      </c>
      <c r="S236" s="270">
        <f t="shared" si="32"/>
        <v>4.4290776235930007</v>
      </c>
      <c r="T236" s="270">
        <f t="shared" si="32"/>
        <v>4.4290776235930007</v>
      </c>
      <c r="U236" s="270">
        <f t="shared" si="32"/>
        <v>4.4290776235930007</v>
      </c>
      <c r="V236" s="270">
        <f t="shared" si="32"/>
        <v>4.4290776235930007</v>
      </c>
      <c r="W236" s="270">
        <f t="shared" si="32"/>
        <v>4.4290776235930007</v>
      </c>
      <c r="X236" s="270">
        <f t="shared" si="32"/>
        <v>4.4290776235930007</v>
      </c>
      <c r="Y236" s="270">
        <f t="shared" si="32"/>
        <v>4.4290776235930007</v>
      </c>
    </row>
    <row r="237" spans="5:25" x14ac:dyDescent="0.25">
      <c r="F237" s="116" t="s">
        <v>50</v>
      </c>
      <c r="G237" s="15" t="s">
        <v>428</v>
      </c>
      <c r="H237" s="93"/>
      <c r="I237" s="93"/>
      <c r="J237" s="270">
        <f t="shared" ref="J237:Y237" si="33">J217 * J224 * hours_in_year</f>
        <v>4.4290776235930007</v>
      </c>
      <c r="K237" s="270">
        <f t="shared" si="33"/>
        <v>4.4290776235930007</v>
      </c>
      <c r="L237" s="270">
        <f t="shared" si="33"/>
        <v>4.4290776235930007</v>
      </c>
      <c r="M237" s="270">
        <f t="shared" si="33"/>
        <v>4.4290776235930007</v>
      </c>
      <c r="N237" s="270">
        <f t="shared" si="33"/>
        <v>4.4290776235930007</v>
      </c>
      <c r="O237" s="270">
        <f t="shared" si="33"/>
        <v>4.4290776235930007</v>
      </c>
      <c r="P237" s="270">
        <f t="shared" si="33"/>
        <v>4.4290776235930007</v>
      </c>
      <c r="Q237" s="270">
        <f t="shared" si="33"/>
        <v>8.1125042834678354</v>
      </c>
      <c r="R237" s="270">
        <f t="shared" si="33"/>
        <v>4.4290776235930007</v>
      </c>
      <c r="S237" s="270">
        <f t="shared" si="33"/>
        <v>4.4290776235930007</v>
      </c>
      <c r="T237" s="270">
        <f t="shared" si="33"/>
        <v>4.4290776235930007</v>
      </c>
      <c r="U237" s="270">
        <f t="shared" si="33"/>
        <v>4.4290776235930007</v>
      </c>
      <c r="V237" s="270">
        <f t="shared" si="33"/>
        <v>4.4290776235930007</v>
      </c>
      <c r="W237" s="270">
        <f t="shared" si="33"/>
        <v>4.4290776235930007</v>
      </c>
      <c r="X237" s="270">
        <f t="shared" si="33"/>
        <v>4.4290776235930007</v>
      </c>
      <c r="Y237" s="270">
        <f t="shared" si="33"/>
        <v>4.4290776235930007</v>
      </c>
    </row>
    <row r="238" spans="5:25" x14ac:dyDescent="0.2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2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25">
      <c r="F240" s="16" t="s">
        <v>43</v>
      </c>
      <c r="G240" s="16" t="s">
        <v>428</v>
      </c>
      <c r="H240" s="91"/>
      <c r="I240" s="91"/>
      <c r="J240" s="270">
        <f t="shared" ref="J240:Y240" si="34">J178 * J225 * hours_in_year</f>
        <v>0.68794878528644976</v>
      </c>
      <c r="K240" s="270">
        <f t="shared" si="34"/>
        <v>0.68794878528644976</v>
      </c>
      <c r="L240" s="270">
        <f t="shared" si="34"/>
        <v>0.68794878528644976</v>
      </c>
      <c r="M240" s="270">
        <f t="shared" si="34"/>
        <v>0.68794878528644976</v>
      </c>
      <c r="N240" s="270">
        <f t="shared" si="34"/>
        <v>0.68794878528644976</v>
      </c>
      <c r="O240" s="270">
        <f t="shared" si="34"/>
        <v>0.68794878528644976</v>
      </c>
      <c r="P240" s="270">
        <f t="shared" si="34"/>
        <v>0.68794878528644976</v>
      </c>
      <c r="Q240" s="270">
        <f t="shared" si="34"/>
        <v>1.1934628827701903</v>
      </c>
      <c r="R240" s="270">
        <f t="shared" si="34"/>
        <v>0.68794878528644976</v>
      </c>
      <c r="S240" s="270">
        <f t="shared" si="34"/>
        <v>0.68794878528644976</v>
      </c>
      <c r="T240" s="270">
        <f t="shared" si="34"/>
        <v>0.68794878528644976</v>
      </c>
      <c r="U240" s="270">
        <f t="shared" si="34"/>
        <v>0.68794878528644976</v>
      </c>
      <c r="V240" s="270">
        <f t="shared" si="34"/>
        <v>0.68794878528644976</v>
      </c>
      <c r="W240" s="270">
        <f t="shared" si="34"/>
        <v>0.68794878528644976</v>
      </c>
      <c r="X240" s="270">
        <f t="shared" si="34"/>
        <v>0.68794878528644976</v>
      </c>
      <c r="Y240" s="270">
        <f t="shared" si="34"/>
        <v>0.68794878528644976</v>
      </c>
    </row>
    <row r="241" spans="5:25" x14ac:dyDescent="0.25">
      <c r="F241" s="14" t="s">
        <v>44</v>
      </c>
      <c r="G241" s="14" t="s">
        <v>428</v>
      </c>
      <c r="J241" s="270">
        <f t="shared" ref="J241:Y241" si="35">J183 * J225 * hours_in_year</f>
        <v>0.68794878528644976</v>
      </c>
      <c r="K241" s="270">
        <f t="shared" si="35"/>
        <v>0.68794878528644976</v>
      </c>
      <c r="L241" s="270">
        <f t="shared" si="35"/>
        <v>0.68794878528644976</v>
      </c>
      <c r="M241" s="270">
        <f t="shared" si="35"/>
        <v>0.68794878528644976</v>
      </c>
      <c r="N241" s="270">
        <f t="shared" si="35"/>
        <v>0.68794878528644976</v>
      </c>
      <c r="O241" s="270">
        <f t="shared" si="35"/>
        <v>0.68794878528644976</v>
      </c>
      <c r="P241" s="270">
        <f t="shared" si="35"/>
        <v>0.68794878528644976</v>
      </c>
      <c r="Q241" s="270">
        <f t="shared" si="35"/>
        <v>1.1934628827701903</v>
      </c>
      <c r="R241" s="270">
        <f t="shared" si="35"/>
        <v>0.68794878528644976</v>
      </c>
      <c r="S241" s="270">
        <f t="shared" si="35"/>
        <v>0.68794878528644976</v>
      </c>
      <c r="T241" s="270">
        <f t="shared" si="35"/>
        <v>0.68794878528644976</v>
      </c>
      <c r="U241" s="270">
        <f t="shared" si="35"/>
        <v>0.68794878528644976</v>
      </c>
      <c r="V241" s="270">
        <f t="shared" si="35"/>
        <v>0.68794878528644976</v>
      </c>
      <c r="W241" s="270">
        <f t="shared" si="35"/>
        <v>0.68794878528644976</v>
      </c>
      <c r="X241" s="270">
        <f t="shared" si="35"/>
        <v>0.68794878528644976</v>
      </c>
      <c r="Y241" s="270">
        <f t="shared" si="35"/>
        <v>0.68794878528644976</v>
      </c>
    </row>
    <row r="242" spans="5:25" x14ac:dyDescent="0.25">
      <c r="F242" s="14" t="s">
        <v>45</v>
      </c>
      <c r="G242" s="14" t="s">
        <v>428</v>
      </c>
      <c r="J242" s="270">
        <f t="shared" ref="J242:Y242" si="36">J188 * J225 * hours_in_year</f>
        <v>1.128027062903844</v>
      </c>
      <c r="K242" s="270">
        <f t="shared" si="36"/>
        <v>1.128027062903844</v>
      </c>
      <c r="L242" s="270">
        <f t="shared" si="36"/>
        <v>1.128027062903844</v>
      </c>
      <c r="M242" s="270">
        <f t="shared" si="36"/>
        <v>1.128027062903844</v>
      </c>
      <c r="N242" s="270">
        <f t="shared" si="36"/>
        <v>1.128027062903844</v>
      </c>
      <c r="O242" s="270">
        <f t="shared" si="36"/>
        <v>1.128027062903844</v>
      </c>
      <c r="P242" s="270">
        <f t="shared" si="36"/>
        <v>1.128027062903844</v>
      </c>
      <c r="Q242" s="270">
        <f t="shared" si="36"/>
        <v>1.5333232883637953</v>
      </c>
      <c r="R242" s="270">
        <f t="shared" si="36"/>
        <v>1.128027062903844</v>
      </c>
      <c r="S242" s="270">
        <f t="shared" si="36"/>
        <v>1.128027062903844</v>
      </c>
      <c r="T242" s="270">
        <f t="shared" si="36"/>
        <v>1.128027062903844</v>
      </c>
      <c r="U242" s="270">
        <f t="shared" si="36"/>
        <v>1.128027062903844</v>
      </c>
      <c r="V242" s="270">
        <f t="shared" si="36"/>
        <v>1.128027062903844</v>
      </c>
      <c r="W242" s="270">
        <f t="shared" si="36"/>
        <v>1.128027062903844</v>
      </c>
      <c r="X242" s="270">
        <f t="shared" si="36"/>
        <v>1.128027062903844</v>
      </c>
      <c r="Y242" s="270">
        <f t="shared" si="36"/>
        <v>1.128027062903844</v>
      </c>
    </row>
    <row r="243" spans="5:25" x14ac:dyDescent="0.25">
      <c r="F243" s="14" t="s">
        <v>46</v>
      </c>
      <c r="G243" s="14" t="s">
        <v>428</v>
      </c>
      <c r="J243" s="270">
        <f t="shared" ref="J243:Y243" si="37">J193 * J225 * hours_in_year</f>
        <v>1.128027062903844</v>
      </c>
      <c r="K243" s="270">
        <f t="shared" si="37"/>
        <v>1.128027062903844</v>
      </c>
      <c r="L243" s="270">
        <f t="shared" si="37"/>
        <v>1.128027062903844</v>
      </c>
      <c r="M243" s="270">
        <f t="shared" si="37"/>
        <v>1.128027062903844</v>
      </c>
      <c r="N243" s="270">
        <f t="shared" si="37"/>
        <v>1.128027062903844</v>
      </c>
      <c r="O243" s="270">
        <f t="shared" si="37"/>
        <v>1.128027062903844</v>
      </c>
      <c r="P243" s="270">
        <f t="shared" si="37"/>
        <v>1.128027062903844</v>
      </c>
      <c r="Q243" s="270">
        <f t="shared" si="37"/>
        <v>1.5333232883637953</v>
      </c>
      <c r="R243" s="270">
        <f t="shared" si="37"/>
        <v>1.128027062903844</v>
      </c>
      <c r="S243" s="270">
        <f t="shared" si="37"/>
        <v>1.128027062903844</v>
      </c>
      <c r="T243" s="270">
        <f t="shared" si="37"/>
        <v>1.128027062903844</v>
      </c>
      <c r="U243" s="270">
        <f t="shared" si="37"/>
        <v>1.128027062903844</v>
      </c>
      <c r="V243" s="270">
        <f t="shared" si="37"/>
        <v>1.128027062903844</v>
      </c>
      <c r="W243" s="270">
        <f t="shared" si="37"/>
        <v>1.128027062903844</v>
      </c>
      <c r="X243" s="270">
        <f t="shared" si="37"/>
        <v>1.128027062903844</v>
      </c>
      <c r="Y243" s="270">
        <f t="shared" si="37"/>
        <v>1.128027062903844</v>
      </c>
    </row>
    <row r="244" spans="5:25" x14ac:dyDescent="0.25">
      <c r="F244" s="14" t="s">
        <v>47</v>
      </c>
      <c r="G244" s="14" t="s">
        <v>428</v>
      </c>
      <c r="J244" s="270">
        <f t="shared" ref="J244:Y244" si="38">J198 * J225 * hours_in_year</f>
        <v>1.386858838098062</v>
      </c>
      <c r="K244" s="270">
        <f t="shared" si="38"/>
        <v>1.386858838098062</v>
      </c>
      <c r="L244" s="270">
        <f t="shared" si="38"/>
        <v>1.386858838098062</v>
      </c>
      <c r="M244" s="270">
        <f t="shared" si="38"/>
        <v>1.386858838098062</v>
      </c>
      <c r="N244" s="270">
        <f t="shared" si="38"/>
        <v>1.386858838098062</v>
      </c>
      <c r="O244" s="270">
        <f t="shared" si="38"/>
        <v>1.386858838098062</v>
      </c>
      <c r="P244" s="270">
        <f t="shared" si="38"/>
        <v>1.386858838098062</v>
      </c>
      <c r="Q244" s="270">
        <f t="shared" si="38"/>
        <v>1.5509275214556104</v>
      </c>
      <c r="R244" s="270">
        <f t="shared" si="38"/>
        <v>1.386858838098062</v>
      </c>
      <c r="S244" s="270">
        <f t="shared" si="38"/>
        <v>1.386858838098062</v>
      </c>
      <c r="T244" s="270">
        <f t="shared" si="38"/>
        <v>1.386858838098062</v>
      </c>
      <c r="U244" s="270">
        <f t="shared" si="38"/>
        <v>1.386858838098062</v>
      </c>
      <c r="V244" s="270">
        <f t="shared" si="38"/>
        <v>1.386858838098062</v>
      </c>
      <c r="W244" s="270">
        <f t="shared" si="38"/>
        <v>1.386858838098062</v>
      </c>
      <c r="X244" s="270">
        <f t="shared" si="38"/>
        <v>1.386858838098062</v>
      </c>
      <c r="Y244" s="270">
        <f t="shared" si="38"/>
        <v>1.386858838098062</v>
      </c>
    </row>
    <row r="245" spans="5:25" x14ac:dyDescent="0.25">
      <c r="F245" s="14" t="s">
        <v>51</v>
      </c>
      <c r="G245" s="14" t="s">
        <v>428</v>
      </c>
      <c r="J245" s="270">
        <f t="shared" ref="J245:Y245" si="39">J203 * J225 * hours_in_year</f>
        <v>0</v>
      </c>
      <c r="K245" s="270">
        <f t="shared" si="39"/>
        <v>0</v>
      </c>
      <c r="L245" s="270">
        <f t="shared" si="39"/>
        <v>0</v>
      </c>
      <c r="M245" s="270">
        <f t="shared" si="39"/>
        <v>0</v>
      </c>
      <c r="N245" s="270">
        <f t="shared" si="39"/>
        <v>0</v>
      </c>
      <c r="O245" s="270">
        <f t="shared" si="39"/>
        <v>0</v>
      </c>
      <c r="P245" s="270">
        <f t="shared" si="39"/>
        <v>0</v>
      </c>
      <c r="Q245" s="270">
        <f t="shared" si="39"/>
        <v>0</v>
      </c>
      <c r="R245" s="270">
        <f t="shared" si="39"/>
        <v>0</v>
      </c>
      <c r="S245" s="270">
        <f t="shared" si="39"/>
        <v>0</v>
      </c>
      <c r="T245" s="270">
        <f t="shared" si="39"/>
        <v>0</v>
      </c>
      <c r="U245" s="270">
        <f t="shared" si="39"/>
        <v>0</v>
      </c>
      <c r="V245" s="270">
        <f t="shared" si="39"/>
        <v>0</v>
      </c>
      <c r="W245" s="270">
        <f t="shared" si="39"/>
        <v>0</v>
      </c>
      <c r="X245" s="270">
        <f t="shared" si="39"/>
        <v>0</v>
      </c>
      <c r="Y245" s="270">
        <f t="shared" si="39"/>
        <v>0</v>
      </c>
    </row>
    <row r="246" spans="5:25" x14ac:dyDescent="0.25">
      <c r="F246" s="14" t="s">
        <v>48</v>
      </c>
      <c r="G246" s="14" t="s">
        <v>428</v>
      </c>
      <c r="J246" s="270">
        <f t="shared" ref="J246:Y246" si="40">J208 * J225 * hours_in_year</f>
        <v>1.386858838098062</v>
      </c>
      <c r="K246" s="270">
        <f t="shared" si="40"/>
        <v>1.386858838098062</v>
      </c>
      <c r="L246" s="270">
        <f t="shared" si="40"/>
        <v>1.386858838098062</v>
      </c>
      <c r="M246" s="270">
        <f t="shared" si="40"/>
        <v>1.386858838098062</v>
      </c>
      <c r="N246" s="270">
        <f t="shared" si="40"/>
        <v>1.386858838098062</v>
      </c>
      <c r="O246" s="270">
        <f t="shared" si="40"/>
        <v>1.386858838098062</v>
      </c>
      <c r="P246" s="270">
        <f t="shared" si="40"/>
        <v>1.386858838098062</v>
      </c>
      <c r="Q246" s="270">
        <f t="shared" si="40"/>
        <v>1.5509275214556104</v>
      </c>
      <c r="R246" s="270">
        <f t="shared" si="40"/>
        <v>1.386858838098062</v>
      </c>
      <c r="S246" s="270">
        <f t="shared" si="40"/>
        <v>1.386858838098062</v>
      </c>
      <c r="T246" s="270">
        <f t="shared" si="40"/>
        <v>1.386858838098062</v>
      </c>
      <c r="U246" s="270">
        <f t="shared" si="40"/>
        <v>1.386858838098062</v>
      </c>
      <c r="V246" s="270">
        <f t="shared" si="40"/>
        <v>1.386858838098062</v>
      </c>
      <c r="W246" s="270">
        <f t="shared" si="40"/>
        <v>1.386858838098062</v>
      </c>
      <c r="X246" s="270">
        <f t="shared" si="40"/>
        <v>1.386858838098062</v>
      </c>
      <c r="Y246" s="270">
        <f t="shared" si="40"/>
        <v>1.386858838098062</v>
      </c>
    </row>
    <row r="247" spans="5:25" x14ac:dyDescent="0.25">
      <c r="F247" s="14" t="s">
        <v>49</v>
      </c>
      <c r="G247" s="14" t="s">
        <v>428</v>
      </c>
      <c r="J247" s="270">
        <f t="shared" ref="J247:Y247" si="41">J213 * J225 * hours_in_year</f>
        <v>1.386858838098062</v>
      </c>
      <c r="K247" s="270">
        <f t="shared" si="41"/>
        <v>1.386858838098062</v>
      </c>
      <c r="L247" s="270">
        <f t="shared" si="41"/>
        <v>1.386858838098062</v>
      </c>
      <c r="M247" s="270">
        <f t="shared" si="41"/>
        <v>1.386858838098062</v>
      </c>
      <c r="N247" s="270">
        <f t="shared" si="41"/>
        <v>1.386858838098062</v>
      </c>
      <c r="O247" s="270">
        <f t="shared" si="41"/>
        <v>1.386858838098062</v>
      </c>
      <c r="P247" s="270">
        <f t="shared" si="41"/>
        <v>1.386858838098062</v>
      </c>
      <c r="Q247" s="270">
        <f t="shared" si="41"/>
        <v>1.5509275214556104</v>
      </c>
      <c r="R247" s="270">
        <f t="shared" si="41"/>
        <v>1.386858838098062</v>
      </c>
      <c r="S247" s="270">
        <f t="shared" si="41"/>
        <v>1.386858838098062</v>
      </c>
      <c r="T247" s="270">
        <f t="shared" si="41"/>
        <v>1.386858838098062</v>
      </c>
      <c r="U247" s="270">
        <f t="shared" si="41"/>
        <v>1.386858838098062</v>
      </c>
      <c r="V247" s="270">
        <f t="shared" si="41"/>
        <v>1.386858838098062</v>
      </c>
      <c r="W247" s="270">
        <f t="shared" si="41"/>
        <v>1.386858838098062</v>
      </c>
      <c r="X247" s="270">
        <f t="shared" si="41"/>
        <v>1.386858838098062</v>
      </c>
      <c r="Y247" s="270">
        <f t="shared" si="41"/>
        <v>1.386858838098062</v>
      </c>
    </row>
    <row r="248" spans="5:25" x14ac:dyDescent="0.25">
      <c r="F248" s="15" t="s">
        <v>50</v>
      </c>
      <c r="G248" s="15" t="s">
        <v>428</v>
      </c>
      <c r="H248" s="93"/>
      <c r="I248" s="93"/>
      <c r="J248" s="270">
        <f t="shared" ref="J248:Y248" si="42">J218 * J225 * hours_in_year</f>
        <v>1.386858838098062</v>
      </c>
      <c r="K248" s="270">
        <f t="shared" si="42"/>
        <v>1.386858838098062</v>
      </c>
      <c r="L248" s="270">
        <f t="shared" si="42"/>
        <v>1.386858838098062</v>
      </c>
      <c r="M248" s="270">
        <f t="shared" si="42"/>
        <v>1.386858838098062</v>
      </c>
      <c r="N248" s="270">
        <f t="shared" si="42"/>
        <v>1.386858838098062</v>
      </c>
      <c r="O248" s="270">
        <f t="shared" si="42"/>
        <v>1.386858838098062</v>
      </c>
      <c r="P248" s="270">
        <f t="shared" si="42"/>
        <v>1.386858838098062</v>
      </c>
      <c r="Q248" s="270">
        <f t="shared" si="42"/>
        <v>1.5509275214556104</v>
      </c>
      <c r="R248" s="270">
        <f t="shared" si="42"/>
        <v>1.386858838098062</v>
      </c>
      <c r="S248" s="270">
        <f t="shared" si="42"/>
        <v>1.386858838098062</v>
      </c>
      <c r="T248" s="270">
        <f t="shared" si="42"/>
        <v>1.386858838098062</v>
      </c>
      <c r="U248" s="270">
        <f t="shared" si="42"/>
        <v>1.386858838098062</v>
      </c>
      <c r="V248" s="270">
        <f t="shared" si="42"/>
        <v>1.386858838098062</v>
      </c>
      <c r="W248" s="270">
        <f t="shared" si="42"/>
        <v>1.386858838098062</v>
      </c>
      <c r="X248" s="270">
        <f t="shared" si="42"/>
        <v>1.386858838098062</v>
      </c>
      <c r="Y248" s="270">
        <f t="shared" si="42"/>
        <v>1.386858838098062</v>
      </c>
    </row>
    <row r="249" spans="5:25" x14ac:dyDescent="0.2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2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25">
      <c r="F251" s="16" t="s">
        <v>43</v>
      </c>
      <c r="G251" s="16" t="s">
        <v>428</v>
      </c>
      <c r="H251" s="91"/>
      <c r="I251" s="91"/>
      <c r="J251" s="270">
        <f t="shared" ref="J251:Y251" si="43">J179 * J226 * hours_in_year</f>
        <v>7.4150984960332345E-2</v>
      </c>
      <c r="K251" s="270">
        <f t="shared" si="43"/>
        <v>7.4150984960332345E-2</v>
      </c>
      <c r="L251" s="270">
        <f t="shared" si="43"/>
        <v>7.4150984960332345E-2</v>
      </c>
      <c r="M251" s="270">
        <f t="shared" si="43"/>
        <v>7.4150984960332345E-2</v>
      </c>
      <c r="N251" s="270">
        <f t="shared" si="43"/>
        <v>7.4150984960332345E-2</v>
      </c>
      <c r="O251" s="270">
        <f t="shared" si="43"/>
        <v>7.4150984960332345E-2</v>
      </c>
      <c r="P251" s="270">
        <f t="shared" si="43"/>
        <v>7.4150984960332345E-2</v>
      </c>
      <c r="Q251" s="270">
        <f t="shared" si="43"/>
        <v>7.4150984960332345E-2</v>
      </c>
      <c r="R251" s="270">
        <f t="shared" si="43"/>
        <v>7.4150984960332345E-2</v>
      </c>
      <c r="S251" s="270">
        <f t="shared" si="43"/>
        <v>7.4150984960332345E-2</v>
      </c>
      <c r="T251" s="270">
        <f t="shared" si="43"/>
        <v>7.4150984960332345E-2</v>
      </c>
      <c r="U251" s="270">
        <f t="shared" si="43"/>
        <v>7.4150984960332345E-2</v>
      </c>
      <c r="V251" s="270">
        <f t="shared" si="43"/>
        <v>7.4150984960332345E-2</v>
      </c>
      <c r="W251" s="270">
        <f t="shared" si="43"/>
        <v>7.4150984960332345E-2</v>
      </c>
      <c r="X251" s="270">
        <f t="shared" si="43"/>
        <v>7.4150984960332345E-2</v>
      </c>
      <c r="Y251" s="270">
        <f t="shared" si="43"/>
        <v>7.4150984960332345E-2</v>
      </c>
    </row>
    <row r="252" spans="5:25" x14ac:dyDescent="0.25">
      <c r="F252" s="14" t="s">
        <v>44</v>
      </c>
      <c r="G252" s="14" t="s">
        <v>428</v>
      </c>
      <c r="J252" s="270">
        <f t="shared" ref="J252:Y252" si="44">J184 * J226 * hours_in_year</f>
        <v>7.4150984960332345E-2</v>
      </c>
      <c r="K252" s="270">
        <f t="shared" si="44"/>
        <v>7.4150984960332345E-2</v>
      </c>
      <c r="L252" s="270">
        <f t="shared" si="44"/>
        <v>7.4150984960332345E-2</v>
      </c>
      <c r="M252" s="270">
        <f t="shared" si="44"/>
        <v>7.4150984960332345E-2</v>
      </c>
      <c r="N252" s="270">
        <f t="shared" si="44"/>
        <v>7.4150984960332345E-2</v>
      </c>
      <c r="O252" s="270">
        <f t="shared" si="44"/>
        <v>7.4150984960332345E-2</v>
      </c>
      <c r="P252" s="270">
        <f t="shared" si="44"/>
        <v>7.4150984960332345E-2</v>
      </c>
      <c r="Q252" s="270">
        <f t="shared" si="44"/>
        <v>7.4150984960332345E-2</v>
      </c>
      <c r="R252" s="270">
        <f t="shared" si="44"/>
        <v>7.4150984960332345E-2</v>
      </c>
      <c r="S252" s="270">
        <f t="shared" si="44"/>
        <v>7.4150984960332345E-2</v>
      </c>
      <c r="T252" s="270">
        <f t="shared" si="44"/>
        <v>7.4150984960332345E-2</v>
      </c>
      <c r="U252" s="270">
        <f t="shared" si="44"/>
        <v>7.4150984960332345E-2</v>
      </c>
      <c r="V252" s="270">
        <f t="shared" si="44"/>
        <v>7.4150984960332345E-2</v>
      </c>
      <c r="W252" s="270">
        <f t="shared" si="44"/>
        <v>7.4150984960332345E-2</v>
      </c>
      <c r="X252" s="270">
        <f t="shared" si="44"/>
        <v>7.4150984960332345E-2</v>
      </c>
      <c r="Y252" s="270">
        <f t="shared" si="44"/>
        <v>7.4150984960332345E-2</v>
      </c>
    </row>
    <row r="253" spans="5:25" x14ac:dyDescent="0.25">
      <c r="F253" s="14" t="s">
        <v>45</v>
      </c>
      <c r="G253" s="14" t="s">
        <v>428</v>
      </c>
      <c r="J253" s="270">
        <f t="shared" ref="J253:Y253" si="45">J189 * J226 * hours_in_year</f>
        <v>0.17399909856972956</v>
      </c>
      <c r="K253" s="270">
        <f t="shared" si="45"/>
        <v>0.17399909856972956</v>
      </c>
      <c r="L253" s="270">
        <f t="shared" si="45"/>
        <v>0.17399909856972956</v>
      </c>
      <c r="M253" s="270">
        <f t="shared" si="45"/>
        <v>0.17399909856972956</v>
      </c>
      <c r="N253" s="270">
        <f t="shared" si="45"/>
        <v>0.17399909856972956</v>
      </c>
      <c r="O253" s="270">
        <f t="shared" si="45"/>
        <v>0.17399909856972956</v>
      </c>
      <c r="P253" s="270">
        <f t="shared" si="45"/>
        <v>0.17399909856972956</v>
      </c>
      <c r="Q253" s="270">
        <f t="shared" si="45"/>
        <v>0.17399909856972956</v>
      </c>
      <c r="R253" s="270">
        <f t="shared" si="45"/>
        <v>0.17399909856972956</v>
      </c>
      <c r="S253" s="270">
        <f t="shared" si="45"/>
        <v>0.17399909856972956</v>
      </c>
      <c r="T253" s="270">
        <f t="shared" si="45"/>
        <v>0.17399909856972956</v>
      </c>
      <c r="U253" s="270">
        <f t="shared" si="45"/>
        <v>0.17399909856972956</v>
      </c>
      <c r="V253" s="270">
        <f t="shared" si="45"/>
        <v>0.17399909856972956</v>
      </c>
      <c r="W253" s="270">
        <f t="shared" si="45"/>
        <v>0.17399909856972956</v>
      </c>
      <c r="X253" s="270">
        <f t="shared" si="45"/>
        <v>0.17399909856972956</v>
      </c>
      <c r="Y253" s="270">
        <f t="shared" si="45"/>
        <v>0.17399909856972956</v>
      </c>
    </row>
    <row r="254" spans="5:25" x14ac:dyDescent="0.25">
      <c r="F254" s="14" t="s">
        <v>46</v>
      </c>
      <c r="G254" s="14" t="s">
        <v>428</v>
      </c>
      <c r="J254" s="270">
        <f t="shared" ref="J254:Y254" si="46">J194 * J226 * hours_in_year</f>
        <v>0.17399909856972956</v>
      </c>
      <c r="K254" s="270">
        <f t="shared" si="46"/>
        <v>0.17399909856972956</v>
      </c>
      <c r="L254" s="270">
        <f t="shared" si="46"/>
        <v>0.17399909856972956</v>
      </c>
      <c r="M254" s="270">
        <f t="shared" si="46"/>
        <v>0.17399909856972956</v>
      </c>
      <c r="N254" s="270">
        <f t="shared" si="46"/>
        <v>0.17399909856972956</v>
      </c>
      <c r="O254" s="270">
        <f t="shared" si="46"/>
        <v>0.17399909856972956</v>
      </c>
      <c r="P254" s="270">
        <f t="shared" si="46"/>
        <v>0.17399909856972956</v>
      </c>
      <c r="Q254" s="270">
        <f t="shared" si="46"/>
        <v>0.17399909856972956</v>
      </c>
      <c r="R254" s="270">
        <f t="shared" si="46"/>
        <v>0.17399909856972956</v>
      </c>
      <c r="S254" s="270">
        <f t="shared" si="46"/>
        <v>0.17399909856972956</v>
      </c>
      <c r="T254" s="270">
        <f t="shared" si="46"/>
        <v>0.17399909856972956</v>
      </c>
      <c r="U254" s="270">
        <f t="shared" si="46"/>
        <v>0.17399909856972956</v>
      </c>
      <c r="V254" s="270">
        <f t="shared" si="46"/>
        <v>0.17399909856972956</v>
      </c>
      <c r="W254" s="270">
        <f t="shared" si="46"/>
        <v>0.17399909856972956</v>
      </c>
      <c r="X254" s="270">
        <f t="shared" si="46"/>
        <v>0.17399909856972956</v>
      </c>
      <c r="Y254" s="270">
        <f t="shared" si="46"/>
        <v>0.17399909856972956</v>
      </c>
    </row>
    <row r="255" spans="5:25" x14ac:dyDescent="0.25">
      <c r="F255" s="14" t="s">
        <v>47</v>
      </c>
      <c r="G255" s="14" t="s">
        <v>428</v>
      </c>
      <c r="J255" s="270">
        <f t="shared" ref="J255:Y255" si="47">J199 * J226 * hours_in_year</f>
        <v>0.12116287784330593</v>
      </c>
      <c r="K255" s="270">
        <f t="shared" si="47"/>
        <v>0.12116287784330593</v>
      </c>
      <c r="L255" s="270">
        <f t="shared" si="47"/>
        <v>0.12116287784330593</v>
      </c>
      <c r="M255" s="270">
        <f t="shared" si="47"/>
        <v>0.12116287784330593</v>
      </c>
      <c r="N255" s="270">
        <f t="shared" si="47"/>
        <v>0.12116287784330593</v>
      </c>
      <c r="O255" s="270">
        <f t="shared" si="47"/>
        <v>0.12116287784330593</v>
      </c>
      <c r="P255" s="270">
        <f t="shared" si="47"/>
        <v>0.12116287784330593</v>
      </c>
      <c r="Q255" s="270">
        <f t="shared" si="47"/>
        <v>0.12116287784330593</v>
      </c>
      <c r="R255" s="270">
        <f t="shared" si="47"/>
        <v>0.12116287784330593</v>
      </c>
      <c r="S255" s="270">
        <f t="shared" si="47"/>
        <v>0.12116287784330593</v>
      </c>
      <c r="T255" s="270">
        <f t="shared" si="47"/>
        <v>0.12116287784330593</v>
      </c>
      <c r="U255" s="270">
        <f t="shared" si="47"/>
        <v>0.12116287784330593</v>
      </c>
      <c r="V255" s="270">
        <f t="shared" si="47"/>
        <v>0.12116287784330593</v>
      </c>
      <c r="W255" s="270">
        <f t="shared" si="47"/>
        <v>0.12116287784330593</v>
      </c>
      <c r="X255" s="270">
        <f t="shared" si="47"/>
        <v>0.12116287784330593</v>
      </c>
      <c r="Y255" s="270">
        <f t="shared" si="47"/>
        <v>0.12116287784330593</v>
      </c>
    </row>
    <row r="256" spans="5:25" x14ac:dyDescent="0.25">
      <c r="F256" s="14" t="s">
        <v>51</v>
      </c>
      <c r="G256" s="14" t="s">
        <v>428</v>
      </c>
      <c r="J256" s="270">
        <f t="shared" ref="J256:Y256" si="48">J204 * J226 * hours_in_year</f>
        <v>0</v>
      </c>
      <c r="K256" s="270">
        <f t="shared" si="48"/>
        <v>0</v>
      </c>
      <c r="L256" s="270">
        <f t="shared" si="48"/>
        <v>0</v>
      </c>
      <c r="M256" s="270">
        <f t="shared" si="48"/>
        <v>0</v>
      </c>
      <c r="N256" s="270">
        <f t="shared" si="48"/>
        <v>0</v>
      </c>
      <c r="O256" s="270">
        <f t="shared" si="48"/>
        <v>0</v>
      </c>
      <c r="P256" s="270">
        <f t="shared" si="48"/>
        <v>0</v>
      </c>
      <c r="Q256" s="270">
        <f t="shared" si="48"/>
        <v>0</v>
      </c>
      <c r="R256" s="270">
        <f t="shared" si="48"/>
        <v>0</v>
      </c>
      <c r="S256" s="270">
        <f t="shared" si="48"/>
        <v>0</v>
      </c>
      <c r="T256" s="270">
        <f t="shared" si="48"/>
        <v>0</v>
      </c>
      <c r="U256" s="270">
        <f t="shared" si="48"/>
        <v>0</v>
      </c>
      <c r="V256" s="270">
        <f t="shared" si="48"/>
        <v>0</v>
      </c>
      <c r="W256" s="270">
        <f t="shared" si="48"/>
        <v>0</v>
      </c>
      <c r="X256" s="270">
        <f t="shared" si="48"/>
        <v>0</v>
      </c>
      <c r="Y256" s="270">
        <f t="shared" si="48"/>
        <v>0</v>
      </c>
    </row>
    <row r="257" spans="2:27" x14ac:dyDescent="0.25">
      <c r="F257" s="14" t="s">
        <v>48</v>
      </c>
      <c r="G257" s="14" t="s">
        <v>428</v>
      </c>
      <c r="J257" s="270">
        <f t="shared" ref="J257:Y257" si="49">J209 * J226 * hours_in_year</f>
        <v>0.12116287784330593</v>
      </c>
      <c r="K257" s="270">
        <f t="shared" si="49"/>
        <v>0.12116287784330593</v>
      </c>
      <c r="L257" s="270">
        <f t="shared" si="49"/>
        <v>0.12116287784330593</v>
      </c>
      <c r="M257" s="270">
        <f t="shared" si="49"/>
        <v>0.12116287784330593</v>
      </c>
      <c r="N257" s="270">
        <f t="shared" si="49"/>
        <v>0.12116287784330593</v>
      </c>
      <c r="O257" s="270">
        <f t="shared" si="49"/>
        <v>0.12116287784330593</v>
      </c>
      <c r="P257" s="270">
        <f t="shared" si="49"/>
        <v>0.12116287784330593</v>
      </c>
      <c r="Q257" s="270">
        <f t="shared" si="49"/>
        <v>0.12116287784330593</v>
      </c>
      <c r="R257" s="270">
        <f t="shared" si="49"/>
        <v>0.12116287784330593</v>
      </c>
      <c r="S257" s="270">
        <f t="shared" si="49"/>
        <v>0.12116287784330593</v>
      </c>
      <c r="T257" s="270">
        <f t="shared" si="49"/>
        <v>0.12116287784330593</v>
      </c>
      <c r="U257" s="270">
        <f t="shared" si="49"/>
        <v>0.12116287784330593</v>
      </c>
      <c r="V257" s="270">
        <f t="shared" si="49"/>
        <v>0.12116287784330593</v>
      </c>
      <c r="W257" s="270">
        <f t="shared" si="49"/>
        <v>0.12116287784330593</v>
      </c>
      <c r="X257" s="270">
        <f t="shared" si="49"/>
        <v>0.12116287784330593</v>
      </c>
      <c r="Y257" s="270">
        <f t="shared" si="49"/>
        <v>0.12116287784330593</v>
      </c>
    </row>
    <row r="258" spans="2:27" x14ac:dyDescent="0.25">
      <c r="F258" s="14" t="s">
        <v>49</v>
      </c>
      <c r="G258" s="14" t="s">
        <v>428</v>
      </c>
      <c r="J258" s="270">
        <f t="shared" ref="J258:Y258" si="50">J214 * J226 * hours_in_year</f>
        <v>0.12116287784330593</v>
      </c>
      <c r="K258" s="270">
        <f t="shared" si="50"/>
        <v>0.12116287784330593</v>
      </c>
      <c r="L258" s="270">
        <f t="shared" si="50"/>
        <v>0.12116287784330593</v>
      </c>
      <c r="M258" s="270">
        <f t="shared" si="50"/>
        <v>0.12116287784330593</v>
      </c>
      <c r="N258" s="270">
        <f t="shared" si="50"/>
        <v>0.12116287784330593</v>
      </c>
      <c r="O258" s="270">
        <f t="shared" si="50"/>
        <v>0.12116287784330593</v>
      </c>
      <c r="P258" s="270">
        <f t="shared" si="50"/>
        <v>0.12116287784330593</v>
      </c>
      <c r="Q258" s="270">
        <f t="shared" si="50"/>
        <v>0.12116287784330593</v>
      </c>
      <c r="R258" s="270">
        <f t="shared" si="50"/>
        <v>0.12116287784330593</v>
      </c>
      <c r="S258" s="270">
        <f t="shared" si="50"/>
        <v>0.12116287784330593</v>
      </c>
      <c r="T258" s="270">
        <f t="shared" si="50"/>
        <v>0.12116287784330593</v>
      </c>
      <c r="U258" s="270">
        <f t="shared" si="50"/>
        <v>0.12116287784330593</v>
      </c>
      <c r="V258" s="270">
        <f t="shared" si="50"/>
        <v>0.12116287784330593</v>
      </c>
      <c r="W258" s="270">
        <f t="shared" si="50"/>
        <v>0.12116287784330593</v>
      </c>
      <c r="X258" s="270">
        <f t="shared" si="50"/>
        <v>0.12116287784330593</v>
      </c>
      <c r="Y258" s="270">
        <f t="shared" si="50"/>
        <v>0.12116287784330593</v>
      </c>
    </row>
    <row r="259" spans="2:27" x14ac:dyDescent="0.25">
      <c r="F259" s="15" t="s">
        <v>50</v>
      </c>
      <c r="G259" s="15" t="s">
        <v>428</v>
      </c>
      <c r="H259" s="93"/>
      <c r="I259" s="93"/>
      <c r="J259" s="270">
        <f t="shared" ref="J259:Y259" si="51">J219 * J226 * hours_in_year</f>
        <v>0.12116287784330593</v>
      </c>
      <c r="K259" s="270">
        <f t="shared" si="51"/>
        <v>0.12116287784330593</v>
      </c>
      <c r="L259" s="270">
        <f t="shared" si="51"/>
        <v>0.12116287784330593</v>
      </c>
      <c r="M259" s="270">
        <f t="shared" si="51"/>
        <v>0.12116287784330593</v>
      </c>
      <c r="N259" s="270">
        <f t="shared" si="51"/>
        <v>0.12116287784330593</v>
      </c>
      <c r="O259" s="270">
        <f t="shared" si="51"/>
        <v>0.12116287784330593</v>
      </c>
      <c r="P259" s="270">
        <f t="shared" si="51"/>
        <v>0.12116287784330593</v>
      </c>
      <c r="Q259" s="270">
        <f t="shared" si="51"/>
        <v>0.12116287784330593</v>
      </c>
      <c r="R259" s="270">
        <f t="shared" si="51"/>
        <v>0.12116287784330593</v>
      </c>
      <c r="S259" s="270">
        <f t="shared" si="51"/>
        <v>0.12116287784330593</v>
      </c>
      <c r="T259" s="270">
        <f t="shared" si="51"/>
        <v>0.12116287784330593</v>
      </c>
      <c r="U259" s="270">
        <f t="shared" si="51"/>
        <v>0.12116287784330593</v>
      </c>
      <c r="V259" s="270">
        <f t="shared" si="51"/>
        <v>0.12116287784330593</v>
      </c>
      <c r="W259" s="270">
        <f t="shared" si="51"/>
        <v>0.12116287784330593</v>
      </c>
      <c r="X259" s="270">
        <f t="shared" si="51"/>
        <v>0.12116287784330593</v>
      </c>
      <c r="Y259" s="270">
        <f t="shared" si="51"/>
        <v>0.12116287784330593</v>
      </c>
    </row>
    <row r="260" spans="2:27" x14ac:dyDescent="0.2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25">
      <c r="B261" s="95" t="s">
        <v>956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2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25">
      <c r="C263" s="82" t="s">
        <v>958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2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25">
      <c r="C265" s="7" t="str">
        <f ca="1">INDEX('Version control'!$H$34:$H$60,MATCH($A$1,'Version control'!$F$34:$F$60,0),1)&amp;"-K: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2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25">
      <c r="E267" s="14" t="s">
        <v>143</v>
      </c>
      <c r="G267" s="14" t="s">
        <v>428</v>
      </c>
      <c r="J267" s="256">
        <f>J91</f>
        <v>1.8896138897056127</v>
      </c>
      <c r="K267" s="256">
        <f t="shared" ref="K267:Y267" si="52">K91</f>
        <v>1.8896138897056127</v>
      </c>
      <c r="L267" s="256">
        <f t="shared" si="52"/>
        <v>1.597649859175319</v>
      </c>
      <c r="M267" s="256">
        <f t="shared" si="52"/>
        <v>1.597649859175319</v>
      </c>
      <c r="N267" s="256">
        <f t="shared" si="52"/>
        <v>1.4008027522935782</v>
      </c>
      <c r="O267" s="256">
        <f t="shared" si="52"/>
        <v>1.3229777256740911</v>
      </c>
      <c r="P267" s="256">
        <f t="shared" si="52"/>
        <v>1.123706702654071</v>
      </c>
      <c r="Q267" s="256">
        <f t="shared" si="52"/>
        <v>1.8729446935724963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2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25">
      <c r="C269" s="7" t="str">
        <f ca="1">INDEX('Version control'!$H$34:$H$60,MATCH($A$1,'Version control'!$F$34:$F$60,0),1)&amp;"-L: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2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2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25">
      <c r="F272" s="16" t="s">
        <v>43</v>
      </c>
      <c r="G272" s="16" t="s">
        <v>428</v>
      </c>
      <c r="H272" s="91"/>
      <c r="I272" s="91"/>
      <c r="J272" s="254">
        <f>J229 * J$93</f>
        <v>10.33137392056847</v>
      </c>
      <c r="K272" s="254">
        <f t="shared" ref="K272:Y272" si="53">K229 * K$93</f>
        <v>10.33137392056847</v>
      </c>
      <c r="L272" s="254">
        <f t="shared" si="53"/>
        <v>12.599233643049031</v>
      </c>
      <c r="M272" s="254">
        <f t="shared" si="53"/>
        <v>12.599233643049031</v>
      </c>
      <c r="N272" s="254">
        <f t="shared" si="53"/>
        <v>9.1739781710397406</v>
      </c>
      <c r="O272" s="254">
        <f t="shared" si="53"/>
        <v>9.2688409346764917</v>
      </c>
      <c r="P272" s="254">
        <f t="shared" si="53"/>
        <v>8.2205346128364543</v>
      </c>
      <c r="Q272" s="254">
        <f t="shared" si="53"/>
        <v>18.227975342383129</v>
      </c>
      <c r="R272" s="254">
        <f t="shared" si="53"/>
        <v>7.7533124014775545</v>
      </c>
      <c r="S272" s="254">
        <f t="shared" si="53"/>
        <v>7.7533124014775545</v>
      </c>
      <c r="T272" s="254">
        <f t="shared" si="53"/>
        <v>7.7533124014775545</v>
      </c>
      <c r="U272" s="254">
        <f t="shared" si="53"/>
        <v>7.7533124014775545</v>
      </c>
      <c r="V272" s="254">
        <f t="shared" si="53"/>
        <v>7.7533124014775545</v>
      </c>
      <c r="W272" s="254">
        <f t="shared" si="53"/>
        <v>7.7533124014775545</v>
      </c>
      <c r="X272" s="254">
        <f t="shared" si="53"/>
        <v>7.7533124014775545</v>
      </c>
      <c r="Y272" s="254">
        <f t="shared" si="53"/>
        <v>7.7533124014775545</v>
      </c>
    </row>
    <row r="273" spans="5:25" x14ac:dyDescent="0.25">
      <c r="F273" s="14" t="s">
        <v>44</v>
      </c>
      <c r="G273" s="14" t="s">
        <v>428</v>
      </c>
      <c r="J273" s="256">
        <f t="shared" ref="J273:Y280" si="54">J230 * J$93</f>
        <v>10.33137392056847</v>
      </c>
      <c r="K273" s="256">
        <f t="shared" si="54"/>
        <v>10.33137392056847</v>
      </c>
      <c r="L273" s="256">
        <f t="shared" si="54"/>
        <v>12.599233643049031</v>
      </c>
      <c r="M273" s="256">
        <f t="shared" si="54"/>
        <v>12.599233643049031</v>
      </c>
      <c r="N273" s="256">
        <f t="shared" si="54"/>
        <v>9.1739781710397406</v>
      </c>
      <c r="O273" s="256">
        <f t="shared" si="54"/>
        <v>9.2688409346764917</v>
      </c>
      <c r="P273" s="256">
        <f t="shared" si="54"/>
        <v>8.2205346128364543</v>
      </c>
      <c r="Q273" s="256">
        <f t="shared" si="54"/>
        <v>18.227975342383129</v>
      </c>
      <c r="R273" s="256">
        <f t="shared" si="54"/>
        <v>7.7533124014775545</v>
      </c>
      <c r="S273" s="256">
        <f t="shared" si="54"/>
        <v>7.7533124014775545</v>
      </c>
      <c r="T273" s="256">
        <f t="shared" si="54"/>
        <v>7.7533124014775545</v>
      </c>
      <c r="U273" s="256">
        <f t="shared" si="54"/>
        <v>7.7533124014775545</v>
      </c>
      <c r="V273" s="256">
        <f t="shared" si="54"/>
        <v>7.7533124014775545</v>
      </c>
      <c r="W273" s="256">
        <f t="shared" si="54"/>
        <v>7.7533124014775545</v>
      </c>
      <c r="X273" s="256">
        <f t="shared" si="54"/>
        <v>7.7533124014775545</v>
      </c>
      <c r="Y273" s="256">
        <f t="shared" si="54"/>
        <v>7.7533124014775545</v>
      </c>
    </row>
    <row r="274" spans="5:25" x14ac:dyDescent="0.25">
      <c r="F274" s="14" t="s">
        <v>45</v>
      </c>
      <c r="G274" s="14" t="s">
        <v>428</v>
      </c>
      <c r="J274" s="256">
        <f t="shared" si="54"/>
        <v>6.9971608783263184</v>
      </c>
      <c r="K274" s="256">
        <f t="shared" si="54"/>
        <v>6.9971608783263184</v>
      </c>
      <c r="L274" s="256">
        <f t="shared" si="54"/>
        <v>8.5331210952032457</v>
      </c>
      <c r="M274" s="256">
        <f t="shared" si="54"/>
        <v>8.5331210952032457</v>
      </c>
      <c r="N274" s="256">
        <f t="shared" si="54"/>
        <v>6.2132879567180401</v>
      </c>
      <c r="O274" s="256">
        <f t="shared" si="54"/>
        <v>6.277535947704747</v>
      </c>
      <c r="P274" s="256">
        <f t="shared" si="54"/>
        <v>5.5675463528960769</v>
      </c>
      <c r="Q274" s="256">
        <f t="shared" si="54"/>
        <v>9.423862670610573</v>
      </c>
      <c r="R274" s="256">
        <f t="shared" si="54"/>
        <v>5.2511093519762886</v>
      </c>
      <c r="S274" s="256">
        <f t="shared" si="54"/>
        <v>5.2511093519762886</v>
      </c>
      <c r="T274" s="256">
        <f t="shared" si="54"/>
        <v>5.2511093519762886</v>
      </c>
      <c r="U274" s="256">
        <f t="shared" si="54"/>
        <v>5.2511093519762886</v>
      </c>
      <c r="V274" s="256">
        <f t="shared" si="54"/>
        <v>5.2511093519762886</v>
      </c>
      <c r="W274" s="256">
        <f t="shared" si="54"/>
        <v>5.2511093519762886</v>
      </c>
      <c r="X274" s="256">
        <f t="shared" si="54"/>
        <v>5.2511093519762886</v>
      </c>
      <c r="Y274" s="256">
        <f t="shared" si="54"/>
        <v>5.2511093519762886</v>
      </c>
    </row>
    <row r="275" spans="5:25" x14ac:dyDescent="0.25">
      <c r="F275" s="14" t="s">
        <v>46</v>
      </c>
      <c r="G275" s="14" t="s">
        <v>428</v>
      </c>
      <c r="J275" s="256">
        <f t="shared" si="54"/>
        <v>6.9971608783263184</v>
      </c>
      <c r="K275" s="256">
        <f t="shared" si="54"/>
        <v>6.9971608783263184</v>
      </c>
      <c r="L275" s="256">
        <f t="shared" si="54"/>
        <v>8.5331210952032457</v>
      </c>
      <c r="M275" s="256">
        <f t="shared" si="54"/>
        <v>8.5331210952032457</v>
      </c>
      <c r="N275" s="256">
        <f t="shared" si="54"/>
        <v>6.2132879567180401</v>
      </c>
      <c r="O275" s="256">
        <f t="shared" si="54"/>
        <v>6.277535947704747</v>
      </c>
      <c r="P275" s="256">
        <f t="shared" si="54"/>
        <v>5.5675463528960769</v>
      </c>
      <c r="Q275" s="256">
        <f t="shared" si="54"/>
        <v>9.423862670610573</v>
      </c>
      <c r="R275" s="256">
        <f t="shared" si="54"/>
        <v>5.2511093519762886</v>
      </c>
      <c r="S275" s="256">
        <f t="shared" si="54"/>
        <v>5.2511093519762886</v>
      </c>
      <c r="T275" s="256">
        <f t="shared" si="54"/>
        <v>5.2511093519762886</v>
      </c>
      <c r="U275" s="256">
        <f t="shared" si="54"/>
        <v>5.2511093519762886</v>
      </c>
      <c r="V275" s="256">
        <f t="shared" si="54"/>
        <v>5.2511093519762886</v>
      </c>
      <c r="W275" s="256">
        <f t="shared" si="54"/>
        <v>5.2511093519762886</v>
      </c>
      <c r="X275" s="256">
        <f t="shared" si="54"/>
        <v>5.2511093519762886</v>
      </c>
      <c r="Y275" s="256">
        <f t="shared" si="54"/>
        <v>5.2511093519762886</v>
      </c>
    </row>
    <row r="276" spans="5:25" x14ac:dyDescent="0.25">
      <c r="F276" s="14" t="s">
        <v>47</v>
      </c>
      <c r="G276" s="14" t="s">
        <v>428</v>
      </c>
      <c r="J276" s="256">
        <f t="shared" si="54"/>
        <v>5.9017945728385559</v>
      </c>
      <c r="K276" s="256">
        <f t="shared" si="54"/>
        <v>5.9017945728385559</v>
      </c>
      <c r="L276" s="256">
        <f t="shared" si="54"/>
        <v>7.1973088292191312</v>
      </c>
      <c r="M276" s="256">
        <f t="shared" si="54"/>
        <v>7.1973088292191312</v>
      </c>
      <c r="N276" s="256">
        <f t="shared" si="54"/>
        <v>5.2406325622761489</v>
      </c>
      <c r="O276" s="256">
        <f t="shared" si="54"/>
        <v>5.2948228904842134</v>
      </c>
      <c r="P276" s="256">
        <f t="shared" si="54"/>
        <v>4.6959781861423675</v>
      </c>
      <c r="Q276" s="256">
        <f t="shared" si="54"/>
        <v>10.264972028303236</v>
      </c>
      <c r="R276" s="256">
        <f t="shared" si="54"/>
        <v>4.4290776235930007</v>
      </c>
      <c r="S276" s="256">
        <f t="shared" si="54"/>
        <v>4.4290776235930007</v>
      </c>
      <c r="T276" s="256">
        <f t="shared" si="54"/>
        <v>4.4290776235930007</v>
      </c>
      <c r="U276" s="256">
        <f t="shared" si="54"/>
        <v>4.4290776235930007</v>
      </c>
      <c r="V276" s="256">
        <f t="shared" si="54"/>
        <v>4.4290776235930007</v>
      </c>
      <c r="W276" s="256">
        <f t="shared" si="54"/>
        <v>4.4290776235930007</v>
      </c>
      <c r="X276" s="256">
        <f t="shared" si="54"/>
        <v>4.4290776235930007</v>
      </c>
      <c r="Y276" s="256">
        <f t="shared" si="54"/>
        <v>4.4290776235930007</v>
      </c>
    </row>
    <row r="277" spans="5:25" x14ac:dyDescent="0.25">
      <c r="F277" s="14" t="s">
        <v>51</v>
      </c>
      <c r="G277" s="14" t="s">
        <v>428</v>
      </c>
      <c r="J277" s="256">
        <f t="shared" si="54"/>
        <v>0</v>
      </c>
      <c r="K277" s="256">
        <f t="shared" si="54"/>
        <v>0</v>
      </c>
      <c r="L277" s="256">
        <f t="shared" si="54"/>
        <v>0</v>
      </c>
      <c r="M277" s="256">
        <f t="shared" si="54"/>
        <v>0</v>
      </c>
      <c r="N277" s="256">
        <f t="shared" si="54"/>
        <v>0</v>
      </c>
      <c r="O277" s="256">
        <f t="shared" si="54"/>
        <v>0</v>
      </c>
      <c r="P277" s="256">
        <f t="shared" si="54"/>
        <v>0</v>
      </c>
      <c r="Q277" s="256">
        <f t="shared" si="54"/>
        <v>0</v>
      </c>
      <c r="R277" s="256">
        <f t="shared" si="54"/>
        <v>0</v>
      </c>
      <c r="S277" s="256">
        <f t="shared" si="54"/>
        <v>0</v>
      </c>
      <c r="T277" s="256">
        <f t="shared" si="54"/>
        <v>0</v>
      </c>
      <c r="U277" s="256">
        <f t="shared" si="54"/>
        <v>0</v>
      </c>
      <c r="V277" s="256">
        <f t="shared" si="54"/>
        <v>0</v>
      </c>
      <c r="W277" s="256">
        <f t="shared" si="54"/>
        <v>0</v>
      </c>
      <c r="X277" s="256">
        <f t="shared" si="54"/>
        <v>0</v>
      </c>
      <c r="Y277" s="256">
        <f t="shared" si="54"/>
        <v>0</v>
      </c>
    </row>
    <row r="278" spans="5:25" x14ac:dyDescent="0.25">
      <c r="F278" s="14" t="s">
        <v>48</v>
      </c>
      <c r="G278" s="14" t="s">
        <v>428</v>
      </c>
      <c r="J278" s="256">
        <f t="shared" si="54"/>
        <v>5.9017945728385559</v>
      </c>
      <c r="K278" s="256">
        <f t="shared" si="54"/>
        <v>5.9017945728385559</v>
      </c>
      <c r="L278" s="256">
        <f t="shared" si="54"/>
        <v>7.1973088292191312</v>
      </c>
      <c r="M278" s="256">
        <f t="shared" si="54"/>
        <v>7.1973088292191312</v>
      </c>
      <c r="N278" s="256">
        <f t="shared" si="54"/>
        <v>5.2406325622761489</v>
      </c>
      <c r="O278" s="256">
        <f t="shared" si="54"/>
        <v>5.2948228904842134</v>
      </c>
      <c r="P278" s="256">
        <f t="shared" si="54"/>
        <v>4.6959781861423675</v>
      </c>
      <c r="Q278" s="256">
        <f t="shared" si="54"/>
        <v>10.264972028303236</v>
      </c>
      <c r="R278" s="256">
        <f t="shared" si="54"/>
        <v>4.4290776235930007</v>
      </c>
      <c r="S278" s="256">
        <f t="shared" si="54"/>
        <v>4.4290776235930007</v>
      </c>
      <c r="T278" s="256">
        <f t="shared" si="54"/>
        <v>4.4290776235930007</v>
      </c>
      <c r="U278" s="256">
        <f t="shared" si="54"/>
        <v>4.4290776235930007</v>
      </c>
      <c r="V278" s="256">
        <f t="shared" si="54"/>
        <v>4.4290776235930007</v>
      </c>
      <c r="W278" s="256">
        <f t="shared" si="54"/>
        <v>4.4290776235930007</v>
      </c>
      <c r="X278" s="256">
        <f t="shared" si="54"/>
        <v>4.4290776235930007</v>
      </c>
      <c r="Y278" s="256">
        <f t="shared" si="54"/>
        <v>4.4290776235930007</v>
      </c>
    </row>
    <row r="279" spans="5:25" x14ac:dyDescent="0.25">
      <c r="F279" s="14" t="s">
        <v>49</v>
      </c>
      <c r="G279" s="14" t="s">
        <v>428</v>
      </c>
      <c r="J279" s="256">
        <f t="shared" si="54"/>
        <v>5.9017945728385559</v>
      </c>
      <c r="K279" s="256">
        <f t="shared" si="54"/>
        <v>5.9017945728385559</v>
      </c>
      <c r="L279" s="256">
        <f t="shared" si="54"/>
        <v>7.1973088292191312</v>
      </c>
      <c r="M279" s="256">
        <f t="shared" si="54"/>
        <v>7.1973088292191312</v>
      </c>
      <c r="N279" s="256">
        <f t="shared" si="54"/>
        <v>5.2406325622761489</v>
      </c>
      <c r="O279" s="256">
        <f t="shared" si="54"/>
        <v>5.2948228904842134</v>
      </c>
      <c r="P279" s="256">
        <f t="shared" si="54"/>
        <v>4.6959781861423675</v>
      </c>
      <c r="Q279" s="256">
        <f t="shared" si="54"/>
        <v>10.264972028303236</v>
      </c>
      <c r="R279" s="256">
        <f t="shared" si="54"/>
        <v>4.4290776235930007</v>
      </c>
      <c r="S279" s="256">
        <f t="shared" si="54"/>
        <v>4.4290776235930007</v>
      </c>
      <c r="T279" s="256">
        <f t="shared" si="54"/>
        <v>4.4290776235930007</v>
      </c>
      <c r="U279" s="256">
        <f t="shared" si="54"/>
        <v>4.4290776235930007</v>
      </c>
      <c r="V279" s="256">
        <f t="shared" si="54"/>
        <v>4.4290776235930007</v>
      </c>
      <c r="W279" s="256">
        <f t="shared" si="54"/>
        <v>4.4290776235930007</v>
      </c>
      <c r="X279" s="256">
        <f t="shared" si="54"/>
        <v>4.4290776235930007</v>
      </c>
      <c r="Y279" s="256">
        <f t="shared" si="54"/>
        <v>4.4290776235930007</v>
      </c>
    </row>
    <row r="280" spans="5:25" x14ac:dyDescent="0.25">
      <c r="F280" s="15" t="s">
        <v>50</v>
      </c>
      <c r="G280" s="15" t="s">
        <v>428</v>
      </c>
      <c r="H280" s="93"/>
      <c r="I280" s="93"/>
      <c r="J280" s="258">
        <f t="shared" si="54"/>
        <v>5.9017945728385559</v>
      </c>
      <c r="K280" s="258">
        <f t="shared" si="54"/>
        <v>5.9017945728385559</v>
      </c>
      <c r="L280" s="258">
        <f t="shared" si="54"/>
        <v>7.1973088292191312</v>
      </c>
      <c r="M280" s="258">
        <f t="shared" si="54"/>
        <v>7.1973088292191312</v>
      </c>
      <c r="N280" s="258">
        <f t="shared" si="54"/>
        <v>5.2406325622761489</v>
      </c>
      <c r="O280" s="258">
        <f t="shared" si="54"/>
        <v>5.2948228904842134</v>
      </c>
      <c r="P280" s="258">
        <f t="shared" si="54"/>
        <v>4.6959781861423675</v>
      </c>
      <c r="Q280" s="258">
        <f t="shared" si="54"/>
        <v>10.264972028303236</v>
      </c>
      <c r="R280" s="258">
        <f t="shared" si="54"/>
        <v>4.4290776235930007</v>
      </c>
      <c r="S280" s="258">
        <f t="shared" si="54"/>
        <v>4.4290776235930007</v>
      </c>
      <c r="T280" s="258">
        <f t="shared" si="54"/>
        <v>4.4290776235930007</v>
      </c>
      <c r="U280" s="258">
        <f t="shared" si="54"/>
        <v>4.4290776235930007</v>
      </c>
      <c r="V280" s="258">
        <f t="shared" si="54"/>
        <v>4.4290776235930007</v>
      </c>
      <c r="W280" s="258">
        <f t="shared" si="54"/>
        <v>4.4290776235930007</v>
      </c>
      <c r="X280" s="258">
        <f t="shared" si="54"/>
        <v>4.4290776235930007</v>
      </c>
      <c r="Y280" s="258">
        <f t="shared" si="54"/>
        <v>4.4290776235930007</v>
      </c>
    </row>
    <row r="281" spans="5:25" x14ac:dyDescent="0.2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2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25">
      <c r="F283" s="16" t="s">
        <v>43</v>
      </c>
      <c r="G283" s="16" t="s">
        <v>428</v>
      </c>
      <c r="H283" s="91"/>
      <c r="I283" s="91"/>
      <c r="J283" s="254">
        <f>J240 * J$93</f>
        <v>0.91669931133443194</v>
      </c>
      <c r="K283" s="254">
        <f t="shared" ref="K283:Y283" si="55">K240 * K$93</f>
        <v>0.91669931133443194</v>
      </c>
      <c r="L283" s="254">
        <f t="shared" si="55"/>
        <v>1.1179257369564981</v>
      </c>
      <c r="M283" s="254">
        <f t="shared" si="55"/>
        <v>1.1179257369564981</v>
      </c>
      <c r="N283" s="254">
        <f t="shared" si="55"/>
        <v>0.81400397819755865</v>
      </c>
      <c r="O283" s="254">
        <f t="shared" si="55"/>
        <v>0.82242111910889104</v>
      </c>
      <c r="P283" s="254">
        <f t="shared" si="55"/>
        <v>0.72940525396968625</v>
      </c>
      <c r="Q283" s="254">
        <f t="shared" si="55"/>
        <v>1.5101210033774299</v>
      </c>
      <c r="R283" s="254">
        <f t="shared" si="55"/>
        <v>0.68794878528644976</v>
      </c>
      <c r="S283" s="254">
        <f t="shared" si="55"/>
        <v>0.68794878528644976</v>
      </c>
      <c r="T283" s="254">
        <f t="shared" si="55"/>
        <v>0.68794878528644976</v>
      </c>
      <c r="U283" s="254">
        <f t="shared" si="55"/>
        <v>0.68794878528644976</v>
      </c>
      <c r="V283" s="254">
        <f t="shared" si="55"/>
        <v>0.68794878528644976</v>
      </c>
      <c r="W283" s="254">
        <f t="shared" si="55"/>
        <v>0.68794878528644976</v>
      </c>
      <c r="X283" s="254">
        <f t="shared" si="55"/>
        <v>0.68794878528644976</v>
      </c>
      <c r="Y283" s="254">
        <f t="shared" si="55"/>
        <v>0.68794878528644976</v>
      </c>
    </row>
    <row r="284" spans="5:25" x14ac:dyDescent="0.25">
      <c r="F284" s="14" t="s">
        <v>44</v>
      </c>
      <c r="G284" s="14" t="s">
        <v>428</v>
      </c>
      <c r="J284" s="256">
        <f t="shared" ref="J284:Y291" si="56">J241 * J$93</f>
        <v>0.91669931133443194</v>
      </c>
      <c r="K284" s="256">
        <f t="shared" si="56"/>
        <v>0.91669931133443194</v>
      </c>
      <c r="L284" s="256">
        <f t="shared" si="56"/>
        <v>1.1179257369564981</v>
      </c>
      <c r="M284" s="256">
        <f t="shared" si="56"/>
        <v>1.1179257369564981</v>
      </c>
      <c r="N284" s="256">
        <f t="shared" si="56"/>
        <v>0.81400397819755865</v>
      </c>
      <c r="O284" s="256">
        <f t="shared" si="56"/>
        <v>0.82242111910889104</v>
      </c>
      <c r="P284" s="256">
        <f t="shared" si="56"/>
        <v>0.72940525396968625</v>
      </c>
      <c r="Q284" s="256">
        <f t="shared" si="56"/>
        <v>1.5101210033774299</v>
      </c>
      <c r="R284" s="256">
        <f t="shared" si="56"/>
        <v>0.68794878528644976</v>
      </c>
      <c r="S284" s="256">
        <f t="shared" si="56"/>
        <v>0.68794878528644976</v>
      </c>
      <c r="T284" s="256">
        <f t="shared" si="56"/>
        <v>0.68794878528644976</v>
      </c>
      <c r="U284" s="256">
        <f t="shared" si="56"/>
        <v>0.68794878528644976</v>
      </c>
      <c r="V284" s="256">
        <f t="shared" si="56"/>
        <v>0.68794878528644976</v>
      </c>
      <c r="W284" s="256">
        <f t="shared" si="56"/>
        <v>0.68794878528644976</v>
      </c>
      <c r="X284" s="256">
        <f t="shared" si="56"/>
        <v>0.68794878528644976</v>
      </c>
      <c r="Y284" s="256">
        <f t="shared" si="56"/>
        <v>0.68794878528644976</v>
      </c>
    </row>
    <row r="285" spans="5:25" x14ac:dyDescent="0.25">
      <c r="F285" s="14" t="s">
        <v>45</v>
      </c>
      <c r="G285" s="14" t="s">
        <v>428</v>
      </c>
      <c r="J285" s="256">
        <f t="shared" si="56"/>
        <v>1.5031084491267626</v>
      </c>
      <c r="K285" s="256">
        <f t="shared" si="56"/>
        <v>1.5031084491267626</v>
      </c>
      <c r="L285" s="256">
        <f t="shared" si="56"/>
        <v>1.8330586703174057</v>
      </c>
      <c r="M285" s="256">
        <f t="shared" si="56"/>
        <v>1.8330586703174057</v>
      </c>
      <c r="N285" s="256">
        <f t="shared" si="56"/>
        <v>1.3347192935821621</v>
      </c>
      <c r="O285" s="256">
        <f t="shared" si="56"/>
        <v>1.3485208482085065</v>
      </c>
      <c r="P285" s="256">
        <f t="shared" si="56"/>
        <v>1.1960030803157284</v>
      </c>
      <c r="Q285" s="256">
        <f t="shared" si="56"/>
        <v>1.9401556061394341</v>
      </c>
      <c r="R285" s="256">
        <f t="shared" si="56"/>
        <v>1.128027062903844</v>
      </c>
      <c r="S285" s="256">
        <f t="shared" si="56"/>
        <v>1.128027062903844</v>
      </c>
      <c r="T285" s="256">
        <f t="shared" si="56"/>
        <v>1.128027062903844</v>
      </c>
      <c r="U285" s="256">
        <f t="shared" si="56"/>
        <v>1.128027062903844</v>
      </c>
      <c r="V285" s="256">
        <f t="shared" si="56"/>
        <v>1.128027062903844</v>
      </c>
      <c r="W285" s="256">
        <f t="shared" si="56"/>
        <v>1.128027062903844</v>
      </c>
      <c r="X285" s="256">
        <f t="shared" si="56"/>
        <v>1.128027062903844</v>
      </c>
      <c r="Y285" s="256">
        <f t="shared" si="56"/>
        <v>1.128027062903844</v>
      </c>
    </row>
    <row r="286" spans="5:25" x14ac:dyDescent="0.25">
      <c r="F286" s="14" t="s">
        <v>46</v>
      </c>
      <c r="G286" s="14" t="s">
        <v>428</v>
      </c>
      <c r="J286" s="256">
        <f t="shared" si="56"/>
        <v>1.5031084491267626</v>
      </c>
      <c r="K286" s="256">
        <f t="shared" si="56"/>
        <v>1.5031084491267626</v>
      </c>
      <c r="L286" s="256">
        <f t="shared" si="56"/>
        <v>1.8330586703174057</v>
      </c>
      <c r="M286" s="256">
        <f t="shared" si="56"/>
        <v>1.8330586703174057</v>
      </c>
      <c r="N286" s="256">
        <f t="shared" si="56"/>
        <v>1.3347192935821621</v>
      </c>
      <c r="O286" s="256">
        <f t="shared" si="56"/>
        <v>1.3485208482085065</v>
      </c>
      <c r="P286" s="256">
        <f t="shared" si="56"/>
        <v>1.1960030803157284</v>
      </c>
      <c r="Q286" s="256">
        <f t="shared" si="56"/>
        <v>1.9401556061394341</v>
      </c>
      <c r="R286" s="256">
        <f t="shared" si="56"/>
        <v>1.128027062903844</v>
      </c>
      <c r="S286" s="256">
        <f t="shared" si="56"/>
        <v>1.128027062903844</v>
      </c>
      <c r="T286" s="256">
        <f t="shared" si="56"/>
        <v>1.128027062903844</v>
      </c>
      <c r="U286" s="256">
        <f t="shared" si="56"/>
        <v>1.128027062903844</v>
      </c>
      <c r="V286" s="256">
        <f t="shared" si="56"/>
        <v>1.128027062903844</v>
      </c>
      <c r="W286" s="256">
        <f t="shared" si="56"/>
        <v>1.128027062903844</v>
      </c>
      <c r="X286" s="256">
        <f t="shared" si="56"/>
        <v>1.128027062903844</v>
      </c>
      <c r="Y286" s="256">
        <f t="shared" si="56"/>
        <v>1.128027062903844</v>
      </c>
    </row>
    <row r="287" spans="5:25" x14ac:dyDescent="0.25">
      <c r="F287" s="14" t="s">
        <v>47</v>
      </c>
      <c r="G287" s="14" t="s">
        <v>428</v>
      </c>
      <c r="J287" s="256">
        <f t="shared" si="56"/>
        <v>1.8480046320209771</v>
      </c>
      <c r="K287" s="256">
        <f t="shared" si="56"/>
        <v>1.8480046320209771</v>
      </c>
      <c r="L287" s="256">
        <f t="shared" si="56"/>
        <v>2.2536636764172022</v>
      </c>
      <c r="M287" s="256">
        <f t="shared" si="56"/>
        <v>2.2536636764172022</v>
      </c>
      <c r="N287" s="256">
        <f t="shared" si="56"/>
        <v>1.6409776942046763</v>
      </c>
      <c r="O287" s="256">
        <f t="shared" si="56"/>
        <v>1.6579460885300441</v>
      </c>
      <c r="P287" s="256">
        <f t="shared" si="56"/>
        <v>1.4704323121986702</v>
      </c>
      <c r="Q287" s="256">
        <f t="shared" si="56"/>
        <v>1.9624307204509874</v>
      </c>
      <c r="R287" s="256">
        <f t="shared" si="56"/>
        <v>1.386858838098062</v>
      </c>
      <c r="S287" s="256">
        <f t="shared" si="56"/>
        <v>1.386858838098062</v>
      </c>
      <c r="T287" s="256">
        <f t="shared" si="56"/>
        <v>1.386858838098062</v>
      </c>
      <c r="U287" s="256">
        <f t="shared" si="56"/>
        <v>1.386858838098062</v>
      </c>
      <c r="V287" s="256">
        <f t="shared" si="56"/>
        <v>1.386858838098062</v>
      </c>
      <c r="W287" s="256">
        <f t="shared" si="56"/>
        <v>1.386858838098062</v>
      </c>
      <c r="X287" s="256">
        <f t="shared" si="56"/>
        <v>1.386858838098062</v>
      </c>
      <c r="Y287" s="256">
        <f t="shared" si="56"/>
        <v>1.386858838098062</v>
      </c>
    </row>
    <row r="288" spans="5:25" x14ac:dyDescent="0.25">
      <c r="F288" s="14" t="s">
        <v>51</v>
      </c>
      <c r="G288" s="14" t="s">
        <v>428</v>
      </c>
      <c r="J288" s="256">
        <f t="shared" si="56"/>
        <v>0</v>
      </c>
      <c r="K288" s="256">
        <f t="shared" si="56"/>
        <v>0</v>
      </c>
      <c r="L288" s="256">
        <f t="shared" si="56"/>
        <v>0</v>
      </c>
      <c r="M288" s="256">
        <f t="shared" si="56"/>
        <v>0</v>
      </c>
      <c r="N288" s="256">
        <f t="shared" si="56"/>
        <v>0</v>
      </c>
      <c r="O288" s="256">
        <f t="shared" si="56"/>
        <v>0</v>
      </c>
      <c r="P288" s="256">
        <f t="shared" si="56"/>
        <v>0</v>
      </c>
      <c r="Q288" s="256">
        <f t="shared" si="56"/>
        <v>0</v>
      </c>
      <c r="R288" s="256">
        <f t="shared" si="56"/>
        <v>0</v>
      </c>
      <c r="S288" s="256">
        <f t="shared" si="56"/>
        <v>0</v>
      </c>
      <c r="T288" s="256">
        <f t="shared" si="56"/>
        <v>0</v>
      </c>
      <c r="U288" s="256">
        <f t="shared" si="56"/>
        <v>0</v>
      </c>
      <c r="V288" s="256">
        <f t="shared" si="56"/>
        <v>0</v>
      </c>
      <c r="W288" s="256">
        <f t="shared" si="56"/>
        <v>0</v>
      </c>
      <c r="X288" s="256">
        <f t="shared" si="56"/>
        <v>0</v>
      </c>
      <c r="Y288" s="256">
        <f t="shared" si="56"/>
        <v>0</v>
      </c>
    </row>
    <row r="289" spans="2:27" x14ac:dyDescent="0.25">
      <c r="F289" s="14" t="s">
        <v>48</v>
      </c>
      <c r="G289" s="14" t="s">
        <v>428</v>
      </c>
      <c r="J289" s="256">
        <f t="shared" si="56"/>
        <v>1.8480046320209771</v>
      </c>
      <c r="K289" s="256">
        <f t="shared" si="56"/>
        <v>1.8480046320209771</v>
      </c>
      <c r="L289" s="256">
        <f t="shared" si="56"/>
        <v>2.2536636764172022</v>
      </c>
      <c r="M289" s="256">
        <f t="shared" si="56"/>
        <v>2.2536636764172022</v>
      </c>
      <c r="N289" s="256">
        <f t="shared" si="56"/>
        <v>1.6409776942046763</v>
      </c>
      <c r="O289" s="256">
        <f t="shared" si="56"/>
        <v>1.6579460885300441</v>
      </c>
      <c r="P289" s="256">
        <f t="shared" si="56"/>
        <v>1.4704323121986702</v>
      </c>
      <c r="Q289" s="256">
        <f t="shared" si="56"/>
        <v>1.9624307204509874</v>
      </c>
      <c r="R289" s="256">
        <f t="shared" si="56"/>
        <v>1.386858838098062</v>
      </c>
      <c r="S289" s="256">
        <f t="shared" si="56"/>
        <v>1.386858838098062</v>
      </c>
      <c r="T289" s="256">
        <f t="shared" si="56"/>
        <v>1.386858838098062</v>
      </c>
      <c r="U289" s="256">
        <f t="shared" si="56"/>
        <v>1.386858838098062</v>
      </c>
      <c r="V289" s="256">
        <f t="shared" si="56"/>
        <v>1.386858838098062</v>
      </c>
      <c r="W289" s="256">
        <f t="shared" si="56"/>
        <v>1.386858838098062</v>
      </c>
      <c r="X289" s="256">
        <f t="shared" si="56"/>
        <v>1.386858838098062</v>
      </c>
      <c r="Y289" s="256">
        <f t="shared" si="56"/>
        <v>1.386858838098062</v>
      </c>
    </row>
    <row r="290" spans="2:27" x14ac:dyDescent="0.25">
      <c r="F290" s="14" t="s">
        <v>49</v>
      </c>
      <c r="G290" s="14" t="s">
        <v>428</v>
      </c>
      <c r="J290" s="256">
        <f t="shared" si="56"/>
        <v>1.8480046320209771</v>
      </c>
      <c r="K290" s="256">
        <f t="shared" si="56"/>
        <v>1.8480046320209771</v>
      </c>
      <c r="L290" s="256">
        <f t="shared" si="56"/>
        <v>2.2536636764172022</v>
      </c>
      <c r="M290" s="256">
        <f t="shared" si="56"/>
        <v>2.2536636764172022</v>
      </c>
      <c r="N290" s="256">
        <f t="shared" si="56"/>
        <v>1.6409776942046763</v>
      </c>
      <c r="O290" s="256">
        <f t="shared" si="56"/>
        <v>1.6579460885300441</v>
      </c>
      <c r="P290" s="256">
        <f t="shared" si="56"/>
        <v>1.4704323121986702</v>
      </c>
      <c r="Q290" s="256">
        <f t="shared" si="56"/>
        <v>1.9624307204509874</v>
      </c>
      <c r="R290" s="256">
        <f t="shared" si="56"/>
        <v>1.386858838098062</v>
      </c>
      <c r="S290" s="256">
        <f t="shared" si="56"/>
        <v>1.386858838098062</v>
      </c>
      <c r="T290" s="256">
        <f t="shared" si="56"/>
        <v>1.386858838098062</v>
      </c>
      <c r="U290" s="256">
        <f t="shared" si="56"/>
        <v>1.386858838098062</v>
      </c>
      <c r="V290" s="256">
        <f t="shared" si="56"/>
        <v>1.386858838098062</v>
      </c>
      <c r="W290" s="256">
        <f t="shared" si="56"/>
        <v>1.386858838098062</v>
      </c>
      <c r="X290" s="256">
        <f t="shared" si="56"/>
        <v>1.386858838098062</v>
      </c>
      <c r="Y290" s="256">
        <f t="shared" si="56"/>
        <v>1.386858838098062</v>
      </c>
    </row>
    <row r="291" spans="2:27" x14ac:dyDescent="0.25">
      <c r="F291" s="15" t="s">
        <v>50</v>
      </c>
      <c r="G291" s="15" t="s">
        <v>428</v>
      </c>
      <c r="H291" s="93"/>
      <c r="I291" s="93"/>
      <c r="J291" s="258">
        <f t="shared" si="56"/>
        <v>1.8480046320209771</v>
      </c>
      <c r="K291" s="258">
        <f t="shared" si="56"/>
        <v>1.8480046320209771</v>
      </c>
      <c r="L291" s="258">
        <f t="shared" si="56"/>
        <v>2.2536636764172022</v>
      </c>
      <c r="M291" s="258">
        <f t="shared" si="56"/>
        <v>2.2536636764172022</v>
      </c>
      <c r="N291" s="258">
        <f t="shared" si="56"/>
        <v>1.6409776942046763</v>
      </c>
      <c r="O291" s="258">
        <f t="shared" si="56"/>
        <v>1.6579460885300441</v>
      </c>
      <c r="P291" s="258">
        <f t="shared" si="56"/>
        <v>1.4704323121986702</v>
      </c>
      <c r="Q291" s="258">
        <f t="shared" si="56"/>
        <v>1.9624307204509874</v>
      </c>
      <c r="R291" s="258">
        <f t="shared" si="56"/>
        <v>1.386858838098062</v>
      </c>
      <c r="S291" s="258">
        <f t="shared" si="56"/>
        <v>1.386858838098062</v>
      </c>
      <c r="T291" s="258">
        <f t="shared" si="56"/>
        <v>1.386858838098062</v>
      </c>
      <c r="U291" s="258">
        <f t="shared" si="56"/>
        <v>1.386858838098062</v>
      </c>
      <c r="V291" s="258">
        <f t="shared" si="56"/>
        <v>1.386858838098062</v>
      </c>
      <c r="W291" s="258">
        <f t="shared" si="56"/>
        <v>1.386858838098062</v>
      </c>
      <c r="X291" s="258">
        <f t="shared" si="56"/>
        <v>1.386858838098062</v>
      </c>
      <c r="Y291" s="258">
        <f t="shared" si="56"/>
        <v>1.386858838098062</v>
      </c>
    </row>
    <row r="292" spans="2:27" x14ac:dyDescent="0.2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2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25">
      <c r="F294" s="16" t="s">
        <v>43</v>
      </c>
      <c r="G294" s="16" t="s">
        <v>428</v>
      </c>
      <c r="H294" s="91"/>
      <c r="I294" s="91"/>
      <c r="J294" s="254">
        <f>J251 * J$93</f>
        <v>9.8807001773545164E-2</v>
      </c>
      <c r="K294" s="254">
        <f t="shared" ref="K294:Y294" si="57">K251 * K$93</f>
        <v>9.8807001773545164E-2</v>
      </c>
      <c r="L294" s="254">
        <f t="shared" si="57"/>
        <v>0.12049631641302137</v>
      </c>
      <c r="M294" s="254">
        <f t="shared" si="57"/>
        <v>0.12049631641302137</v>
      </c>
      <c r="N294" s="254">
        <f t="shared" si="57"/>
        <v>8.7737921827778731E-2</v>
      </c>
      <c r="O294" s="254">
        <f t="shared" si="57"/>
        <v>8.8645168562527063E-2</v>
      </c>
      <c r="P294" s="254">
        <f t="shared" si="57"/>
        <v>7.861939605660194E-2</v>
      </c>
      <c r="Q294" s="254">
        <f t="shared" si="57"/>
        <v>9.3825255419597117E-2</v>
      </c>
      <c r="R294" s="254">
        <f t="shared" si="57"/>
        <v>7.4150984960332345E-2</v>
      </c>
      <c r="S294" s="254">
        <f t="shared" si="57"/>
        <v>7.4150984960332345E-2</v>
      </c>
      <c r="T294" s="254">
        <f t="shared" si="57"/>
        <v>7.4150984960332345E-2</v>
      </c>
      <c r="U294" s="254">
        <f t="shared" si="57"/>
        <v>7.4150984960332345E-2</v>
      </c>
      <c r="V294" s="254">
        <f t="shared" si="57"/>
        <v>7.4150984960332345E-2</v>
      </c>
      <c r="W294" s="254">
        <f t="shared" si="57"/>
        <v>7.4150984960332345E-2</v>
      </c>
      <c r="X294" s="254">
        <f t="shared" si="57"/>
        <v>7.4150984960332345E-2</v>
      </c>
      <c r="Y294" s="254">
        <f t="shared" si="57"/>
        <v>7.4150984960332345E-2</v>
      </c>
    </row>
    <row r="295" spans="2:27" x14ac:dyDescent="0.25">
      <c r="F295" s="14" t="s">
        <v>44</v>
      </c>
      <c r="G295" s="14" t="s">
        <v>428</v>
      </c>
      <c r="J295" s="256">
        <f t="shared" ref="J295:Y302" si="58">J252 * J$93</f>
        <v>9.8807001773545164E-2</v>
      </c>
      <c r="K295" s="256">
        <f t="shared" si="58"/>
        <v>9.8807001773545164E-2</v>
      </c>
      <c r="L295" s="256">
        <f t="shared" si="58"/>
        <v>0.12049631641302137</v>
      </c>
      <c r="M295" s="256">
        <f t="shared" si="58"/>
        <v>0.12049631641302137</v>
      </c>
      <c r="N295" s="256">
        <f t="shared" si="58"/>
        <v>8.7737921827778731E-2</v>
      </c>
      <c r="O295" s="256">
        <f t="shared" si="58"/>
        <v>8.8645168562527063E-2</v>
      </c>
      <c r="P295" s="256">
        <f t="shared" si="58"/>
        <v>7.861939605660194E-2</v>
      </c>
      <c r="Q295" s="256">
        <f t="shared" si="58"/>
        <v>9.3825255419597117E-2</v>
      </c>
      <c r="R295" s="256">
        <f t="shared" si="58"/>
        <v>7.4150984960332345E-2</v>
      </c>
      <c r="S295" s="256">
        <f t="shared" si="58"/>
        <v>7.4150984960332345E-2</v>
      </c>
      <c r="T295" s="256">
        <f t="shared" si="58"/>
        <v>7.4150984960332345E-2</v>
      </c>
      <c r="U295" s="256">
        <f t="shared" si="58"/>
        <v>7.4150984960332345E-2</v>
      </c>
      <c r="V295" s="256">
        <f t="shared" si="58"/>
        <v>7.4150984960332345E-2</v>
      </c>
      <c r="W295" s="256">
        <f t="shared" si="58"/>
        <v>7.4150984960332345E-2</v>
      </c>
      <c r="X295" s="256">
        <f t="shared" si="58"/>
        <v>7.4150984960332345E-2</v>
      </c>
      <c r="Y295" s="256">
        <f t="shared" si="58"/>
        <v>7.4150984960332345E-2</v>
      </c>
    </row>
    <row r="296" spans="2:27" x14ac:dyDescent="0.25">
      <c r="F296" s="14" t="s">
        <v>45</v>
      </c>
      <c r="G296" s="14" t="s">
        <v>428</v>
      </c>
      <c r="J296" s="256">
        <f t="shared" si="58"/>
        <v>0.23185570967360311</v>
      </c>
      <c r="K296" s="256">
        <f t="shared" si="58"/>
        <v>0.23185570967360311</v>
      </c>
      <c r="L296" s="256">
        <f t="shared" si="58"/>
        <v>0.28275080159831578</v>
      </c>
      <c r="M296" s="256">
        <f t="shared" si="58"/>
        <v>0.28275080159831578</v>
      </c>
      <c r="N296" s="256">
        <f t="shared" si="58"/>
        <v>0.20588154448092277</v>
      </c>
      <c r="O296" s="256">
        <f t="shared" si="58"/>
        <v>0.20801044558872314</v>
      </c>
      <c r="P296" s="256">
        <f t="shared" si="58"/>
        <v>0.18448445494369836</v>
      </c>
      <c r="Q296" s="256">
        <f t="shared" si="58"/>
        <v>0.22016578572513895</v>
      </c>
      <c r="R296" s="256">
        <f t="shared" si="58"/>
        <v>0.17399909856972956</v>
      </c>
      <c r="S296" s="256">
        <f t="shared" si="58"/>
        <v>0.17399909856972956</v>
      </c>
      <c r="T296" s="256">
        <f t="shared" si="58"/>
        <v>0.17399909856972956</v>
      </c>
      <c r="U296" s="256">
        <f t="shared" si="58"/>
        <v>0.17399909856972956</v>
      </c>
      <c r="V296" s="256">
        <f t="shared" si="58"/>
        <v>0.17399909856972956</v>
      </c>
      <c r="W296" s="256">
        <f t="shared" si="58"/>
        <v>0.17399909856972956</v>
      </c>
      <c r="X296" s="256">
        <f t="shared" si="58"/>
        <v>0.17399909856972956</v>
      </c>
      <c r="Y296" s="256">
        <f t="shared" si="58"/>
        <v>0.17399909856972956</v>
      </c>
    </row>
    <row r="297" spans="2:27" x14ac:dyDescent="0.25">
      <c r="F297" s="14" t="s">
        <v>46</v>
      </c>
      <c r="G297" s="14" t="s">
        <v>428</v>
      </c>
      <c r="J297" s="256">
        <f t="shared" si="58"/>
        <v>0.23185570967360311</v>
      </c>
      <c r="K297" s="256">
        <f t="shared" si="58"/>
        <v>0.23185570967360311</v>
      </c>
      <c r="L297" s="256">
        <f t="shared" si="58"/>
        <v>0.28275080159831578</v>
      </c>
      <c r="M297" s="256">
        <f t="shared" si="58"/>
        <v>0.28275080159831578</v>
      </c>
      <c r="N297" s="256">
        <f t="shared" si="58"/>
        <v>0.20588154448092277</v>
      </c>
      <c r="O297" s="256">
        <f t="shared" si="58"/>
        <v>0.20801044558872314</v>
      </c>
      <c r="P297" s="256">
        <f t="shared" si="58"/>
        <v>0.18448445494369836</v>
      </c>
      <c r="Q297" s="256">
        <f t="shared" si="58"/>
        <v>0.22016578572513895</v>
      </c>
      <c r="R297" s="256">
        <f t="shared" si="58"/>
        <v>0.17399909856972956</v>
      </c>
      <c r="S297" s="256">
        <f t="shared" si="58"/>
        <v>0.17399909856972956</v>
      </c>
      <c r="T297" s="256">
        <f t="shared" si="58"/>
        <v>0.17399909856972956</v>
      </c>
      <c r="U297" s="256">
        <f t="shared" si="58"/>
        <v>0.17399909856972956</v>
      </c>
      <c r="V297" s="256">
        <f t="shared" si="58"/>
        <v>0.17399909856972956</v>
      </c>
      <c r="W297" s="256">
        <f t="shared" si="58"/>
        <v>0.17399909856972956</v>
      </c>
      <c r="X297" s="256">
        <f t="shared" si="58"/>
        <v>0.17399909856972956</v>
      </c>
      <c r="Y297" s="256">
        <f t="shared" si="58"/>
        <v>0.17399909856972956</v>
      </c>
    </row>
    <row r="298" spans="2:27" x14ac:dyDescent="0.25">
      <c r="F298" s="14" t="s">
        <v>47</v>
      </c>
      <c r="G298" s="14" t="s">
        <v>428</v>
      </c>
      <c r="J298" s="256">
        <f t="shared" si="58"/>
        <v>0.16145086531697106</v>
      </c>
      <c r="K298" s="256">
        <f t="shared" si="58"/>
        <v>0.16145086531697106</v>
      </c>
      <c r="L298" s="256">
        <f t="shared" si="58"/>
        <v>0.19689125470052032</v>
      </c>
      <c r="M298" s="256">
        <f t="shared" si="58"/>
        <v>0.19689125470052032</v>
      </c>
      <c r="N298" s="256">
        <f t="shared" si="58"/>
        <v>0.14336396354453809</v>
      </c>
      <c r="O298" s="256">
        <f t="shared" si="58"/>
        <v>0.14484640676973404</v>
      </c>
      <c r="P298" s="256">
        <f t="shared" si="58"/>
        <v>0.12846427172365174</v>
      </c>
      <c r="Q298" s="256">
        <f t="shared" si="58"/>
        <v>0.15331068045964727</v>
      </c>
      <c r="R298" s="256">
        <f t="shared" si="58"/>
        <v>0.12116287784330593</v>
      </c>
      <c r="S298" s="256">
        <f t="shared" si="58"/>
        <v>0.12116287784330593</v>
      </c>
      <c r="T298" s="256">
        <f t="shared" si="58"/>
        <v>0.12116287784330593</v>
      </c>
      <c r="U298" s="256">
        <f t="shared" si="58"/>
        <v>0.12116287784330593</v>
      </c>
      <c r="V298" s="256">
        <f t="shared" si="58"/>
        <v>0.12116287784330593</v>
      </c>
      <c r="W298" s="256">
        <f t="shared" si="58"/>
        <v>0.12116287784330593</v>
      </c>
      <c r="X298" s="256">
        <f t="shared" si="58"/>
        <v>0.12116287784330593</v>
      </c>
      <c r="Y298" s="256">
        <f t="shared" si="58"/>
        <v>0.12116287784330593</v>
      </c>
    </row>
    <row r="299" spans="2:27" x14ac:dyDescent="0.25">
      <c r="F299" s="14" t="s">
        <v>51</v>
      </c>
      <c r="G299" s="14" t="s">
        <v>428</v>
      </c>
      <c r="J299" s="256">
        <f t="shared" si="58"/>
        <v>0</v>
      </c>
      <c r="K299" s="256">
        <f t="shared" si="58"/>
        <v>0</v>
      </c>
      <c r="L299" s="256">
        <f t="shared" si="58"/>
        <v>0</v>
      </c>
      <c r="M299" s="256">
        <f t="shared" si="58"/>
        <v>0</v>
      </c>
      <c r="N299" s="256">
        <f t="shared" si="58"/>
        <v>0</v>
      </c>
      <c r="O299" s="256">
        <f t="shared" si="58"/>
        <v>0</v>
      </c>
      <c r="P299" s="256">
        <f t="shared" si="58"/>
        <v>0</v>
      </c>
      <c r="Q299" s="256">
        <f t="shared" si="58"/>
        <v>0</v>
      </c>
      <c r="R299" s="256">
        <f t="shared" si="58"/>
        <v>0</v>
      </c>
      <c r="S299" s="256">
        <f t="shared" si="58"/>
        <v>0</v>
      </c>
      <c r="T299" s="256">
        <f t="shared" si="58"/>
        <v>0</v>
      </c>
      <c r="U299" s="256">
        <f t="shared" si="58"/>
        <v>0</v>
      </c>
      <c r="V299" s="256">
        <f t="shared" si="58"/>
        <v>0</v>
      </c>
      <c r="W299" s="256">
        <f t="shared" si="58"/>
        <v>0</v>
      </c>
      <c r="X299" s="256">
        <f t="shared" si="58"/>
        <v>0</v>
      </c>
      <c r="Y299" s="256">
        <f t="shared" si="58"/>
        <v>0</v>
      </c>
    </row>
    <row r="300" spans="2:27" x14ac:dyDescent="0.25">
      <c r="F300" s="14" t="s">
        <v>48</v>
      </c>
      <c r="G300" s="14" t="s">
        <v>428</v>
      </c>
      <c r="J300" s="256">
        <f t="shared" si="58"/>
        <v>0.16145086531697106</v>
      </c>
      <c r="K300" s="256">
        <f t="shared" si="58"/>
        <v>0.16145086531697106</v>
      </c>
      <c r="L300" s="256">
        <f t="shared" si="58"/>
        <v>0.19689125470052032</v>
      </c>
      <c r="M300" s="256">
        <f t="shared" si="58"/>
        <v>0.19689125470052032</v>
      </c>
      <c r="N300" s="256">
        <f t="shared" si="58"/>
        <v>0.14336396354453809</v>
      </c>
      <c r="O300" s="256">
        <f t="shared" si="58"/>
        <v>0.14484640676973404</v>
      </c>
      <c r="P300" s="256">
        <f t="shared" si="58"/>
        <v>0.12846427172365174</v>
      </c>
      <c r="Q300" s="256">
        <f t="shared" si="58"/>
        <v>0.15331068045964727</v>
      </c>
      <c r="R300" s="256">
        <f t="shared" si="58"/>
        <v>0.12116287784330593</v>
      </c>
      <c r="S300" s="256">
        <f t="shared" si="58"/>
        <v>0.12116287784330593</v>
      </c>
      <c r="T300" s="256">
        <f t="shared" si="58"/>
        <v>0.12116287784330593</v>
      </c>
      <c r="U300" s="256">
        <f t="shared" si="58"/>
        <v>0.12116287784330593</v>
      </c>
      <c r="V300" s="256">
        <f t="shared" si="58"/>
        <v>0.12116287784330593</v>
      </c>
      <c r="W300" s="256">
        <f t="shared" si="58"/>
        <v>0.12116287784330593</v>
      </c>
      <c r="X300" s="256">
        <f t="shared" si="58"/>
        <v>0.12116287784330593</v>
      </c>
      <c r="Y300" s="256">
        <f t="shared" si="58"/>
        <v>0.12116287784330593</v>
      </c>
    </row>
    <row r="301" spans="2:27" x14ac:dyDescent="0.25">
      <c r="F301" s="14" t="s">
        <v>49</v>
      </c>
      <c r="G301" s="14" t="s">
        <v>428</v>
      </c>
      <c r="J301" s="256">
        <f t="shared" si="58"/>
        <v>0.16145086531697106</v>
      </c>
      <c r="K301" s="256">
        <f t="shared" si="58"/>
        <v>0.16145086531697106</v>
      </c>
      <c r="L301" s="256">
        <f t="shared" si="58"/>
        <v>0.19689125470052032</v>
      </c>
      <c r="M301" s="256">
        <f t="shared" si="58"/>
        <v>0.19689125470052032</v>
      </c>
      <c r="N301" s="256">
        <f t="shared" si="58"/>
        <v>0.14336396354453809</v>
      </c>
      <c r="O301" s="256">
        <f t="shared" si="58"/>
        <v>0.14484640676973404</v>
      </c>
      <c r="P301" s="256">
        <f t="shared" si="58"/>
        <v>0.12846427172365174</v>
      </c>
      <c r="Q301" s="256">
        <f t="shared" si="58"/>
        <v>0.15331068045964727</v>
      </c>
      <c r="R301" s="256">
        <f t="shared" si="58"/>
        <v>0.12116287784330593</v>
      </c>
      <c r="S301" s="256">
        <f t="shared" si="58"/>
        <v>0.12116287784330593</v>
      </c>
      <c r="T301" s="256">
        <f t="shared" si="58"/>
        <v>0.12116287784330593</v>
      </c>
      <c r="U301" s="256">
        <f t="shared" si="58"/>
        <v>0.12116287784330593</v>
      </c>
      <c r="V301" s="256">
        <f t="shared" si="58"/>
        <v>0.12116287784330593</v>
      </c>
      <c r="W301" s="256">
        <f t="shared" si="58"/>
        <v>0.12116287784330593</v>
      </c>
      <c r="X301" s="256">
        <f t="shared" si="58"/>
        <v>0.12116287784330593</v>
      </c>
      <c r="Y301" s="256">
        <f t="shared" si="58"/>
        <v>0.12116287784330593</v>
      </c>
    </row>
    <row r="302" spans="2:27" x14ac:dyDescent="0.25">
      <c r="F302" s="15" t="s">
        <v>50</v>
      </c>
      <c r="G302" s="15" t="s">
        <v>428</v>
      </c>
      <c r="H302" s="93"/>
      <c r="I302" s="93"/>
      <c r="J302" s="258">
        <f t="shared" si="58"/>
        <v>0.16145086531697106</v>
      </c>
      <c r="K302" s="258">
        <f t="shared" si="58"/>
        <v>0.16145086531697106</v>
      </c>
      <c r="L302" s="258">
        <f t="shared" si="58"/>
        <v>0.19689125470052032</v>
      </c>
      <c r="M302" s="258">
        <f t="shared" si="58"/>
        <v>0.19689125470052032</v>
      </c>
      <c r="N302" s="258">
        <f t="shared" si="58"/>
        <v>0.14336396354453809</v>
      </c>
      <c r="O302" s="258">
        <f t="shared" si="58"/>
        <v>0.14484640676973404</v>
      </c>
      <c r="P302" s="258">
        <f t="shared" si="58"/>
        <v>0.12846427172365174</v>
      </c>
      <c r="Q302" s="258">
        <f t="shared" si="58"/>
        <v>0.15331068045964727</v>
      </c>
      <c r="R302" s="258">
        <f t="shared" si="58"/>
        <v>0.12116287784330593</v>
      </c>
      <c r="S302" s="258">
        <f t="shared" si="58"/>
        <v>0.12116287784330593</v>
      </c>
      <c r="T302" s="258">
        <f t="shared" si="58"/>
        <v>0.12116287784330593</v>
      </c>
      <c r="U302" s="258">
        <f t="shared" si="58"/>
        <v>0.12116287784330593</v>
      </c>
      <c r="V302" s="258">
        <f t="shared" si="58"/>
        <v>0.12116287784330593</v>
      </c>
      <c r="W302" s="258">
        <f t="shared" si="58"/>
        <v>0.12116287784330593</v>
      </c>
      <c r="X302" s="258">
        <f t="shared" si="58"/>
        <v>0.12116287784330593</v>
      </c>
      <c r="Y302" s="258">
        <f t="shared" si="58"/>
        <v>0.12116287784330593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3" t="s">
        <v>416</v>
      </c>
      <c r="G306" s="122" t="s">
        <v>589</v>
      </c>
      <c r="H306" s="310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00000000-0004-0000-15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344</v>
      </c>
      <c r="D9" s="82"/>
    </row>
    <row r="10" spans="1:43" x14ac:dyDescent="0.25">
      <c r="C10" s="82" t="s">
        <v>341</v>
      </c>
      <c r="D10" s="82"/>
    </row>
    <row r="11" spans="1:43" x14ac:dyDescent="0.25">
      <c r="C11" s="82" t="s">
        <v>289</v>
      </c>
      <c r="D11" s="82"/>
    </row>
    <row r="12" spans="1:43" x14ac:dyDescent="0.25">
      <c r="C12" s="82"/>
      <c r="D12" s="82" t="s">
        <v>290</v>
      </c>
    </row>
    <row r="13" spans="1:43" x14ac:dyDescent="0.25">
      <c r="C13" s="82"/>
      <c r="D13" s="82" t="s">
        <v>291</v>
      </c>
    </row>
    <row r="14" spans="1:43" x14ac:dyDescent="0.25">
      <c r="C14" s="82"/>
      <c r="D14" s="82" t="s">
        <v>292</v>
      </c>
    </row>
    <row r="16" spans="1:43" x14ac:dyDescent="0.25">
      <c r="B16" s="95" t="s">
        <v>666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control'!$H$34:$H$60,MATCH($A$1,'Version control'!$F$34:$F$60,0),1)&amp;"-A: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343</v>
      </c>
      <c r="AQ20" s="88"/>
    </row>
    <row r="21" spans="3:43" x14ac:dyDescent="0.25">
      <c r="C21" s="96"/>
      <c r="AQ21" s="88"/>
    </row>
    <row r="22" spans="3:43" x14ac:dyDescent="0.25">
      <c r="E22" s="96" t="s">
        <v>518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89">
        <f>'Standing charge factors'!J52</f>
        <v>1</v>
      </c>
      <c r="K31" s="389">
        <f>'Standing charge factors'!K52</f>
        <v>1</v>
      </c>
      <c r="L31" s="389">
        <f>'Standing charge factors'!L52</f>
        <v>1</v>
      </c>
      <c r="M31" s="389">
        <f>'Standing charge factors'!M52</f>
        <v>1</v>
      </c>
      <c r="N31" s="389">
        <f>'Standing charge factors'!N52</f>
        <v>1</v>
      </c>
      <c r="O31" s="389">
        <f>'Standing charge factors'!O52</f>
        <v>0</v>
      </c>
      <c r="P31" s="389">
        <f>'Standing charge factors'!P52</f>
        <v>0</v>
      </c>
      <c r="Q31" s="389">
        <f>'Standing charge factors'!Q52</f>
        <v>0</v>
      </c>
      <c r="R31" s="389">
        <f>'Standing charge factors'!R52</f>
        <v>0</v>
      </c>
      <c r="S31" s="389">
        <f>'Standing charge factors'!S52</f>
        <v>0</v>
      </c>
      <c r="T31" s="389">
        <f>'Standing charge factors'!T52</f>
        <v>0</v>
      </c>
      <c r="U31" s="389">
        <f>'Standing charge factors'!U52</f>
        <v>0</v>
      </c>
      <c r="V31" s="389">
        <f>'Standing charge factors'!V52</f>
        <v>0</v>
      </c>
      <c r="W31" s="389">
        <f>'Standing charge factors'!W52</f>
        <v>0</v>
      </c>
      <c r="X31" s="389">
        <f>'Standing charge factors'!X52</f>
        <v>0</v>
      </c>
      <c r="Y31" s="389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519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753</v>
      </c>
      <c r="AQ33" s="88"/>
    </row>
    <row r="34" spans="5:43" x14ac:dyDescent="0.25">
      <c r="E34" s="96"/>
      <c r="F34" s="91" t="s">
        <v>43</v>
      </c>
      <c r="G34" s="91" t="s">
        <v>428</v>
      </c>
      <c r="H34" s="277"/>
      <c r="I34" s="277"/>
      <c r="J34" s="272">
        <f t="array" ref="J34:Y42">TRANSPOSE('Load &amp; loss characteristics'!K145:S160)</f>
        <v>1.1080000000000001</v>
      </c>
      <c r="K34" s="272">
        <v>1.1080000000000001</v>
      </c>
      <c r="L34" s="272">
        <v>1.1080000000000001</v>
      </c>
      <c r="M34" s="272">
        <v>1.1080000000000001</v>
      </c>
      <c r="N34" s="272">
        <v>1.1080000000000001</v>
      </c>
      <c r="O34" s="272">
        <v>1.0589999999999999</v>
      </c>
      <c r="P34" s="272">
        <v>1.0369999999999999</v>
      </c>
      <c r="Q34" s="272">
        <v>1.1080000000000001</v>
      </c>
      <c r="R34" s="272">
        <v>-1.1080000000000001</v>
      </c>
      <c r="S34" s="272">
        <v>-1.0589999999999999</v>
      </c>
      <c r="T34" s="272">
        <v>-1.1080000000000001</v>
      </c>
      <c r="U34" s="272">
        <v>-1.1080000000000001</v>
      </c>
      <c r="V34" s="272">
        <v>-1.0589999999999999</v>
      </c>
      <c r="W34" s="272">
        <v>-1.0589999999999999</v>
      </c>
      <c r="X34" s="272">
        <v>-1.0369999999999999</v>
      </c>
      <c r="Y34" s="272">
        <v>-1.0369999999999999</v>
      </c>
      <c r="AQ34" s="88"/>
    </row>
    <row r="35" spans="5:43" x14ac:dyDescent="0.25">
      <c r="E35" s="96"/>
      <c r="F35" s="293" t="s">
        <v>44</v>
      </c>
      <c r="G35" s="293" t="s">
        <v>428</v>
      </c>
      <c r="H35" s="252"/>
      <c r="I35" s="252"/>
      <c r="J35" s="273">
        <v>1.1080000000000001</v>
      </c>
      <c r="K35" s="273">
        <v>1.1080000000000001</v>
      </c>
      <c r="L35" s="273">
        <v>1.1080000000000001</v>
      </c>
      <c r="M35" s="273">
        <v>1.1080000000000001</v>
      </c>
      <c r="N35" s="273">
        <v>1.1080000000000001</v>
      </c>
      <c r="O35" s="273">
        <v>1.0589999999999999</v>
      </c>
      <c r="P35" s="273">
        <v>1.0369999999999999</v>
      </c>
      <c r="Q35" s="273">
        <v>1.1080000000000001</v>
      </c>
      <c r="R35" s="273">
        <v>-1.1080000000000001</v>
      </c>
      <c r="S35" s="273">
        <v>-1.0589999999999999</v>
      </c>
      <c r="T35" s="273">
        <v>-1.1080000000000001</v>
      </c>
      <c r="U35" s="273">
        <v>-1.1080000000000001</v>
      </c>
      <c r="V35" s="273">
        <v>-1.0589999999999999</v>
      </c>
      <c r="W35" s="273">
        <v>-1.0589999999999999</v>
      </c>
      <c r="X35" s="273">
        <v>-1.0369999999999999</v>
      </c>
      <c r="Y35" s="273">
        <v>-1.0369999999999999</v>
      </c>
      <c r="AQ35" s="88"/>
    </row>
    <row r="36" spans="5:43" x14ac:dyDescent="0.25">
      <c r="E36" s="96"/>
      <c r="F36" s="293" t="s">
        <v>45</v>
      </c>
      <c r="G36" s="293" t="s">
        <v>428</v>
      </c>
      <c r="H36" s="252"/>
      <c r="I36" s="252"/>
      <c r="J36" s="273">
        <v>1.1080000000000001</v>
      </c>
      <c r="K36" s="273">
        <v>1.1080000000000001</v>
      </c>
      <c r="L36" s="273">
        <v>1.1080000000000001</v>
      </c>
      <c r="M36" s="273">
        <v>1.1080000000000001</v>
      </c>
      <c r="N36" s="273">
        <v>1.1080000000000001</v>
      </c>
      <c r="O36" s="273">
        <v>1.0589999999999999</v>
      </c>
      <c r="P36" s="273">
        <v>1.0369999999999999</v>
      </c>
      <c r="Q36" s="273">
        <v>1.1080000000000001</v>
      </c>
      <c r="R36" s="273">
        <v>-1.1080000000000001</v>
      </c>
      <c r="S36" s="273">
        <v>-1.0589999999999999</v>
      </c>
      <c r="T36" s="273">
        <v>-1.1080000000000001</v>
      </c>
      <c r="U36" s="273">
        <v>-1.1080000000000001</v>
      </c>
      <c r="V36" s="273">
        <v>-1.0589999999999999</v>
      </c>
      <c r="W36" s="273">
        <v>-1.0589999999999999</v>
      </c>
      <c r="X36" s="273">
        <v>-1.0369999999999999</v>
      </c>
      <c r="Y36" s="273">
        <v>-1.0369999999999999</v>
      </c>
      <c r="AQ36" s="88"/>
    </row>
    <row r="37" spans="5:43" x14ac:dyDescent="0.25">
      <c r="E37" s="96"/>
      <c r="F37" s="293" t="s">
        <v>46</v>
      </c>
      <c r="G37" s="293" t="s">
        <v>428</v>
      </c>
      <c r="H37" s="252"/>
      <c r="I37" s="252"/>
      <c r="J37" s="273">
        <v>1.1080000000000001</v>
      </c>
      <c r="K37" s="273">
        <v>1.1080000000000001</v>
      </c>
      <c r="L37" s="273">
        <v>1.1080000000000001</v>
      </c>
      <c r="M37" s="273">
        <v>1.1080000000000001</v>
      </c>
      <c r="N37" s="273">
        <v>1.1080000000000001</v>
      </c>
      <c r="O37" s="273">
        <v>1.0589999999999999</v>
      </c>
      <c r="P37" s="273">
        <v>1.0369999999999999</v>
      </c>
      <c r="Q37" s="273">
        <v>1.1080000000000001</v>
      </c>
      <c r="R37" s="273">
        <v>-1.1080000000000001</v>
      </c>
      <c r="S37" s="273">
        <v>-1.0589999999999999</v>
      </c>
      <c r="T37" s="273">
        <v>-1.1080000000000001</v>
      </c>
      <c r="U37" s="273">
        <v>-1.1080000000000001</v>
      </c>
      <c r="V37" s="273">
        <v>-1.0589999999999999</v>
      </c>
      <c r="W37" s="273">
        <v>-1.0589999999999999</v>
      </c>
      <c r="X37" s="273">
        <v>-1.0369999999999999</v>
      </c>
      <c r="Y37" s="273">
        <v>-1.0369999999999999</v>
      </c>
      <c r="AQ37" s="88"/>
    </row>
    <row r="38" spans="5:43" x14ac:dyDescent="0.25">
      <c r="E38" s="96"/>
      <c r="F38" s="293" t="s">
        <v>47</v>
      </c>
      <c r="G38" s="293" t="s">
        <v>428</v>
      </c>
      <c r="H38" s="252"/>
      <c r="I38" s="252"/>
      <c r="J38" s="273">
        <v>1.1080000000000001</v>
      </c>
      <c r="K38" s="273">
        <v>1.1080000000000001</v>
      </c>
      <c r="L38" s="273">
        <v>1.1080000000000001</v>
      </c>
      <c r="M38" s="273">
        <v>1.1080000000000001</v>
      </c>
      <c r="N38" s="273">
        <v>1.1080000000000001</v>
      </c>
      <c r="O38" s="273">
        <v>1.0589999999999999</v>
      </c>
      <c r="P38" s="273">
        <v>1.0369999999999999</v>
      </c>
      <c r="Q38" s="273">
        <v>1.1080000000000001</v>
      </c>
      <c r="R38" s="273">
        <v>-1.1080000000000001</v>
      </c>
      <c r="S38" s="273">
        <v>-1.0589999999999999</v>
      </c>
      <c r="T38" s="273">
        <v>-1.1080000000000001</v>
      </c>
      <c r="U38" s="273">
        <v>-1.1080000000000001</v>
      </c>
      <c r="V38" s="273">
        <v>-1.0589999999999999</v>
      </c>
      <c r="W38" s="273">
        <v>-1.0589999999999999</v>
      </c>
      <c r="X38" s="273">
        <v>-1.0369999999999999</v>
      </c>
      <c r="Y38" s="273">
        <v>-1.0369999999999999</v>
      </c>
      <c r="AQ38" s="88"/>
    </row>
    <row r="39" spans="5:43" x14ac:dyDescent="0.25">
      <c r="E39" s="96"/>
      <c r="F39" s="293" t="s">
        <v>51</v>
      </c>
      <c r="G39" s="293" t="s">
        <v>428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25">
      <c r="E40" s="96"/>
      <c r="F40" s="293" t="s">
        <v>48</v>
      </c>
      <c r="G40" s="293" t="s">
        <v>428</v>
      </c>
      <c r="H40" s="252"/>
      <c r="I40" s="252"/>
      <c r="J40" s="273">
        <v>1.1080000000000001</v>
      </c>
      <c r="K40" s="273">
        <v>1.1080000000000001</v>
      </c>
      <c r="L40" s="273">
        <v>1.1080000000000001</v>
      </c>
      <c r="M40" s="273">
        <v>1.1080000000000001</v>
      </c>
      <c r="N40" s="273">
        <v>1.1080000000000001</v>
      </c>
      <c r="O40" s="273">
        <v>1.0589999999999999</v>
      </c>
      <c r="P40" s="273">
        <v>1.0369999999999999</v>
      </c>
      <c r="Q40" s="273">
        <v>1.1080000000000001</v>
      </c>
      <c r="R40" s="273">
        <v>-1.1080000000000001</v>
      </c>
      <c r="S40" s="273">
        <v>-1.0589999999999999</v>
      </c>
      <c r="T40" s="273">
        <v>-1.1080000000000001</v>
      </c>
      <c r="U40" s="273">
        <v>-1.1080000000000001</v>
      </c>
      <c r="V40" s="273">
        <v>-1.0589999999999999</v>
      </c>
      <c r="W40" s="273">
        <v>-1.0589999999999999</v>
      </c>
      <c r="X40" s="273">
        <v>0</v>
      </c>
      <c r="Y40" s="273">
        <v>0</v>
      </c>
      <c r="AQ40" s="88"/>
    </row>
    <row r="41" spans="5:43" x14ac:dyDescent="0.25">
      <c r="E41" s="96"/>
      <c r="F41" s="293" t="s">
        <v>49</v>
      </c>
      <c r="G41" s="293" t="s">
        <v>428</v>
      </c>
      <c r="H41" s="252"/>
      <c r="I41" s="252"/>
      <c r="J41" s="273">
        <v>1.1080000000000001</v>
      </c>
      <c r="K41" s="273">
        <v>1.1080000000000001</v>
      </c>
      <c r="L41" s="273">
        <v>1.1080000000000001</v>
      </c>
      <c r="M41" s="273">
        <v>1.1080000000000001</v>
      </c>
      <c r="N41" s="273">
        <v>1.1080000000000001</v>
      </c>
      <c r="O41" s="273">
        <v>1.0589999999999999</v>
      </c>
      <c r="P41" s="273">
        <v>0</v>
      </c>
      <c r="Q41" s="273">
        <v>1.1080000000000001</v>
      </c>
      <c r="R41" s="273">
        <v>-1.1080000000000001</v>
      </c>
      <c r="S41" s="273">
        <v>0</v>
      </c>
      <c r="T41" s="273">
        <v>-1.1080000000000001</v>
      </c>
      <c r="U41" s="273">
        <v>-1.1080000000000001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25">
      <c r="E42" s="96"/>
      <c r="F42" s="93" t="s">
        <v>50</v>
      </c>
      <c r="G42" s="93" t="s">
        <v>428</v>
      </c>
      <c r="H42" s="271"/>
      <c r="I42" s="271"/>
      <c r="J42" s="274">
        <v>1.1080000000000001</v>
      </c>
      <c r="K42" s="274">
        <v>1.1080000000000001</v>
      </c>
      <c r="L42" s="274">
        <v>1.1080000000000001</v>
      </c>
      <c r="M42" s="274">
        <v>1.1080000000000001</v>
      </c>
      <c r="N42" s="274">
        <v>1.1080000000000001</v>
      </c>
      <c r="O42" s="274">
        <v>0</v>
      </c>
      <c r="P42" s="274">
        <v>0</v>
      </c>
      <c r="Q42" s="274">
        <v>1.1080000000000001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2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25">
      <c r="E44" s="96" t="s">
        <v>520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25">
      <c r="E45" s="96"/>
      <c r="F45" s="91" t="s">
        <v>43</v>
      </c>
      <c r="G45" s="91" t="s">
        <v>428</v>
      </c>
      <c r="H45" s="272">
        <f>'Load &amp; loss characteristics'!K29</f>
        <v>1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25">
      <c r="E46" s="96"/>
      <c r="F46" s="293" t="s">
        <v>44</v>
      </c>
      <c r="G46" s="293" t="s">
        <v>428</v>
      </c>
      <c r="H46" s="273">
        <f>'Load &amp; loss characteristics'!L29</f>
        <v>1.0049999999999999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25">
      <c r="E47" s="96"/>
      <c r="F47" s="293" t="s">
        <v>45</v>
      </c>
      <c r="G47" s="293" t="s">
        <v>428</v>
      </c>
      <c r="H47" s="273">
        <f>'Load &amp; loss characteristics'!M29</f>
        <v>1.012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25">
      <c r="E48" s="96"/>
      <c r="F48" s="293" t="s">
        <v>46</v>
      </c>
      <c r="G48" s="293" t="s">
        <v>428</v>
      </c>
      <c r="H48" s="273">
        <f>'Load &amp; loss characteristics'!N29</f>
        <v>1.018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25">
      <c r="E49" s="96"/>
      <c r="F49" s="293" t="s">
        <v>47</v>
      </c>
      <c r="G49" s="293" t="s">
        <v>428</v>
      </c>
      <c r="H49" s="273">
        <f>'Load &amp; loss characteristics'!O29</f>
        <v>1.026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25">
      <c r="E50" s="96"/>
      <c r="F50" s="293" t="s">
        <v>51</v>
      </c>
      <c r="G50" s="293" t="s">
        <v>428</v>
      </c>
      <c r="H50" s="273">
        <f>'Load &amp; loss characteristics'!P29</f>
        <v>1.026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25">
      <c r="E51" s="96"/>
      <c r="F51" s="293" t="s">
        <v>48</v>
      </c>
      <c r="G51" s="293" t="s">
        <v>428</v>
      </c>
      <c r="H51" s="273">
        <f>'Load &amp; loss characteristics'!Q29</f>
        <v>1.0369999999999999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25">
      <c r="E52" s="96"/>
      <c r="F52" s="293" t="s">
        <v>49</v>
      </c>
      <c r="G52" s="293" t="s">
        <v>428</v>
      </c>
      <c r="H52" s="273">
        <f>'Load &amp; loss characteristics'!R29</f>
        <v>1.0589999999999999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25">
      <c r="E53" s="96"/>
      <c r="F53" s="93" t="s">
        <v>50</v>
      </c>
      <c r="G53" s="93" t="s">
        <v>428</v>
      </c>
      <c r="H53" s="274">
        <f>'Load &amp; loss characteristics'!S29</f>
        <v>1.1080000000000001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2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2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754</v>
      </c>
    </row>
    <row r="56" spans="2:43" x14ac:dyDescent="0.2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655475.49579930119</v>
      </c>
      <c r="K56" s="272">
        <f>'Volume adjustments'!K238</f>
        <v>50.685541167972772</v>
      </c>
      <c r="L56" s="272">
        <f>'Volume adjustments'!L238</f>
        <v>129890.63793144963</v>
      </c>
      <c r="M56" s="272">
        <f>'Volume adjustments'!M238</f>
        <v>6.1226977807298875</v>
      </c>
      <c r="N56" s="272">
        <f>'Volume adjustments'!N238</f>
        <v>90494.543380362695</v>
      </c>
      <c r="O56" s="272">
        <f>'Volume adjustments'!O238</f>
        <v>106265.0572651184</v>
      </c>
      <c r="P56" s="272">
        <f>'Volume adjustments'!P238</f>
        <v>167784.61332976178</v>
      </c>
      <c r="Q56" s="272">
        <f>'Volume adjustments'!Q238</f>
        <v>6455.2183475278016</v>
      </c>
      <c r="R56" s="272">
        <f>'Volume adjustments'!R238</f>
        <v>138.20714502602834</v>
      </c>
      <c r="S56" s="272">
        <f>'Volume adjustments'!S238</f>
        <v>19.850977162721037</v>
      </c>
      <c r="T56" s="272">
        <f>'Volume adjustments'!T238</f>
        <v>4652.727973052467</v>
      </c>
      <c r="U56" s="272">
        <f>'Volume adjustments'!U238</f>
        <v>0</v>
      </c>
      <c r="V56" s="272">
        <f>'Volume adjustments'!V238</f>
        <v>1319.5926901394901</v>
      </c>
      <c r="W56" s="272">
        <f>'Volume adjustments'!W238</f>
        <v>0</v>
      </c>
      <c r="X56" s="272">
        <f>'Volume adjustments'!X238</f>
        <v>42346.377102139319</v>
      </c>
      <c r="Y56" s="272">
        <f>'Volume adjustments'!Y238</f>
        <v>0</v>
      </c>
      <c r="AQ56" s="88"/>
    </row>
    <row r="57" spans="2:43" x14ac:dyDescent="0.2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2319857.7445436521</v>
      </c>
      <c r="K57" s="273">
        <f>'Volume adjustments'!K249</f>
        <v>876.88932002307558</v>
      </c>
      <c r="L57" s="273">
        <f>'Volume adjustments'!L249</f>
        <v>682828.92734950723</v>
      </c>
      <c r="M57" s="273">
        <f>'Volume adjustments'!M249</f>
        <v>315.99830541136959</v>
      </c>
      <c r="N57" s="273">
        <f>'Volume adjustments'!N249</f>
        <v>410708.88779755548</v>
      </c>
      <c r="O57" s="273">
        <f>'Volume adjustments'!O249</f>
        <v>513416.32494007854</v>
      </c>
      <c r="P57" s="273">
        <f>'Volume adjustments'!P249</f>
        <v>769034.73915177863</v>
      </c>
      <c r="Q57" s="273">
        <f>'Volume adjustments'!Q249</f>
        <v>52643.235695354182</v>
      </c>
      <c r="R57" s="273">
        <f>'Volume adjustments'!R249</f>
        <v>675.42262204083556</v>
      </c>
      <c r="S57" s="273">
        <f>'Volume adjustments'!S249</f>
        <v>89.283262919470644</v>
      </c>
      <c r="T57" s="273">
        <f>'Volume adjustments'!T249</f>
        <v>22397.414037263683</v>
      </c>
      <c r="U57" s="273">
        <f>'Volume adjustments'!U249</f>
        <v>0</v>
      </c>
      <c r="V57" s="273">
        <f>'Volume adjustments'!V249</f>
        <v>5938.0182101575592</v>
      </c>
      <c r="W57" s="273">
        <f>'Volume adjustments'!W249</f>
        <v>0</v>
      </c>
      <c r="X57" s="273">
        <f>'Volume adjustments'!X249</f>
        <v>169950.37671525255</v>
      </c>
      <c r="Y57" s="273">
        <f>'Volume adjustments'!Y249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2183608.0375141334</v>
      </c>
      <c r="K58" s="274">
        <f>'Volume adjustments'!K260</f>
        <v>11792.873278266205</v>
      </c>
      <c r="L58" s="274">
        <f>'Volume adjustments'!L260</f>
        <v>661276.83044341789</v>
      </c>
      <c r="M58" s="274">
        <f>'Volume adjustments'!M260</f>
        <v>3822.6277485878222</v>
      </c>
      <c r="N58" s="274">
        <f>'Volume adjustments'!N260</f>
        <v>353977.81810719153</v>
      </c>
      <c r="O58" s="274">
        <f>'Volume adjustments'!O260</f>
        <v>454600.96262621705</v>
      </c>
      <c r="P58" s="274">
        <f>'Volume adjustments'!P260</f>
        <v>834326.32374028722</v>
      </c>
      <c r="Q58" s="274">
        <f>'Volume adjustments'!Q260</f>
        <v>88973.638885898574</v>
      </c>
      <c r="R58" s="274">
        <f>'Volume adjustments'!R260</f>
        <v>734.62430353180275</v>
      </c>
      <c r="S58" s="274">
        <f>'Volume adjustments'!S260</f>
        <v>112.33780697547499</v>
      </c>
      <c r="T58" s="274">
        <f>'Volume adjustments'!T260</f>
        <v>25989.195328374855</v>
      </c>
      <c r="U58" s="274">
        <f>'Volume adjustments'!U260</f>
        <v>0</v>
      </c>
      <c r="V58" s="274">
        <f>'Volume adjustments'!V260</f>
        <v>7475.1781511239524</v>
      </c>
      <c r="W58" s="274">
        <f>'Volume adjustments'!W260</f>
        <v>0</v>
      </c>
      <c r="X58" s="274">
        <f>'Volume adjustments'!X260</f>
        <v>176946.04662843214</v>
      </c>
      <c r="Y58" s="274">
        <f>'Volume adjustments'!Y260</f>
        <v>0</v>
      </c>
      <c r="AQ58" s="88"/>
    </row>
    <row r="59" spans="2:43" x14ac:dyDescent="0.25">
      <c r="E59" s="96"/>
      <c r="F59" s="73" t="s">
        <v>504</v>
      </c>
      <c r="G59" s="73" t="s">
        <v>120</v>
      </c>
      <c r="H59" s="280"/>
      <c r="I59" s="280"/>
      <c r="J59" s="280">
        <f t="shared" ref="J59:Y59" si="0">SUM(J56:J58)</f>
        <v>5158941.2778570866</v>
      </c>
      <c r="K59" s="280">
        <f t="shared" si="0"/>
        <v>12720.448139457252</v>
      </c>
      <c r="L59" s="280">
        <f t="shared" si="0"/>
        <v>1473996.3957243748</v>
      </c>
      <c r="M59" s="280">
        <f t="shared" si="0"/>
        <v>4144.7487517799218</v>
      </c>
      <c r="N59" s="280">
        <f t="shared" si="0"/>
        <v>855181.24928510969</v>
      </c>
      <c r="O59" s="280">
        <f t="shared" si="0"/>
        <v>1074282.3448314141</v>
      </c>
      <c r="P59" s="280">
        <f t="shared" si="0"/>
        <v>1771145.6762218275</v>
      </c>
      <c r="Q59" s="280">
        <f t="shared" si="0"/>
        <v>148072.09292878056</v>
      </c>
      <c r="R59" s="280">
        <f t="shared" si="0"/>
        <v>1548.2540705986667</v>
      </c>
      <c r="S59" s="280">
        <f t="shared" si="0"/>
        <v>221.47204705766666</v>
      </c>
      <c r="T59" s="280">
        <f t="shared" si="0"/>
        <v>53039.33733869101</v>
      </c>
      <c r="U59" s="280">
        <f t="shared" si="0"/>
        <v>0</v>
      </c>
      <c r="V59" s="280">
        <f t="shared" si="0"/>
        <v>14732.789051421001</v>
      </c>
      <c r="W59" s="280">
        <f t="shared" si="0"/>
        <v>0</v>
      </c>
      <c r="X59" s="280">
        <f t="shared" si="0"/>
        <v>389242.80044582405</v>
      </c>
      <c r="Y59" s="280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0.45400000000000001</v>
      </c>
      <c r="K61" s="143">
        <f>'Inputs by customer type'!K18</f>
        <v>0.13266666666666668</v>
      </c>
      <c r="L61" s="143">
        <f>'Inputs by customer type'!L18</f>
        <v>0.43566666666666665</v>
      </c>
      <c r="M61" s="143">
        <f>'Inputs by customer type'!M18</f>
        <v>0.17600000000000002</v>
      </c>
      <c r="N61" s="143">
        <f>'Inputs by customer type'!N18</f>
        <v>0.58133333333333326</v>
      </c>
      <c r="O61" s="143">
        <f>'Inputs by customer type'!O18</f>
        <v>0.56866666666666665</v>
      </c>
      <c r="P61" s="143">
        <f>'Inputs by customer type'!P18</f>
        <v>0.74099999999999999</v>
      </c>
      <c r="Q61" s="143">
        <f>'Inputs by customer type'!Q18</f>
        <v>0.44600000000000001</v>
      </c>
      <c r="R61" s="369"/>
      <c r="S61" s="369"/>
      <c r="T61" s="369"/>
      <c r="U61" s="369"/>
      <c r="V61" s="369"/>
      <c r="W61" s="369"/>
      <c r="X61" s="369"/>
      <c r="Y61" s="369"/>
      <c r="AA61" s="293" t="s">
        <v>755</v>
      </c>
      <c r="AQ61" s="88"/>
    </row>
    <row r="63" spans="2:43" x14ac:dyDescent="0.2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345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control'!$H$34:$H$60,MATCH($A$1,'Version control'!$F$34:$F$60,0),1)&amp;"-B: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248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428</v>
      </c>
      <c r="H70" s="91"/>
      <c r="I70" s="91"/>
      <c r="J70" s="272">
        <f>'Pseudo-load coefficients'!J272</f>
        <v>10.33137392056847</v>
      </c>
      <c r="K70" s="272">
        <f>'Pseudo-load coefficients'!K272</f>
        <v>10.33137392056847</v>
      </c>
      <c r="L70" s="272">
        <f>'Pseudo-load coefficients'!L272</f>
        <v>12.599233643049031</v>
      </c>
      <c r="M70" s="272">
        <f>'Pseudo-load coefficients'!M272</f>
        <v>12.599233643049031</v>
      </c>
      <c r="N70" s="272">
        <f>'Pseudo-load coefficients'!N272</f>
        <v>9.1739781710397406</v>
      </c>
      <c r="O70" s="272">
        <f>'Pseudo-load coefficients'!O272</f>
        <v>9.2688409346764917</v>
      </c>
      <c r="P70" s="272">
        <f>'Pseudo-load coefficients'!P272</f>
        <v>8.2205346128364543</v>
      </c>
      <c r="Q70" s="272">
        <f>'Pseudo-load coefficients'!Q272</f>
        <v>18.227975342383129</v>
      </c>
      <c r="R70" s="272">
        <f>'Pseudo-load coefficients'!R272</f>
        <v>7.7533124014775545</v>
      </c>
      <c r="S70" s="272">
        <f>'Pseudo-load coefficients'!S272</f>
        <v>7.7533124014775545</v>
      </c>
      <c r="T70" s="272">
        <f>'Pseudo-load coefficients'!T272</f>
        <v>7.7533124014775545</v>
      </c>
      <c r="U70" s="272">
        <f>'Pseudo-load coefficients'!U272</f>
        <v>7.7533124014775545</v>
      </c>
      <c r="V70" s="272">
        <f>'Pseudo-load coefficients'!V272</f>
        <v>7.7533124014775545</v>
      </c>
      <c r="W70" s="272">
        <f>'Pseudo-load coefficients'!W272</f>
        <v>7.7533124014775545</v>
      </c>
      <c r="X70" s="272">
        <f>'Pseudo-load coefficients'!X272</f>
        <v>7.7533124014775545</v>
      </c>
      <c r="Y70" s="272">
        <f>'Pseudo-load coefficients'!Y272</f>
        <v>7.7533124014775545</v>
      </c>
      <c r="AQ70" s="88"/>
    </row>
    <row r="71" spans="3:43" x14ac:dyDescent="0.25">
      <c r="E71" s="96"/>
      <c r="F71" s="293" t="s">
        <v>44</v>
      </c>
      <c r="G71" s="293" t="s">
        <v>428</v>
      </c>
      <c r="J71" s="273">
        <f>'Pseudo-load coefficients'!J273</f>
        <v>10.33137392056847</v>
      </c>
      <c r="K71" s="273">
        <f>'Pseudo-load coefficients'!K273</f>
        <v>10.33137392056847</v>
      </c>
      <c r="L71" s="273">
        <f>'Pseudo-load coefficients'!L273</f>
        <v>12.599233643049031</v>
      </c>
      <c r="M71" s="273">
        <f>'Pseudo-load coefficients'!M273</f>
        <v>12.599233643049031</v>
      </c>
      <c r="N71" s="273">
        <f>'Pseudo-load coefficients'!N273</f>
        <v>9.1739781710397406</v>
      </c>
      <c r="O71" s="273">
        <f>'Pseudo-load coefficients'!O273</f>
        <v>9.2688409346764917</v>
      </c>
      <c r="P71" s="273">
        <f>'Pseudo-load coefficients'!P273</f>
        <v>8.2205346128364543</v>
      </c>
      <c r="Q71" s="273">
        <f>'Pseudo-load coefficients'!Q273</f>
        <v>18.227975342383129</v>
      </c>
      <c r="R71" s="273">
        <f>'Pseudo-load coefficients'!R273</f>
        <v>7.7533124014775545</v>
      </c>
      <c r="S71" s="273">
        <f>'Pseudo-load coefficients'!S273</f>
        <v>7.7533124014775545</v>
      </c>
      <c r="T71" s="273">
        <f>'Pseudo-load coefficients'!T273</f>
        <v>7.7533124014775545</v>
      </c>
      <c r="U71" s="273">
        <f>'Pseudo-load coefficients'!U273</f>
        <v>7.7533124014775545</v>
      </c>
      <c r="V71" s="273">
        <f>'Pseudo-load coefficients'!V273</f>
        <v>7.7533124014775545</v>
      </c>
      <c r="W71" s="273">
        <f>'Pseudo-load coefficients'!W273</f>
        <v>7.7533124014775545</v>
      </c>
      <c r="X71" s="273">
        <f>'Pseudo-load coefficients'!X273</f>
        <v>7.7533124014775545</v>
      </c>
      <c r="Y71" s="273">
        <f>'Pseudo-load coefficients'!Y273</f>
        <v>7.7533124014775545</v>
      </c>
      <c r="AQ71" s="88"/>
    </row>
    <row r="72" spans="3:43" x14ac:dyDescent="0.25">
      <c r="E72" s="96"/>
      <c r="F72" s="293" t="s">
        <v>45</v>
      </c>
      <c r="G72" s="293" t="s">
        <v>428</v>
      </c>
      <c r="J72" s="273">
        <f>'Pseudo-load coefficients'!J274</f>
        <v>6.9971608783263184</v>
      </c>
      <c r="K72" s="273">
        <f>'Pseudo-load coefficients'!K274</f>
        <v>6.9971608783263184</v>
      </c>
      <c r="L72" s="273">
        <f>'Pseudo-load coefficients'!L274</f>
        <v>8.5331210952032457</v>
      </c>
      <c r="M72" s="273">
        <f>'Pseudo-load coefficients'!M274</f>
        <v>8.5331210952032457</v>
      </c>
      <c r="N72" s="273">
        <f>'Pseudo-load coefficients'!N274</f>
        <v>6.2132879567180401</v>
      </c>
      <c r="O72" s="273">
        <f>'Pseudo-load coefficients'!O274</f>
        <v>6.277535947704747</v>
      </c>
      <c r="P72" s="273">
        <f>'Pseudo-load coefficients'!P274</f>
        <v>5.5675463528960769</v>
      </c>
      <c r="Q72" s="273">
        <f>'Pseudo-load coefficients'!Q274</f>
        <v>9.423862670610573</v>
      </c>
      <c r="R72" s="273">
        <f>'Pseudo-load coefficients'!R274</f>
        <v>5.2511093519762886</v>
      </c>
      <c r="S72" s="273">
        <f>'Pseudo-load coefficients'!S274</f>
        <v>5.2511093519762886</v>
      </c>
      <c r="T72" s="273">
        <f>'Pseudo-load coefficients'!T274</f>
        <v>5.2511093519762886</v>
      </c>
      <c r="U72" s="273">
        <f>'Pseudo-load coefficients'!U274</f>
        <v>5.2511093519762886</v>
      </c>
      <c r="V72" s="273">
        <f>'Pseudo-load coefficients'!V274</f>
        <v>5.2511093519762886</v>
      </c>
      <c r="W72" s="273">
        <f>'Pseudo-load coefficients'!W274</f>
        <v>5.2511093519762886</v>
      </c>
      <c r="X72" s="273">
        <f>'Pseudo-load coefficients'!X274</f>
        <v>5.2511093519762886</v>
      </c>
      <c r="Y72" s="273">
        <f>'Pseudo-load coefficients'!Y274</f>
        <v>5.2511093519762886</v>
      </c>
      <c r="AQ72" s="88"/>
    </row>
    <row r="73" spans="3:43" x14ac:dyDescent="0.25">
      <c r="E73" s="96"/>
      <c r="F73" s="293" t="s">
        <v>46</v>
      </c>
      <c r="G73" s="293" t="s">
        <v>428</v>
      </c>
      <c r="J73" s="273">
        <f>'Pseudo-load coefficients'!J275</f>
        <v>6.9971608783263184</v>
      </c>
      <c r="K73" s="273">
        <f>'Pseudo-load coefficients'!K275</f>
        <v>6.9971608783263184</v>
      </c>
      <c r="L73" s="273">
        <f>'Pseudo-load coefficients'!L275</f>
        <v>8.5331210952032457</v>
      </c>
      <c r="M73" s="273">
        <f>'Pseudo-load coefficients'!M275</f>
        <v>8.5331210952032457</v>
      </c>
      <c r="N73" s="273">
        <f>'Pseudo-load coefficients'!N275</f>
        <v>6.2132879567180401</v>
      </c>
      <c r="O73" s="273">
        <f>'Pseudo-load coefficients'!O275</f>
        <v>6.277535947704747</v>
      </c>
      <c r="P73" s="273">
        <f>'Pseudo-load coefficients'!P275</f>
        <v>5.5675463528960769</v>
      </c>
      <c r="Q73" s="273">
        <f>'Pseudo-load coefficients'!Q275</f>
        <v>9.423862670610573</v>
      </c>
      <c r="R73" s="273">
        <f>'Pseudo-load coefficients'!R275</f>
        <v>5.2511093519762886</v>
      </c>
      <c r="S73" s="273">
        <f>'Pseudo-load coefficients'!S275</f>
        <v>5.2511093519762886</v>
      </c>
      <c r="T73" s="273">
        <f>'Pseudo-load coefficients'!T275</f>
        <v>5.2511093519762886</v>
      </c>
      <c r="U73" s="273">
        <f>'Pseudo-load coefficients'!U275</f>
        <v>5.2511093519762886</v>
      </c>
      <c r="V73" s="273">
        <f>'Pseudo-load coefficients'!V275</f>
        <v>5.2511093519762886</v>
      </c>
      <c r="W73" s="273">
        <f>'Pseudo-load coefficients'!W275</f>
        <v>5.2511093519762886</v>
      </c>
      <c r="X73" s="273">
        <f>'Pseudo-load coefficients'!X275</f>
        <v>5.2511093519762886</v>
      </c>
      <c r="Y73" s="273">
        <f>'Pseudo-load coefficients'!Y275</f>
        <v>5.2511093519762886</v>
      </c>
      <c r="AQ73" s="88"/>
    </row>
    <row r="74" spans="3:43" x14ac:dyDescent="0.25">
      <c r="E74" s="96"/>
      <c r="F74" s="293" t="s">
        <v>47</v>
      </c>
      <c r="G74" s="293" t="s">
        <v>428</v>
      </c>
      <c r="J74" s="273">
        <f>'Pseudo-load coefficients'!J276</f>
        <v>5.9017945728385559</v>
      </c>
      <c r="K74" s="273">
        <f>'Pseudo-load coefficients'!K276</f>
        <v>5.9017945728385559</v>
      </c>
      <c r="L74" s="273">
        <f>'Pseudo-load coefficients'!L276</f>
        <v>7.1973088292191312</v>
      </c>
      <c r="M74" s="273">
        <f>'Pseudo-load coefficients'!M276</f>
        <v>7.1973088292191312</v>
      </c>
      <c r="N74" s="273">
        <f>'Pseudo-load coefficients'!N276</f>
        <v>5.2406325622761489</v>
      </c>
      <c r="O74" s="273">
        <f>'Pseudo-load coefficients'!O276</f>
        <v>5.2948228904842134</v>
      </c>
      <c r="P74" s="273">
        <f>'Pseudo-load coefficients'!P276</f>
        <v>4.6959781861423675</v>
      </c>
      <c r="Q74" s="273">
        <f>'Pseudo-load coefficients'!Q276</f>
        <v>10.264972028303236</v>
      </c>
      <c r="R74" s="273">
        <f>'Pseudo-load coefficients'!R276</f>
        <v>4.4290776235930007</v>
      </c>
      <c r="S74" s="273">
        <f>'Pseudo-load coefficients'!S276</f>
        <v>4.4290776235930007</v>
      </c>
      <c r="T74" s="273">
        <f>'Pseudo-load coefficients'!T276</f>
        <v>4.4290776235930007</v>
      </c>
      <c r="U74" s="273">
        <f>'Pseudo-load coefficients'!U276</f>
        <v>4.4290776235930007</v>
      </c>
      <c r="V74" s="273">
        <f>'Pseudo-load coefficients'!V276</f>
        <v>4.4290776235930007</v>
      </c>
      <c r="W74" s="273">
        <f>'Pseudo-load coefficients'!W276</f>
        <v>4.4290776235930007</v>
      </c>
      <c r="X74" s="273">
        <f>'Pseudo-load coefficients'!X276</f>
        <v>4.4290776235930007</v>
      </c>
      <c r="Y74" s="273">
        <f>'Pseudo-load coefficients'!Y276</f>
        <v>4.4290776235930007</v>
      </c>
      <c r="AQ74" s="88"/>
    </row>
    <row r="75" spans="3:43" x14ac:dyDescent="0.25">
      <c r="E75" s="96"/>
      <c r="F75" s="293" t="s">
        <v>51</v>
      </c>
      <c r="G75" s="293" t="s">
        <v>428</v>
      </c>
      <c r="J75" s="273">
        <f>'Pseudo-load coefficients'!J277</f>
        <v>0</v>
      </c>
      <c r="K75" s="273">
        <f>'Pseudo-load coefficients'!K277</f>
        <v>0</v>
      </c>
      <c r="L75" s="273">
        <f>'Pseudo-load coefficients'!L277</f>
        <v>0</v>
      </c>
      <c r="M75" s="273">
        <f>'Pseudo-load coefficients'!M277</f>
        <v>0</v>
      </c>
      <c r="N75" s="273">
        <f>'Pseudo-load coefficients'!N277</f>
        <v>0</v>
      </c>
      <c r="O75" s="273">
        <f>'Pseudo-load coefficients'!O277</f>
        <v>0</v>
      </c>
      <c r="P75" s="273">
        <f>'Pseudo-load coefficients'!P277</f>
        <v>0</v>
      </c>
      <c r="Q75" s="273">
        <f>'Pseudo-load coefficients'!Q277</f>
        <v>0</v>
      </c>
      <c r="R75" s="273">
        <f>'Pseudo-load coefficients'!R277</f>
        <v>0</v>
      </c>
      <c r="S75" s="273">
        <f>'Pseudo-load coefficients'!S277</f>
        <v>0</v>
      </c>
      <c r="T75" s="273">
        <f>'Pseudo-load coefficients'!T277</f>
        <v>0</v>
      </c>
      <c r="U75" s="273">
        <f>'Pseudo-load coefficients'!U277</f>
        <v>0</v>
      </c>
      <c r="V75" s="273">
        <f>'Pseudo-load coefficients'!V277</f>
        <v>0</v>
      </c>
      <c r="W75" s="273">
        <f>'Pseudo-load coefficients'!W277</f>
        <v>0</v>
      </c>
      <c r="X75" s="273">
        <f>'Pseudo-load coefficients'!X277</f>
        <v>0</v>
      </c>
      <c r="Y75" s="273">
        <f>'Pseudo-load coefficients'!Y277</f>
        <v>0</v>
      </c>
      <c r="AQ75" s="88"/>
    </row>
    <row r="76" spans="3:43" x14ac:dyDescent="0.25">
      <c r="E76" s="96"/>
      <c r="F76" s="293" t="s">
        <v>48</v>
      </c>
      <c r="G76" s="293" t="s">
        <v>428</v>
      </c>
      <c r="J76" s="273">
        <f>'Pseudo-load coefficients'!J278</f>
        <v>5.9017945728385559</v>
      </c>
      <c r="K76" s="273">
        <f>'Pseudo-load coefficients'!K278</f>
        <v>5.9017945728385559</v>
      </c>
      <c r="L76" s="273">
        <f>'Pseudo-load coefficients'!L278</f>
        <v>7.1973088292191312</v>
      </c>
      <c r="M76" s="273">
        <f>'Pseudo-load coefficients'!M278</f>
        <v>7.1973088292191312</v>
      </c>
      <c r="N76" s="273">
        <f>'Pseudo-load coefficients'!N278</f>
        <v>5.2406325622761489</v>
      </c>
      <c r="O76" s="273">
        <f>'Pseudo-load coefficients'!O278</f>
        <v>5.2948228904842134</v>
      </c>
      <c r="P76" s="273">
        <f>'Pseudo-load coefficients'!P278</f>
        <v>4.6959781861423675</v>
      </c>
      <c r="Q76" s="273">
        <f>'Pseudo-load coefficients'!Q278</f>
        <v>10.264972028303236</v>
      </c>
      <c r="R76" s="273">
        <f>'Pseudo-load coefficients'!R278</f>
        <v>4.4290776235930007</v>
      </c>
      <c r="S76" s="273">
        <f>'Pseudo-load coefficients'!S278</f>
        <v>4.4290776235930007</v>
      </c>
      <c r="T76" s="273">
        <f>'Pseudo-load coefficients'!T278</f>
        <v>4.4290776235930007</v>
      </c>
      <c r="U76" s="273">
        <f>'Pseudo-load coefficients'!U278</f>
        <v>4.4290776235930007</v>
      </c>
      <c r="V76" s="273">
        <f>'Pseudo-load coefficients'!V278</f>
        <v>4.4290776235930007</v>
      </c>
      <c r="W76" s="273">
        <f>'Pseudo-load coefficients'!W278</f>
        <v>4.4290776235930007</v>
      </c>
      <c r="X76" s="273">
        <f>'Pseudo-load coefficients'!X278</f>
        <v>4.4290776235930007</v>
      </c>
      <c r="Y76" s="273">
        <f>'Pseudo-load coefficients'!Y278</f>
        <v>4.4290776235930007</v>
      </c>
      <c r="AQ76" s="88"/>
    </row>
    <row r="77" spans="3:43" x14ac:dyDescent="0.25">
      <c r="E77" s="96"/>
      <c r="F77" s="293" t="s">
        <v>49</v>
      </c>
      <c r="G77" s="293" t="s">
        <v>428</v>
      </c>
      <c r="J77" s="273">
        <f>'Pseudo-load coefficients'!J279</f>
        <v>5.9017945728385559</v>
      </c>
      <c r="K77" s="273">
        <f>'Pseudo-load coefficients'!K279</f>
        <v>5.9017945728385559</v>
      </c>
      <c r="L77" s="273">
        <f>'Pseudo-load coefficients'!L279</f>
        <v>7.1973088292191312</v>
      </c>
      <c r="M77" s="273">
        <f>'Pseudo-load coefficients'!M279</f>
        <v>7.1973088292191312</v>
      </c>
      <c r="N77" s="273">
        <f>'Pseudo-load coefficients'!N279</f>
        <v>5.2406325622761489</v>
      </c>
      <c r="O77" s="273">
        <f>'Pseudo-load coefficients'!O279</f>
        <v>5.2948228904842134</v>
      </c>
      <c r="P77" s="273">
        <f>'Pseudo-load coefficients'!P279</f>
        <v>4.6959781861423675</v>
      </c>
      <c r="Q77" s="273">
        <f>'Pseudo-load coefficients'!Q279</f>
        <v>10.264972028303236</v>
      </c>
      <c r="R77" s="273">
        <f>'Pseudo-load coefficients'!R279</f>
        <v>4.4290776235930007</v>
      </c>
      <c r="S77" s="273">
        <f>'Pseudo-load coefficients'!S279</f>
        <v>4.4290776235930007</v>
      </c>
      <c r="T77" s="273">
        <f>'Pseudo-load coefficients'!T279</f>
        <v>4.4290776235930007</v>
      </c>
      <c r="U77" s="273">
        <f>'Pseudo-load coefficients'!U279</f>
        <v>4.4290776235930007</v>
      </c>
      <c r="V77" s="273">
        <f>'Pseudo-load coefficients'!V279</f>
        <v>4.4290776235930007</v>
      </c>
      <c r="W77" s="273">
        <f>'Pseudo-load coefficients'!W279</f>
        <v>4.4290776235930007</v>
      </c>
      <c r="X77" s="273">
        <f>'Pseudo-load coefficients'!X279</f>
        <v>4.4290776235930007</v>
      </c>
      <c r="Y77" s="273">
        <f>'Pseudo-load coefficients'!Y279</f>
        <v>4.4290776235930007</v>
      </c>
      <c r="AQ77" s="88"/>
    </row>
    <row r="78" spans="3:43" x14ac:dyDescent="0.25">
      <c r="E78" s="96"/>
      <c r="F78" s="93" t="s">
        <v>50</v>
      </c>
      <c r="G78" s="93" t="s">
        <v>428</v>
      </c>
      <c r="H78" s="93"/>
      <c r="I78" s="93"/>
      <c r="J78" s="274">
        <f>'Pseudo-load coefficients'!J280</f>
        <v>5.9017945728385559</v>
      </c>
      <c r="K78" s="274">
        <f>'Pseudo-load coefficients'!K280</f>
        <v>5.9017945728385559</v>
      </c>
      <c r="L78" s="274">
        <f>'Pseudo-load coefficients'!L280</f>
        <v>7.1973088292191312</v>
      </c>
      <c r="M78" s="274">
        <f>'Pseudo-load coefficients'!M280</f>
        <v>7.1973088292191312</v>
      </c>
      <c r="N78" s="274">
        <f>'Pseudo-load coefficients'!N280</f>
        <v>5.2406325622761489</v>
      </c>
      <c r="O78" s="274">
        <f>'Pseudo-load coefficients'!O280</f>
        <v>5.2948228904842134</v>
      </c>
      <c r="P78" s="274">
        <f>'Pseudo-load coefficients'!P280</f>
        <v>4.6959781861423675</v>
      </c>
      <c r="Q78" s="274">
        <f>'Pseudo-load coefficients'!Q280</f>
        <v>10.264972028303236</v>
      </c>
      <c r="R78" s="274">
        <f>'Pseudo-load coefficients'!R280</f>
        <v>4.4290776235930007</v>
      </c>
      <c r="S78" s="274">
        <f>'Pseudo-load coefficients'!S280</f>
        <v>4.4290776235930007</v>
      </c>
      <c r="T78" s="274">
        <f>'Pseudo-load coefficients'!T280</f>
        <v>4.4290776235930007</v>
      </c>
      <c r="U78" s="274">
        <f>'Pseudo-load coefficients'!U280</f>
        <v>4.4290776235930007</v>
      </c>
      <c r="V78" s="274">
        <f>'Pseudo-load coefficients'!V280</f>
        <v>4.4290776235930007</v>
      </c>
      <c r="W78" s="274">
        <f>'Pseudo-load coefficients'!W280</f>
        <v>4.4290776235930007</v>
      </c>
      <c r="X78" s="274">
        <f>'Pseudo-load coefficients'!X280</f>
        <v>4.4290776235930007</v>
      </c>
      <c r="Y78" s="274">
        <f>'Pseudo-load coefficients'!Y280</f>
        <v>4.4290776235930007</v>
      </c>
      <c r="AQ78" s="88"/>
    </row>
    <row r="79" spans="3:43" x14ac:dyDescent="0.2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25">
      <c r="E80" s="96" t="s">
        <v>524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2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7">
        <f t="shared" ref="J82:Y82" si="1">J$56 * J34 * J70 / hours_in_year / $H45</f>
        <v>856.54502131310824</v>
      </c>
      <c r="K82" s="277">
        <f t="shared" si="1"/>
        <v>6.6233517832801875E-2</v>
      </c>
      <c r="L82" s="277">
        <f t="shared" si="1"/>
        <v>206.99394119178851</v>
      </c>
      <c r="M82" s="277">
        <f t="shared" si="1"/>
        <v>9.757141581122666E-3</v>
      </c>
      <c r="N82" s="277">
        <f t="shared" si="1"/>
        <v>105.00639518849077</v>
      </c>
      <c r="O82" s="277">
        <f t="shared" si="1"/>
        <v>119.07148328244823</v>
      </c>
      <c r="P82" s="277">
        <f t="shared" si="1"/>
        <v>163.277688649509</v>
      </c>
      <c r="Q82" s="277">
        <f t="shared" si="1"/>
        <v>14.882812950025915</v>
      </c>
      <c r="R82" s="277">
        <f t="shared" si="1"/>
        <v>-0.13553561575632977</v>
      </c>
      <c r="S82" s="277">
        <f t="shared" si="1"/>
        <v>-1.8606343177486977E-2</v>
      </c>
      <c r="T82" s="277">
        <f t="shared" si="1"/>
        <v>-4.5627912410433211</v>
      </c>
      <c r="U82" s="277">
        <f t="shared" si="1"/>
        <v>0</v>
      </c>
      <c r="V82" s="277">
        <f t="shared" si="1"/>
        <v>-1.2368557097202895</v>
      </c>
      <c r="W82" s="277">
        <f t="shared" si="1"/>
        <v>0</v>
      </c>
      <c r="X82" s="277">
        <f t="shared" si="1"/>
        <v>-38.866747066344452</v>
      </c>
      <c r="Y82" s="277">
        <f t="shared" si="1"/>
        <v>0</v>
      </c>
      <c r="AQ82" s="88"/>
    </row>
    <row r="83" spans="5:43" x14ac:dyDescent="0.25">
      <c r="E83" s="96"/>
      <c r="F83" s="293" t="s">
        <v>44</v>
      </c>
      <c r="G83" s="293" t="s">
        <v>102</v>
      </c>
      <c r="J83" s="252">
        <f t="shared" ref="J83:Y83" si="2">J$56 * J35 * J71 / hours_in_year / $H46</f>
        <v>852.28360329662519</v>
      </c>
      <c r="K83" s="252">
        <f t="shared" si="2"/>
        <v>6.5903997843583959E-2</v>
      </c>
      <c r="L83" s="252">
        <f t="shared" si="2"/>
        <v>205.96412058884431</v>
      </c>
      <c r="M83" s="252">
        <f t="shared" si="2"/>
        <v>9.7085985881817591E-3</v>
      </c>
      <c r="N83" s="252">
        <f t="shared" si="2"/>
        <v>104.48397531193113</v>
      </c>
      <c r="O83" s="252">
        <f t="shared" si="2"/>
        <v>118.47908784323208</v>
      </c>
      <c r="P83" s="252">
        <f t="shared" si="2"/>
        <v>162.46536184030748</v>
      </c>
      <c r="Q83" s="252">
        <f t="shared" si="2"/>
        <v>14.8087691045034</v>
      </c>
      <c r="R83" s="252">
        <f t="shared" si="2"/>
        <v>-0.13486130921027839</v>
      </c>
      <c r="S83" s="252">
        <f t="shared" si="2"/>
        <v>-1.8513774305957194E-2</v>
      </c>
      <c r="T83" s="252">
        <f t="shared" si="2"/>
        <v>-4.5400907871077827</v>
      </c>
      <c r="U83" s="252">
        <f t="shared" si="2"/>
        <v>0</v>
      </c>
      <c r="V83" s="252">
        <f t="shared" si="2"/>
        <v>-1.2307021987266562</v>
      </c>
      <c r="W83" s="252">
        <f t="shared" si="2"/>
        <v>0</v>
      </c>
      <c r="X83" s="252">
        <f t="shared" si="2"/>
        <v>-38.673380165516875</v>
      </c>
      <c r="Y83" s="252">
        <f t="shared" si="2"/>
        <v>0</v>
      </c>
      <c r="AQ83" s="88"/>
    </row>
    <row r="84" spans="5:43" x14ac:dyDescent="0.25">
      <c r="E84" s="96"/>
      <c r="F84" s="293" t="s">
        <v>45</v>
      </c>
      <c r="G84" s="293" t="s">
        <v>102</v>
      </c>
      <c r="J84" s="252">
        <f t="shared" ref="J84:Y84" si="3">J$56 * J36 * J72 / hours_in_year / $H47</f>
        <v>573.2360064462215</v>
      </c>
      <c r="K84" s="252">
        <f t="shared" si="3"/>
        <v>4.4326259928701428E-2</v>
      </c>
      <c r="L84" s="252">
        <f t="shared" si="3"/>
        <v>138.52906415291659</v>
      </c>
      <c r="M84" s="252">
        <f t="shared" si="3"/>
        <v>6.5298901226682471E-3</v>
      </c>
      <c r="N84" s="252">
        <f t="shared" si="3"/>
        <v>70.274702591681518</v>
      </c>
      <c r="O84" s="252">
        <f t="shared" si="3"/>
        <v>79.687651973996807</v>
      </c>
      <c r="P84" s="252">
        <f t="shared" si="3"/>
        <v>109.27230659718005</v>
      </c>
      <c r="Q84" s="252">
        <f t="shared" si="3"/>
        <v>7.6031757119165606</v>
      </c>
      <c r="R84" s="252">
        <f t="shared" si="3"/>
        <v>-9.0706142904527151E-2</v>
      </c>
      <c r="S84" s="252">
        <f t="shared" si="3"/>
        <v>-1.2452148564566418E-2</v>
      </c>
      <c r="T84" s="252">
        <f t="shared" si="3"/>
        <v>-3.0536120859750597</v>
      </c>
      <c r="U84" s="252">
        <f t="shared" si="3"/>
        <v>0</v>
      </c>
      <c r="V84" s="252">
        <f t="shared" si="3"/>
        <v>-0.82775593803969882</v>
      </c>
      <c r="W84" s="252">
        <f t="shared" si="3"/>
        <v>0</v>
      </c>
      <c r="X84" s="252">
        <f t="shared" si="3"/>
        <v>-26.01126422719857</v>
      </c>
      <c r="Y84" s="252">
        <f t="shared" si="3"/>
        <v>0</v>
      </c>
      <c r="AQ84" s="88"/>
    </row>
    <row r="85" spans="5:43" x14ac:dyDescent="0.25">
      <c r="E85" s="96"/>
      <c r="F85" s="293" t="s">
        <v>46</v>
      </c>
      <c r="G85" s="293" t="s">
        <v>102</v>
      </c>
      <c r="J85" s="252">
        <f t="shared" ref="J85:Y85" si="4">J$56 * J37 * J73 / hours_in_year / $H48</f>
        <v>569.85740522944616</v>
      </c>
      <c r="K85" s="252">
        <f t="shared" si="4"/>
        <v>4.4065004958591204E-2</v>
      </c>
      <c r="L85" s="252">
        <f t="shared" si="4"/>
        <v>137.71258636812533</v>
      </c>
      <c r="M85" s="252">
        <f t="shared" si="4"/>
        <v>6.4914035404128349E-3</v>
      </c>
      <c r="N85" s="252">
        <f t="shared" si="4"/>
        <v>69.860509845561594</v>
      </c>
      <c r="O85" s="252">
        <f t="shared" si="4"/>
        <v>79.217980154896637</v>
      </c>
      <c r="P85" s="252">
        <f t="shared" si="4"/>
        <v>108.62826549739313</v>
      </c>
      <c r="Q85" s="252">
        <f t="shared" si="4"/>
        <v>7.5583632813944597</v>
      </c>
      <c r="R85" s="252">
        <f t="shared" si="4"/>
        <v>-9.0171529095659592E-2</v>
      </c>
      <c r="S85" s="252">
        <f t="shared" si="4"/>
        <v>-1.2378756726268385E-2</v>
      </c>
      <c r="T85" s="252">
        <f t="shared" si="4"/>
        <v>-3.0356143723052655</v>
      </c>
      <c r="U85" s="252">
        <f t="shared" si="4"/>
        <v>0</v>
      </c>
      <c r="V85" s="252">
        <f t="shared" si="4"/>
        <v>-0.82287721934791269</v>
      </c>
      <c r="W85" s="252">
        <f t="shared" si="4"/>
        <v>0</v>
      </c>
      <c r="X85" s="252">
        <f t="shared" si="4"/>
        <v>-25.857956186566749</v>
      </c>
      <c r="Y85" s="252">
        <f t="shared" si="4"/>
        <v>0</v>
      </c>
      <c r="AQ85" s="88"/>
    </row>
    <row r="86" spans="5:43" x14ac:dyDescent="0.25">
      <c r="E86" s="96"/>
      <c r="F86" s="293" t="s">
        <v>47</v>
      </c>
      <c r="G86" s="293" t="s">
        <v>102</v>
      </c>
      <c r="J86" s="252">
        <f t="shared" ref="J86:Y86" si="5">J$56 * J38 * J74 / hours_in_year / $H49</f>
        <v>476.90166959293208</v>
      </c>
      <c r="K86" s="252">
        <f t="shared" si="5"/>
        <v>3.6877075286775772E-2</v>
      </c>
      <c r="L86" s="252">
        <f t="shared" si="5"/>
        <v>115.24876532310121</v>
      </c>
      <c r="M86" s="252">
        <f t="shared" si="5"/>
        <v>5.4325190091684093E-3</v>
      </c>
      <c r="N86" s="252">
        <f t="shared" si="5"/>
        <v>58.464790451476667</v>
      </c>
      <c r="O86" s="252">
        <f t="shared" si="5"/>
        <v>66.295860422202693</v>
      </c>
      <c r="P86" s="252">
        <f t="shared" si="5"/>
        <v>90.908709275844942</v>
      </c>
      <c r="Q86" s="252">
        <f t="shared" si="5"/>
        <v>8.1687762509847488</v>
      </c>
      <c r="R86" s="252">
        <f t="shared" si="5"/>
        <v>-7.5462655009551211E-2</v>
      </c>
      <c r="S86" s="252">
        <f t="shared" si="5"/>
        <v>-1.0359520989053708E-2</v>
      </c>
      <c r="T86" s="252">
        <f t="shared" si="5"/>
        <v>-2.5404417826417247</v>
      </c>
      <c r="U86" s="252">
        <f t="shared" si="5"/>
        <v>0</v>
      </c>
      <c r="V86" s="252">
        <f t="shared" si="5"/>
        <v>-0.68864862714033037</v>
      </c>
      <c r="W86" s="252">
        <f t="shared" si="5"/>
        <v>0</v>
      </c>
      <c r="X86" s="252">
        <f t="shared" si="5"/>
        <v>-21.639979343024173</v>
      </c>
      <c r="Y86" s="252">
        <f t="shared" si="5"/>
        <v>0</v>
      </c>
      <c r="AQ86" s="88"/>
    </row>
    <row r="87" spans="5:43" x14ac:dyDescent="0.25">
      <c r="E87" s="96"/>
      <c r="F87" s="293" t="s">
        <v>51</v>
      </c>
      <c r="G87" s="293" t="s">
        <v>102</v>
      </c>
      <c r="J87" s="252">
        <f t="shared" ref="J87:Y87" si="6">J$56 * J39 * J75 / hours_in_year / $H50</f>
        <v>0</v>
      </c>
      <c r="K87" s="252">
        <f t="shared" si="6"/>
        <v>0</v>
      </c>
      <c r="L87" s="252">
        <f t="shared" si="6"/>
        <v>0</v>
      </c>
      <c r="M87" s="252">
        <f t="shared" si="6"/>
        <v>0</v>
      </c>
      <c r="N87" s="252">
        <f t="shared" si="6"/>
        <v>0</v>
      </c>
      <c r="O87" s="252">
        <f t="shared" si="6"/>
        <v>0</v>
      </c>
      <c r="P87" s="252">
        <f t="shared" si="6"/>
        <v>0</v>
      </c>
      <c r="Q87" s="252">
        <f t="shared" si="6"/>
        <v>0</v>
      </c>
      <c r="R87" s="252">
        <f t="shared" si="6"/>
        <v>0</v>
      </c>
      <c r="S87" s="252">
        <f t="shared" si="6"/>
        <v>0</v>
      </c>
      <c r="T87" s="252">
        <f t="shared" si="6"/>
        <v>0</v>
      </c>
      <c r="U87" s="252">
        <f t="shared" si="6"/>
        <v>0</v>
      </c>
      <c r="V87" s="252">
        <f t="shared" si="6"/>
        <v>0</v>
      </c>
      <c r="W87" s="252">
        <f t="shared" si="6"/>
        <v>0</v>
      </c>
      <c r="X87" s="252">
        <f t="shared" si="6"/>
        <v>0</v>
      </c>
      <c r="Y87" s="252">
        <f t="shared" si="6"/>
        <v>0</v>
      </c>
      <c r="AQ87" s="88"/>
    </row>
    <row r="88" spans="5:43" x14ac:dyDescent="0.25">
      <c r="E88" s="96"/>
      <c r="F88" s="293" t="s">
        <v>48</v>
      </c>
      <c r="G88" s="293" t="s">
        <v>102</v>
      </c>
      <c r="J88" s="252">
        <f t="shared" ref="J88:Y88" si="7">J$56 * J40 * J76 / hours_in_year / $H51</f>
        <v>471.8429247852925</v>
      </c>
      <c r="K88" s="252">
        <f t="shared" si="7"/>
        <v>3.6485900910541894E-2</v>
      </c>
      <c r="L88" s="252">
        <f t="shared" si="7"/>
        <v>114.02626154436052</v>
      </c>
      <c r="M88" s="252">
        <f t="shared" si="7"/>
        <v>5.3748934459081858E-3</v>
      </c>
      <c r="N88" s="252">
        <f>N$56 * N40 * N76 / hours_in_year / $H51</f>
        <v>57.844623918240174</v>
      </c>
      <c r="O88" s="252">
        <f t="shared" si="7"/>
        <v>65.592625644339421</v>
      </c>
      <c r="P88" s="252">
        <f t="shared" si="7"/>
        <v>89.944393169736671</v>
      </c>
      <c r="Q88" s="252">
        <f t="shared" si="7"/>
        <v>8.0821257796628281</v>
      </c>
      <c r="R88" s="252">
        <f t="shared" si="7"/>
        <v>-7.4662183259208828E-2</v>
      </c>
      <c r="S88" s="252">
        <f t="shared" si="7"/>
        <v>-1.0249632145389686E-2</v>
      </c>
      <c r="T88" s="252">
        <f t="shared" si="7"/>
        <v>-2.5134939913118703</v>
      </c>
      <c r="U88" s="252">
        <f t="shared" si="7"/>
        <v>0</v>
      </c>
      <c r="V88" s="252">
        <f t="shared" si="7"/>
        <v>-0.68134377188619</v>
      </c>
      <c r="W88" s="252">
        <f t="shared" si="7"/>
        <v>0</v>
      </c>
      <c r="X88" s="252">
        <f t="shared" si="7"/>
        <v>0</v>
      </c>
      <c r="Y88" s="252">
        <f t="shared" si="7"/>
        <v>0</v>
      </c>
      <c r="AQ88" s="88"/>
    </row>
    <row r="89" spans="5:43" x14ac:dyDescent="0.25">
      <c r="E89" s="96"/>
      <c r="F89" s="293" t="s">
        <v>49</v>
      </c>
      <c r="G89" s="293" t="s">
        <v>102</v>
      </c>
      <c r="J89" s="252">
        <f t="shared" ref="J89:Y89" si="8">J$56 * J41 * J77 / hours_in_year / $H52</f>
        <v>462.04071105037616</v>
      </c>
      <c r="K89" s="252">
        <f t="shared" si="8"/>
        <v>3.5727931297669449E-2</v>
      </c>
      <c r="L89" s="252">
        <f t="shared" si="8"/>
        <v>111.65744402408107</v>
      </c>
      <c r="M89" s="252">
        <f t="shared" si="8"/>
        <v>5.2632337142651444E-3</v>
      </c>
      <c r="N89" s="252">
        <f t="shared" si="8"/>
        <v>56.642941457238017</v>
      </c>
      <c r="O89" s="252">
        <f t="shared" si="8"/>
        <v>64.229983751822445</v>
      </c>
      <c r="P89" s="252">
        <f t="shared" si="8"/>
        <v>0</v>
      </c>
      <c r="Q89" s="252">
        <f t="shared" si="8"/>
        <v>7.9142251496792762</v>
      </c>
      <c r="R89" s="252">
        <f t="shared" si="8"/>
        <v>-7.3111127516335736E-2</v>
      </c>
      <c r="S89" s="252">
        <f t="shared" si="8"/>
        <v>0</v>
      </c>
      <c r="T89" s="252">
        <f t="shared" si="8"/>
        <v>-2.4612778744007646</v>
      </c>
      <c r="U89" s="252">
        <f t="shared" si="8"/>
        <v>0</v>
      </c>
      <c r="V89" s="252">
        <f t="shared" si="8"/>
        <v>0</v>
      </c>
      <c r="W89" s="252">
        <f t="shared" si="8"/>
        <v>0</v>
      </c>
      <c r="X89" s="252">
        <f t="shared" si="8"/>
        <v>0</v>
      </c>
      <c r="Y89" s="252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1">
        <f t="shared" ref="J90:Y90" si="9">J$56 * J42 * J78 / hours_in_year / $H53</f>
        <v>441.60750270970061</v>
      </c>
      <c r="K90" s="271">
        <f t="shared" si="9"/>
        <v>3.4147905455082977E-2</v>
      </c>
      <c r="L90" s="271">
        <f t="shared" si="9"/>
        <v>106.71952456814245</v>
      </c>
      <c r="M90" s="271">
        <f t="shared" si="9"/>
        <v>5.0304733785259811E-3</v>
      </c>
      <c r="N90" s="271">
        <f t="shared" si="9"/>
        <v>54.137973829616477</v>
      </c>
      <c r="O90" s="271">
        <f t="shared" si="9"/>
        <v>0</v>
      </c>
      <c r="P90" s="271">
        <f t="shared" si="9"/>
        <v>0</v>
      </c>
      <c r="Q90" s="271">
        <f t="shared" si="9"/>
        <v>7.5642278280779349</v>
      </c>
      <c r="R90" s="271">
        <f t="shared" si="9"/>
        <v>0</v>
      </c>
      <c r="S90" s="271">
        <f t="shared" si="9"/>
        <v>0</v>
      </c>
      <c r="T90" s="271">
        <f t="shared" si="9"/>
        <v>0</v>
      </c>
      <c r="U90" s="271">
        <f t="shared" si="9"/>
        <v>0</v>
      </c>
      <c r="V90" s="271">
        <f t="shared" si="9"/>
        <v>0</v>
      </c>
      <c r="W90" s="271">
        <f t="shared" si="9"/>
        <v>0</v>
      </c>
      <c r="X90" s="271">
        <f t="shared" si="9"/>
        <v>0</v>
      </c>
      <c r="Y90" s="271">
        <f t="shared" si="9"/>
        <v>0</v>
      </c>
      <c r="AQ90" s="88"/>
    </row>
    <row r="91" spans="5:43" x14ac:dyDescent="0.2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2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25">
      <c r="E93" s="96"/>
      <c r="F93" s="91" t="s">
        <v>43</v>
      </c>
      <c r="G93" s="91" t="s">
        <v>428</v>
      </c>
      <c r="H93" s="91"/>
      <c r="I93" s="91"/>
      <c r="J93" s="272">
        <f>'Pseudo-load coefficients'!J283</f>
        <v>0.91669931133443194</v>
      </c>
      <c r="K93" s="272">
        <f>'Pseudo-load coefficients'!K283</f>
        <v>0.91669931133443194</v>
      </c>
      <c r="L93" s="272">
        <f>'Pseudo-load coefficients'!L283</f>
        <v>1.1179257369564981</v>
      </c>
      <c r="M93" s="272">
        <f>'Pseudo-load coefficients'!M283</f>
        <v>1.1179257369564981</v>
      </c>
      <c r="N93" s="272">
        <f>'Pseudo-load coefficients'!N283</f>
        <v>0.81400397819755865</v>
      </c>
      <c r="O93" s="272">
        <f>'Pseudo-load coefficients'!O283</f>
        <v>0.82242111910889104</v>
      </c>
      <c r="P93" s="272">
        <f>'Pseudo-load coefficients'!P283</f>
        <v>0.72940525396968625</v>
      </c>
      <c r="Q93" s="272">
        <f>'Pseudo-load coefficients'!Q283</f>
        <v>1.5101210033774299</v>
      </c>
      <c r="R93" s="272">
        <f>'Pseudo-load coefficients'!R283</f>
        <v>0.68794878528644976</v>
      </c>
      <c r="S93" s="272">
        <f>'Pseudo-load coefficients'!S283</f>
        <v>0.68794878528644976</v>
      </c>
      <c r="T93" s="272">
        <f>'Pseudo-load coefficients'!T283</f>
        <v>0.68794878528644976</v>
      </c>
      <c r="U93" s="272">
        <f>'Pseudo-load coefficients'!U283</f>
        <v>0.68794878528644976</v>
      </c>
      <c r="V93" s="272">
        <f>'Pseudo-load coefficients'!V283</f>
        <v>0.68794878528644976</v>
      </c>
      <c r="W93" s="272">
        <f>'Pseudo-load coefficients'!W283</f>
        <v>0.68794878528644976</v>
      </c>
      <c r="X93" s="272">
        <f>'Pseudo-load coefficients'!X283</f>
        <v>0.68794878528644976</v>
      </c>
      <c r="Y93" s="272">
        <f>'Pseudo-load coefficients'!Y283</f>
        <v>0.68794878528644976</v>
      </c>
      <c r="AQ93" s="88"/>
    </row>
    <row r="94" spans="5:43" x14ac:dyDescent="0.25">
      <c r="E94" s="96"/>
      <c r="F94" s="293" t="s">
        <v>44</v>
      </c>
      <c r="G94" s="293" t="s">
        <v>428</v>
      </c>
      <c r="J94" s="273">
        <f>'Pseudo-load coefficients'!J284</f>
        <v>0.91669931133443194</v>
      </c>
      <c r="K94" s="273">
        <f>'Pseudo-load coefficients'!K284</f>
        <v>0.91669931133443194</v>
      </c>
      <c r="L94" s="273">
        <f>'Pseudo-load coefficients'!L284</f>
        <v>1.1179257369564981</v>
      </c>
      <c r="M94" s="273">
        <f>'Pseudo-load coefficients'!M284</f>
        <v>1.1179257369564981</v>
      </c>
      <c r="N94" s="273">
        <f>'Pseudo-load coefficients'!N284</f>
        <v>0.81400397819755865</v>
      </c>
      <c r="O94" s="273">
        <f>'Pseudo-load coefficients'!O284</f>
        <v>0.82242111910889104</v>
      </c>
      <c r="P94" s="273">
        <f>'Pseudo-load coefficients'!P284</f>
        <v>0.72940525396968625</v>
      </c>
      <c r="Q94" s="273">
        <f>'Pseudo-load coefficients'!Q284</f>
        <v>1.5101210033774299</v>
      </c>
      <c r="R94" s="273">
        <f>'Pseudo-load coefficients'!R284</f>
        <v>0.68794878528644976</v>
      </c>
      <c r="S94" s="273">
        <f>'Pseudo-load coefficients'!S284</f>
        <v>0.68794878528644976</v>
      </c>
      <c r="T94" s="273">
        <f>'Pseudo-load coefficients'!T284</f>
        <v>0.68794878528644976</v>
      </c>
      <c r="U94" s="273">
        <f>'Pseudo-load coefficients'!U284</f>
        <v>0.68794878528644976</v>
      </c>
      <c r="V94" s="273">
        <f>'Pseudo-load coefficients'!V284</f>
        <v>0.68794878528644976</v>
      </c>
      <c r="W94" s="273">
        <f>'Pseudo-load coefficients'!W284</f>
        <v>0.68794878528644976</v>
      </c>
      <c r="X94" s="273">
        <f>'Pseudo-load coefficients'!X284</f>
        <v>0.68794878528644976</v>
      </c>
      <c r="Y94" s="273">
        <f>'Pseudo-load coefficients'!Y284</f>
        <v>0.68794878528644976</v>
      </c>
      <c r="AQ94" s="88"/>
    </row>
    <row r="95" spans="5:43" x14ac:dyDescent="0.25">
      <c r="E95" s="96"/>
      <c r="F95" s="293" t="s">
        <v>45</v>
      </c>
      <c r="G95" s="293" t="s">
        <v>428</v>
      </c>
      <c r="J95" s="273">
        <f>'Pseudo-load coefficients'!J285</f>
        <v>1.5031084491267626</v>
      </c>
      <c r="K95" s="273">
        <f>'Pseudo-load coefficients'!K285</f>
        <v>1.5031084491267626</v>
      </c>
      <c r="L95" s="273">
        <f>'Pseudo-load coefficients'!L285</f>
        <v>1.8330586703174057</v>
      </c>
      <c r="M95" s="273">
        <f>'Pseudo-load coefficients'!M285</f>
        <v>1.8330586703174057</v>
      </c>
      <c r="N95" s="273">
        <f>'Pseudo-load coefficients'!N285</f>
        <v>1.3347192935821621</v>
      </c>
      <c r="O95" s="273">
        <f>'Pseudo-load coefficients'!O285</f>
        <v>1.3485208482085065</v>
      </c>
      <c r="P95" s="273">
        <f>'Pseudo-load coefficients'!P285</f>
        <v>1.1960030803157284</v>
      </c>
      <c r="Q95" s="273">
        <f>'Pseudo-load coefficients'!Q285</f>
        <v>1.9401556061394341</v>
      </c>
      <c r="R95" s="273">
        <f>'Pseudo-load coefficients'!R285</f>
        <v>1.128027062903844</v>
      </c>
      <c r="S95" s="273">
        <f>'Pseudo-load coefficients'!S285</f>
        <v>1.128027062903844</v>
      </c>
      <c r="T95" s="273">
        <f>'Pseudo-load coefficients'!T285</f>
        <v>1.128027062903844</v>
      </c>
      <c r="U95" s="273">
        <f>'Pseudo-load coefficients'!U285</f>
        <v>1.128027062903844</v>
      </c>
      <c r="V95" s="273">
        <f>'Pseudo-load coefficients'!V285</f>
        <v>1.128027062903844</v>
      </c>
      <c r="W95" s="273">
        <f>'Pseudo-load coefficients'!W285</f>
        <v>1.128027062903844</v>
      </c>
      <c r="X95" s="273">
        <f>'Pseudo-load coefficients'!X285</f>
        <v>1.128027062903844</v>
      </c>
      <c r="Y95" s="273">
        <f>'Pseudo-load coefficients'!Y285</f>
        <v>1.128027062903844</v>
      </c>
      <c r="AQ95" s="88"/>
    </row>
    <row r="96" spans="5:43" x14ac:dyDescent="0.25">
      <c r="E96" s="96"/>
      <c r="F96" s="293" t="s">
        <v>46</v>
      </c>
      <c r="G96" s="293" t="s">
        <v>428</v>
      </c>
      <c r="J96" s="273">
        <f>'Pseudo-load coefficients'!J286</f>
        <v>1.5031084491267626</v>
      </c>
      <c r="K96" s="273">
        <f>'Pseudo-load coefficients'!K286</f>
        <v>1.5031084491267626</v>
      </c>
      <c r="L96" s="273">
        <f>'Pseudo-load coefficients'!L286</f>
        <v>1.8330586703174057</v>
      </c>
      <c r="M96" s="273">
        <f>'Pseudo-load coefficients'!M286</f>
        <v>1.8330586703174057</v>
      </c>
      <c r="N96" s="273">
        <f>'Pseudo-load coefficients'!N286</f>
        <v>1.3347192935821621</v>
      </c>
      <c r="O96" s="273">
        <f>'Pseudo-load coefficients'!O286</f>
        <v>1.3485208482085065</v>
      </c>
      <c r="P96" s="273">
        <f>'Pseudo-load coefficients'!P286</f>
        <v>1.1960030803157284</v>
      </c>
      <c r="Q96" s="273">
        <f>'Pseudo-load coefficients'!Q286</f>
        <v>1.9401556061394341</v>
      </c>
      <c r="R96" s="273">
        <f>'Pseudo-load coefficients'!R286</f>
        <v>1.128027062903844</v>
      </c>
      <c r="S96" s="273">
        <f>'Pseudo-load coefficients'!S286</f>
        <v>1.128027062903844</v>
      </c>
      <c r="T96" s="273">
        <f>'Pseudo-load coefficients'!T286</f>
        <v>1.128027062903844</v>
      </c>
      <c r="U96" s="273">
        <f>'Pseudo-load coefficients'!U286</f>
        <v>1.128027062903844</v>
      </c>
      <c r="V96" s="273">
        <f>'Pseudo-load coefficients'!V286</f>
        <v>1.128027062903844</v>
      </c>
      <c r="W96" s="273">
        <f>'Pseudo-load coefficients'!W286</f>
        <v>1.128027062903844</v>
      </c>
      <c r="X96" s="273">
        <f>'Pseudo-load coefficients'!X286</f>
        <v>1.128027062903844</v>
      </c>
      <c r="Y96" s="273">
        <f>'Pseudo-load coefficients'!Y286</f>
        <v>1.128027062903844</v>
      </c>
      <c r="AQ96" s="88"/>
    </row>
    <row r="97" spans="5:43" x14ac:dyDescent="0.25">
      <c r="E97" s="96"/>
      <c r="F97" s="293" t="s">
        <v>47</v>
      </c>
      <c r="G97" s="293" t="s">
        <v>428</v>
      </c>
      <c r="J97" s="273">
        <f>'Pseudo-load coefficients'!J287</f>
        <v>1.8480046320209771</v>
      </c>
      <c r="K97" s="273">
        <f>'Pseudo-load coefficients'!K287</f>
        <v>1.8480046320209771</v>
      </c>
      <c r="L97" s="273">
        <f>'Pseudo-load coefficients'!L287</f>
        <v>2.2536636764172022</v>
      </c>
      <c r="M97" s="273">
        <f>'Pseudo-load coefficients'!M287</f>
        <v>2.2536636764172022</v>
      </c>
      <c r="N97" s="273">
        <f>'Pseudo-load coefficients'!N287</f>
        <v>1.6409776942046763</v>
      </c>
      <c r="O97" s="273">
        <f>'Pseudo-load coefficients'!O287</f>
        <v>1.6579460885300441</v>
      </c>
      <c r="P97" s="273">
        <f>'Pseudo-load coefficients'!P287</f>
        <v>1.4704323121986702</v>
      </c>
      <c r="Q97" s="273">
        <f>'Pseudo-load coefficients'!Q287</f>
        <v>1.9624307204509874</v>
      </c>
      <c r="R97" s="273">
        <f>'Pseudo-load coefficients'!R287</f>
        <v>1.386858838098062</v>
      </c>
      <c r="S97" s="273">
        <f>'Pseudo-load coefficients'!S287</f>
        <v>1.386858838098062</v>
      </c>
      <c r="T97" s="273">
        <f>'Pseudo-load coefficients'!T287</f>
        <v>1.386858838098062</v>
      </c>
      <c r="U97" s="273">
        <f>'Pseudo-load coefficients'!U287</f>
        <v>1.386858838098062</v>
      </c>
      <c r="V97" s="273">
        <f>'Pseudo-load coefficients'!V287</f>
        <v>1.386858838098062</v>
      </c>
      <c r="W97" s="273">
        <f>'Pseudo-load coefficients'!W287</f>
        <v>1.386858838098062</v>
      </c>
      <c r="X97" s="273">
        <f>'Pseudo-load coefficients'!X287</f>
        <v>1.386858838098062</v>
      </c>
      <c r="Y97" s="273">
        <f>'Pseudo-load coefficients'!Y287</f>
        <v>1.386858838098062</v>
      </c>
      <c r="AQ97" s="88"/>
    </row>
    <row r="98" spans="5:43" x14ac:dyDescent="0.25">
      <c r="E98" s="96"/>
      <c r="F98" s="293" t="s">
        <v>51</v>
      </c>
      <c r="G98" s="293" t="s">
        <v>428</v>
      </c>
      <c r="J98" s="273">
        <f>'Pseudo-load coefficients'!J288</f>
        <v>0</v>
      </c>
      <c r="K98" s="273">
        <f>'Pseudo-load coefficients'!K288</f>
        <v>0</v>
      </c>
      <c r="L98" s="273">
        <f>'Pseudo-load coefficients'!L288</f>
        <v>0</v>
      </c>
      <c r="M98" s="273">
        <f>'Pseudo-load coefficients'!M288</f>
        <v>0</v>
      </c>
      <c r="N98" s="273">
        <f>'Pseudo-load coefficients'!N288</f>
        <v>0</v>
      </c>
      <c r="O98" s="273">
        <f>'Pseudo-load coefficients'!O288</f>
        <v>0</v>
      </c>
      <c r="P98" s="273">
        <f>'Pseudo-load coefficients'!P288</f>
        <v>0</v>
      </c>
      <c r="Q98" s="273">
        <f>'Pseudo-load coefficients'!Q288</f>
        <v>0</v>
      </c>
      <c r="R98" s="273">
        <f>'Pseudo-load coefficients'!R288</f>
        <v>0</v>
      </c>
      <c r="S98" s="273">
        <f>'Pseudo-load coefficients'!S288</f>
        <v>0</v>
      </c>
      <c r="T98" s="273">
        <f>'Pseudo-load coefficients'!T288</f>
        <v>0</v>
      </c>
      <c r="U98" s="273">
        <f>'Pseudo-load coefficients'!U288</f>
        <v>0</v>
      </c>
      <c r="V98" s="273">
        <f>'Pseudo-load coefficients'!V288</f>
        <v>0</v>
      </c>
      <c r="W98" s="273">
        <f>'Pseudo-load coefficients'!W288</f>
        <v>0</v>
      </c>
      <c r="X98" s="273">
        <f>'Pseudo-load coefficients'!X288</f>
        <v>0</v>
      </c>
      <c r="Y98" s="273">
        <f>'Pseudo-load coefficients'!Y288</f>
        <v>0</v>
      </c>
      <c r="AQ98" s="88"/>
    </row>
    <row r="99" spans="5:43" x14ac:dyDescent="0.25">
      <c r="E99" s="96"/>
      <c r="F99" s="293" t="s">
        <v>48</v>
      </c>
      <c r="G99" s="293" t="s">
        <v>428</v>
      </c>
      <c r="J99" s="273">
        <f>'Pseudo-load coefficients'!J289</f>
        <v>1.8480046320209771</v>
      </c>
      <c r="K99" s="273">
        <f>'Pseudo-load coefficients'!K289</f>
        <v>1.8480046320209771</v>
      </c>
      <c r="L99" s="273">
        <f>'Pseudo-load coefficients'!L289</f>
        <v>2.2536636764172022</v>
      </c>
      <c r="M99" s="273">
        <f>'Pseudo-load coefficients'!M289</f>
        <v>2.2536636764172022</v>
      </c>
      <c r="N99" s="273">
        <f>'Pseudo-load coefficients'!N289</f>
        <v>1.6409776942046763</v>
      </c>
      <c r="O99" s="273">
        <f>'Pseudo-load coefficients'!O289</f>
        <v>1.6579460885300441</v>
      </c>
      <c r="P99" s="273">
        <f>'Pseudo-load coefficients'!P289</f>
        <v>1.4704323121986702</v>
      </c>
      <c r="Q99" s="273">
        <f>'Pseudo-load coefficients'!Q289</f>
        <v>1.9624307204509874</v>
      </c>
      <c r="R99" s="273">
        <f>'Pseudo-load coefficients'!R289</f>
        <v>1.386858838098062</v>
      </c>
      <c r="S99" s="273">
        <f>'Pseudo-load coefficients'!S289</f>
        <v>1.386858838098062</v>
      </c>
      <c r="T99" s="273">
        <f>'Pseudo-load coefficients'!T289</f>
        <v>1.386858838098062</v>
      </c>
      <c r="U99" s="273">
        <f>'Pseudo-load coefficients'!U289</f>
        <v>1.386858838098062</v>
      </c>
      <c r="V99" s="273">
        <f>'Pseudo-load coefficients'!V289</f>
        <v>1.386858838098062</v>
      </c>
      <c r="W99" s="273">
        <f>'Pseudo-load coefficients'!W289</f>
        <v>1.386858838098062</v>
      </c>
      <c r="X99" s="273">
        <f>'Pseudo-load coefficients'!X289</f>
        <v>1.386858838098062</v>
      </c>
      <c r="Y99" s="273">
        <f>'Pseudo-load coefficients'!Y289</f>
        <v>1.386858838098062</v>
      </c>
      <c r="AQ99" s="88"/>
    </row>
    <row r="100" spans="5:43" x14ac:dyDescent="0.25">
      <c r="E100" s="96"/>
      <c r="F100" s="293" t="s">
        <v>49</v>
      </c>
      <c r="G100" s="293" t="s">
        <v>428</v>
      </c>
      <c r="J100" s="273">
        <f>'Pseudo-load coefficients'!J290</f>
        <v>1.8480046320209771</v>
      </c>
      <c r="K100" s="273">
        <f>'Pseudo-load coefficients'!K290</f>
        <v>1.8480046320209771</v>
      </c>
      <c r="L100" s="273">
        <f>'Pseudo-load coefficients'!L290</f>
        <v>2.2536636764172022</v>
      </c>
      <c r="M100" s="273">
        <f>'Pseudo-load coefficients'!M290</f>
        <v>2.2536636764172022</v>
      </c>
      <c r="N100" s="273">
        <f>'Pseudo-load coefficients'!N290</f>
        <v>1.6409776942046763</v>
      </c>
      <c r="O100" s="273">
        <f>'Pseudo-load coefficients'!O290</f>
        <v>1.6579460885300441</v>
      </c>
      <c r="P100" s="273">
        <f>'Pseudo-load coefficients'!P290</f>
        <v>1.4704323121986702</v>
      </c>
      <c r="Q100" s="273">
        <f>'Pseudo-load coefficients'!Q290</f>
        <v>1.9624307204509874</v>
      </c>
      <c r="R100" s="273">
        <f>'Pseudo-load coefficients'!R290</f>
        <v>1.386858838098062</v>
      </c>
      <c r="S100" s="273">
        <f>'Pseudo-load coefficients'!S290</f>
        <v>1.386858838098062</v>
      </c>
      <c r="T100" s="273">
        <f>'Pseudo-load coefficients'!T290</f>
        <v>1.386858838098062</v>
      </c>
      <c r="U100" s="273">
        <f>'Pseudo-load coefficients'!U290</f>
        <v>1.386858838098062</v>
      </c>
      <c r="V100" s="273">
        <f>'Pseudo-load coefficients'!V290</f>
        <v>1.386858838098062</v>
      </c>
      <c r="W100" s="273">
        <f>'Pseudo-load coefficients'!W290</f>
        <v>1.386858838098062</v>
      </c>
      <c r="X100" s="273">
        <f>'Pseudo-load coefficients'!X290</f>
        <v>1.386858838098062</v>
      </c>
      <c r="Y100" s="273">
        <f>'Pseudo-load coefficients'!Y290</f>
        <v>1.386858838098062</v>
      </c>
      <c r="AQ100" s="88"/>
    </row>
    <row r="101" spans="5:43" x14ac:dyDescent="0.25">
      <c r="E101" s="96"/>
      <c r="F101" s="93" t="s">
        <v>50</v>
      </c>
      <c r="G101" s="93" t="s">
        <v>428</v>
      </c>
      <c r="H101" s="93"/>
      <c r="I101" s="93"/>
      <c r="J101" s="274">
        <f>'Pseudo-load coefficients'!J291</f>
        <v>1.8480046320209771</v>
      </c>
      <c r="K101" s="274">
        <f>'Pseudo-load coefficients'!K291</f>
        <v>1.8480046320209771</v>
      </c>
      <c r="L101" s="274">
        <f>'Pseudo-load coefficients'!L291</f>
        <v>2.2536636764172022</v>
      </c>
      <c r="M101" s="274">
        <f>'Pseudo-load coefficients'!M291</f>
        <v>2.2536636764172022</v>
      </c>
      <c r="N101" s="274">
        <f>'Pseudo-load coefficients'!N291</f>
        <v>1.6409776942046763</v>
      </c>
      <c r="O101" s="274">
        <f>'Pseudo-load coefficients'!O291</f>
        <v>1.6579460885300441</v>
      </c>
      <c r="P101" s="274">
        <f>'Pseudo-load coefficients'!P291</f>
        <v>1.4704323121986702</v>
      </c>
      <c r="Q101" s="274">
        <f>'Pseudo-load coefficients'!Q291</f>
        <v>1.9624307204509874</v>
      </c>
      <c r="R101" s="274">
        <f>'Pseudo-load coefficients'!R291</f>
        <v>1.386858838098062</v>
      </c>
      <c r="S101" s="274">
        <f>'Pseudo-load coefficients'!S291</f>
        <v>1.386858838098062</v>
      </c>
      <c r="T101" s="274">
        <f>'Pseudo-load coefficients'!T291</f>
        <v>1.386858838098062</v>
      </c>
      <c r="U101" s="274">
        <f>'Pseudo-load coefficients'!U291</f>
        <v>1.386858838098062</v>
      </c>
      <c r="V101" s="274">
        <f>'Pseudo-load coefficients'!V291</f>
        <v>1.386858838098062</v>
      </c>
      <c r="W101" s="274">
        <f>'Pseudo-load coefficients'!W291</f>
        <v>1.386858838098062</v>
      </c>
      <c r="X101" s="274">
        <f>'Pseudo-load coefficients'!X291</f>
        <v>1.386858838098062</v>
      </c>
      <c r="Y101" s="274">
        <f>'Pseudo-load coefficients'!Y291</f>
        <v>1.386858838098062</v>
      </c>
      <c r="AQ101" s="88"/>
    </row>
    <row r="102" spans="5:43" x14ac:dyDescent="0.2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25">
      <c r="E103" s="96" t="s">
        <v>525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2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7">
        <f t="shared" ref="J105:Y105" si="10">J$57 * J34 * J93 / hours_in_year / $H45</f>
        <v>268.98243064763153</v>
      </c>
      <c r="K105" s="277">
        <f t="shared" si="10"/>
        <v>0.10167339840708817</v>
      </c>
      <c r="L105" s="277">
        <f t="shared" si="10"/>
        <v>96.551832335528971</v>
      </c>
      <c r="M105" s="277">
        <f t="shared" si="10"/>
        <v>4.4682078014502635E-2</v>
      </c>
      <c r="N105" s="277">
        <f t="shared" si="10"/>
        <v>42.285968578940853</v>
      </c>
      <c r="O105" s="277">
        <f t="shared" si="10"/>
        <v>51.045302489614961</v>
      </c>
      <c r="P105" s="277">
        <f t="shared" si="10"/>
        <v>66.403274481021398</v>
      </c>
      <c r="Q105" s="277">
        <f t="shared" si="10"/>
        <v>10.055182962044235</v>
      </c>
      <c r="R105" s="277">
        <f t="shared" si="10"/>
        <v>-5.8771579795192215E-2</v>
      </c>
      <c r="S105" s="277">
        <f t="shared" si="10"/>
        <v>-7.4253685725913614E-3</v>
      </c>
      <c r="T105" s="277">
        <f t="shared" si="10"/>
        <v>-1.948900382281564</v>
      </c>
      <c r="U105" s="277">
        <f t="shared" si="10"/>
        <v>0</v>
      </c>
      <c r="V105" s="277">
        <f t="shared" si="10"/>
        <v>-0.49384366520014011</v>
      </c>
      <c r="W105" s="277">
        <f t="shared" si="10"/>
        <v>0</v>
      </c>
      <c r="X105" s="277">
        <f t="shared" si="10"/>
        <v>-13.840535383947616</v>
      </c>
      <c r="Y105" s="277">
        <f t="shared" si="10"/>
        <v>0</v>
      </c>
      <c r="AQ105" s="88"/>
    </row>
    <row r="106" spans="5:43" x14ac:dyDescent="0.25">
      <c r="E106" s="96"/>
      <c r="F106" s="293" t="s">
        <v>44</v>
      </c>
      <c r="G106" s="293" t="s">
        <v>102</v>
      </c>
      <c r="J106" s="252">
        <f t="shared" ref="J106:Y106" si="11">J$57 * J35 * J94 / hours_in_year / $H46</f>
        <v>267.64420959963337</v>
      </c>
      <c r="K106" s="252">
        <f t="shared" si="11"/>
        <v>0.10116756060406784</v>
      </c>
      <c r="L106" s="252">
        <f t="shared" si="11"/>
        <v>96.071474960725354</v>
      </c>
      <c r="M106" s="252">
        <f t="shared" si="11"/>
        <v>4.4459779118908097E-2</v>
      </c>
      <c r="N106" s="252">
        <f t="shared" si="11"/>
        <v>42.075590625811799</v>
      </c>
      <c r="O106" s="252">
        <f t="shared" si="11"/>
        <v>50.791345760810913</v>
      </c>
      <c r="P106" s="252">
        <f t="shared" si="11"/>
        <v>66.072909931364578</v>
      </c>
      <c r="Q106" s="252">
        <f t="shared" si="11"/>
        <v>10.005157176163419</v>
      </c>
      <c r="R106" s="252">
        <f t="shared" si="11"/>
        <v>-5.8479183875813155E-2</v>
      </c>
      <c r="S106" s="252">
        <f t="shared" si="11"/>
        <v>-7.3884264403894151E-3</v>
      </c>
      <c r="T106" s="252">
        <f t="shared" si="11"/>
        <v>-1.9392043604791684</v>
      </c>
      <c r="U106" s="252">
        <f t="shared" si="11"/>
        <v>0</v>
      </c>
      <c r="V106" s="252">
        <f t="shared" si="11"/>
        <v>-0.49138673154242801</v>
      </c>
      <c r="W106" s="252">
        <f t="shared" si="11"/>
        <v>0</v>
      </c>
      <c r="X106" s="252">
        <f t="shared" si="11"/>
        <v>-13.771676998952854</v>
      </c>
      <c r="Y106" s="252">
        <f t="shared" si="11"/>
        <v>0</v>
      </c>
      <c r="AQ106" s="88"/>
    </row>
    <row r="107" spans="5:43" x14ac:dyDescent="0.25">
      <c r="E107" s="96"/>
      <c r="F107" s="293" t="s">
        <v>45</v>
      </c>
      <c r="G107" s="293" t="s">
        <v>102</v>
      </c>
      <c r="J107" s="252">
        <f t="shared" ref="J107:Y107" si="12">J$57 * J36 * J95 / hours_in_year / $H47</f>
        <v>435.819654609081</v>
      </c>
      <c r="K107" s="252">
        <f t="shared" si="12"/>
        <v>0.16473665313388688</v>
      </c>
      <c r="L107" s="252">
        <f t="shared" si="12"/>
        <v>156.43841911544067</v>
      </c>
      <c r="M107" s="252">
        <f t="shared" si="12"/>
        <v>7.2396281647877272E-2</v>
      </c>
      <c r="N107" s="252">
        <f t="shared" si="12"/>
        <v>68.513977572857243</v>
      </c>
      <c r="O107" s="252">
        <f t="shared" si="12"/>
        <v>82.70631671695746</v>
      </c>
      <c r="P107" s="252">
        <f t="shared" si="12"/>
        <v>107.59012058725173</v>
      </c>
      <c r="Q107" s="252">
        <f t="shared" si="12"/>
        <v>12.765395651328395</v>
      </c>
      <c r="R107" s="252">
        <f t="shared" si="12"/>
        <v>-9.522484255012531E-2</v>
      </c>
      <c r="S107" s="252">
        <f t="shared" si="12"/>
        <v>-1.2030977483771901E-2</v>
      </c>
      <c r="T107" s="252">
        <f t="shared" si="12"/>
        <v>-3.1577121577361882</v>
      </c>
      <c r="U107" s="252">
        <f t="shared" si="12"/>
        <v>0</v>
      </c>
      <c r="V107" s="252">
        <f t="shared" si="12"/>
        <v>-0.80015179831710259</v>
      </c>
      <c r="W107" s="252">
        <f t="shared" si="12"/>
        <v>0</v>
      </c>
      <c r="X107" s="252">
        <f t="shared" si="12"/>
        <v>-22.425172291415343</v>
      </c>
      <c r="Y107" s="252">
        <f t="shared" si="12"/>
        <v>0</v>
      </c>
      <c r="AQ107" s="88"/>
    </row>
    <row r="108" spans="5:43" x14ac:dyDescent="0.25">
      <c r="E108" s="96"/>
      <c r="F108" s="293" t="s">
        <v>46</v>
      </c>
      <c r="G108" s="293" t="s">
        <v>102</v>
      </c>
      <c r="J108" s="252">
        <f t="shared" ref="J108:Y108" si="13">J$57 * J37 * J96 / hours_in_year / $H48</f>
        <v>433.25097295126716</v>
      </c>
      <c r="K108" s="252">
        <f t="shared" si="13"/>
        <v>0.16376571018810757</v>
      </c>
      <c r="L108" s="252">
        <f t="shared" si="13"/>
        <v>155.51638521102745</v>
      </c>
      <c r="M108" s="252">
        <f t="shared" si="13"/>
        <v>7.1969584506534193E-2</v>
      </c>
      <c r="N108" s="252">
        <f t="shared" si="13"/>
        <v>68.110162380875764</v>
      </c>
      <c r="O108" s="252">
        <f t="shared" si="13"/>
        <v>82.2188531606689</v>
      </c>
      <c r="P108" s="252">
        <f t="shared" si="13"/>
        <v>106.95599413978266</v>
      </c>
      <c r="Q108" s="252">
        <f t="shared" si="13"/>
        <v>12.690157563010153</v>
      </c>
      <c r="R108" s="252">
        <f t="shared" si="13"/>
        <v>-9.4663595933916322E-2</v>
      </c>
      <c r="S108" s="252">
        <f t="shared" si="13"/>
        <v>-1.1960067989761456E-2</v>
      </c>
      <c r="T108" s="252">
        <f t="shared" si="13"/>
        <v>-3.1391008876512991</v>
      </c>
      <c r="U108" s="252">
        <f t="shared" si="13"/>
        <v>0</v>
      </c>
      <c r="V108" s="252">
        <f t="shared" si="13"/>
        <v>-0.7954357759301649</v>
      </c>
      <c r="W108" s="252">
        <f t="shared" si="13"/>
        <v>0</v>
      </c>
      <c r="X108" s="252">
        <f t="shared" si="13"/>
        <v>-22.293000352566136</v>
      </c>
      <c r="Y108" s="252">
        <f t="shared" si="13"/>
        <v>0</v>
      </c>
      <c r="AQ108" s="88"/>
    </row>
    <row r="109" spans="5:43" x14ac:dyDescent="0.25">
      <c r="E109" s="96"/>
      <c r="F109" s="293" t="s">
        <v>47</v>
      </c>
      <c r="G109" s="293" t="s">
        <v>102</v>
      </c>
      <c r="J109" s="252">
        <f t="shared" ref="J109:Y109" si="14">J$57 * J38 * J97 / hours_in_year / $H49</f>
        <v>528.5093845587129</v>
      </c>
      <c r="K109" s="252">
        <f t="shared" si="14"/>
        <v>0.19977269552046167</v>
      </c>
      <c r="L109" s="252">
        <f t="shared" si="14"/>
        <v>189.70960059660604</v>
      </c>
      <c r="M109" s="252">
        <f t="shared" si="14"/>
        <v>8.7793457347349321E-2</v>
      </c>
      <c r="N109" s="252">
        <f t="shared" si="14"/>
        <v>83.085468353142375</v>
      </c>
      <c r="O109" s="252">
        <f t="shared" si="14"/>
        <v>100.29622134964259</v>
      </c>
      <c r="P109" s="252">
        <f t="shared" si="14"/>
        <v>130.47229012002734</v>
      </c>
      <c r="Q109" s="252">
        <f t="shared" si="14"/>
        <v>12.735769854933331</v>
      </c>
      <c r="R109" s="252">
        <f t="shared" si="14"/>
        <v>-0.11547717593418153</v>
      </c>
      <c r="S109" s="252">
        <f t="shared" si="14"/>
        <v>-1.4589714893173913E-2</v>
      </c>
      <c r="T109" s="252">
        <f t="shared" si="14"/>
        <v>-3.8292915233381595</v>
      </c>
      <c r="U109" s="252">
        <f t="shared" si="14"/>
        <v>0</v>
      </c>
      <c r="V109" s="252">
        <f t="shared" si="14"/>
        <v>-0.97032735905735767</v>
      </c>
      <c r="W109" s="252">
        <f t="shared" si="14"/>
        <v>0</v>
      </c>
      <c r="X109" s="252">
        <f t="shared" si="14"/>
        <v>-27.194537651106824</v>
      </c>
      <c r="Y109" s="252">
        <f t="shared" si="14"/>
        <v>0</v>
      </c>
      <c r="AQ109" s="88"/>
    </row>
    <row r="110" spans="5:43" x14ac:dyDescent="0.25">
      <c r="E110" s="96"/>
      <c r="F110" s="293" t="s">
        <v>51</v>
      </c>
      <c r="G110" s="293" t="s">
        <v>102</v>
      </c>
      <c r="J110" s="252">
        <f t="shared" ref="J110:Y110" si="15">J$57 * J39 * J98 / hours_in_year / $H50</f>
        <v>0</v>
      </c>
      <c r="K110" s="252">
        <f t="shared" si="15"/>
        <v>0</v>
      </c>
      <c r="L110" s="252">
        <f t="shared" si="15"/>
        <v>0</v>
      </c>
      <c r="M110" s="252">
        <f t="shared" si="15"/>
        <v>0</v>
      </c>
      <c r="N110" s="252">
        <f t="shared" si="15"/>
        <v>0</v>
      </c>
      <c r="O110" s="252">
        <f t="shared" si="15"/>
        <v>0</v>
      </c>
      <c r="P110" s="252">
        <f t="shared" si="15"/>
        <v>0</v>
      </c>
      <c r="Q110" s="252">
        <f t="shared" si="15"/>
        <v>0</v>
      </c>
      <c r="R110" s="252">
        <f t="shared" si="15"/>
        <v>0</v>
      </c>
      <c r="S110" s="252">
        <f t="shared" si="15"/>
        <v>0</v>
      </c>
      <c r="T110" s="252">
        <f t="shared" si="15"/>
        <v>0</v>
      </c>
      <c r="U110" s="252">
        <f t="shared" si="15"/>
        <v>0</v>
      </c>
      <c r="V110" s="252">
        <f t="shared" si="15"/>
        <v>0</v>
      </c>
      <c r="W110" s="252">
        <f t="shared" si="15"/>
        <v>0</v>
      </c>
      <c r="X110" s="252">
        <f t="shared" si="15"/>
        <v>0</v>
      </c>
      <c r="Y110" s="252">
        <f t="shared" si="15"/>
        <v>0</v>
      </c>
      <c r="AQ110" s="88"/>
    </row>
    <row r="111" spans="5:43" x14ac:dyDescent="0.25">
      <c r="E111" s="96"/>
      <c r="F111" s="293" t="s">
        <v>48</v>
      </c>
      <c r="G111" s="293" t="s">
        <v>102</v>
      </c>
      <c r="J111" s="252">
        <f t="shared" ref="J111:Y111" si="16">J$57 * J40 * J99 / hours_in_year / $H51</f>
        <v>522.90320979483079</v>
      </c>
      <c r="K111" s="252">
        <f t="shared" si="16"/>
        <v>0.19765360231821957</v>
      </c>
      <c r="L111" s="252">
        <f t="shared" si="16"/>
        <v>187.69725189210976</v>
      </c>
      <c r="M111" s="252">
        <f t="shared" si="16"/>
        <v>8.6862186343664827E-2</v>
      </c>
      <c r="N111" s="252">
        <f t="shared" si="16"/>
        <v>82.204137444864116</v>
      </c>
      <c r="O111" s="252">
        <f t="shared" si="16"/>
        <v>99.232327005528759</v>
      </c>
      <c r="P111" s="252">
        <f t="shared" si="16"/>
        <v>129.08830247169533</v>
      </c>
      <c r="Q111" s="252">
        <f t="shared" si="16"/>
        <v>12.600674899866537</v>
      </c>
      <c r="R111" s="252">
        <f t="shared" si="16"/>
        <v>-0.11425224928492793</v>
      </c>
      <c r="S111" s="252">
        <f t="shared" si="16"/>
        <v>-1.4434954175888561E-2</v>
      </c>
      <c r="T111" s="252">
        <f t="shared" si="16"/>
        <v>-3.7886722304194329</v>
      </c>
      <c r="U111" s="252">
        <f t="shared" si="16"/>
        <v>0</v>
      </c>
      <c r="V111" s="252">
        <f t="shared" si="16"/>
        <v>-0.96003459054276674</v>
      </c>
      <c r="W111" s="252">
        <f t="shared" si="16"/>
        <v>0</v>
      </c>
      <c r="X111" s="252">
        <f t="shared" si="16"/>
        <v>0</v>
      </c>
      <c r="Y111" s="252">
        <f t="shared" si="16"/>
        <v>0</v>
      </c>
      <c r="AQ111" s="88"/>
    </row>
    <row r="112" spans="5:43" x14ac:dyDescent="0.25">
      <c r="E112" s="96"/>
      <c r="F112" s="293" t="s">
        <v>49</v>
      </c>
      <c r="G112" s="293" t="s">
        <v>102</v>
      </c>
      <c r="J112" s="252">
        <f t="shared" ref="J112:Y112" si="17">J$57 * J41 * J100 / hours_in_year / $H52</f>
        <v>512.04025359512696</v>
      </c>
      <c r="K112" s="252">
        <f t="shared" si="17"/>
        <v>0.19354748404531982</v>
      </c>
      <c r="L112" s="252">
        <f t="shared" si="17"/>
        <v>183.79796998311409</v>
      </c>
      <c r="M112" s="252">
        <f t="shared" si="17"/>
        <v>8.5057683888933353E-2</v>
      </c>
      <c r="N112" s="252">
        <f t="shared" si="17"/>
        <v>80.496402767067124</v>
      </c>
      <c r="O112" s="252">
        <f t="shared" si="17"/>
        <v>97.170843347245807</v>
      </c>
      <c r="P112" s="252">
        <f t="shared" si="17"/>
        <v>0</v>
      </c>
      <c r="Q112" s="252">
        <f t="shared" si="17"/>
        <v>12.338904505346173</v>
      </c>
      <c r="R112" s="252">
        <f t="shared" si="17"/>
        <v>-0.11187873702405124</v>
      </c>
      <c r="S112" s="252">
        <f t="shared" si="17"/>
        <v>0</v>
      </c>
      <c r="T112" s="252">
        <f t="shared" si="17"/>
        <v>-3.7099651585882456</v>
      </c>
      <c r="U112" s="252">
        <f t="shared" si="17"/>
        <v>0</v>
      </c>
      <c r="V112" s="252">
        <f t="shared" si="17"/>
        <v>0</v>
      </c>
      <c r="W112" s="252">
        <f t="shared" si="17"/>
        <v>0</v>
      </c>
      <c r="X112" s="252">
        <f t="shared" si="17"/>
        <v>0</v>
      </c>
      <c r="Y112" s="252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1">
        <f t="shared" ref="J113:Y113" si="18">J$57 * J42 * J101 / hours_in_year / $H53</f>
        <v>489.39587414913302</v>
      </c>
      <c r="K113" s="271">
        <f t="shared" si="18"/>
        <v>0.18498807364981376</v>
      </c>
      <c r="L113" s="271">
        <f t="shared" si="18"/>
        <v>175.66972040804853</v>
      </c>
      <c r="M113" s="271">
        <f t="shared" si="18"/>
        <v>8.1296107615866794E-2</v>
      </c>
      <c r="N113" s="271">
        <f t="shared" si="18"/>
        <v>76.936543799931471</v>
      </c>
      <c r="O113" s="271">
        <f t="shared" si="18"/>
        <v>0</v>
      </c>
      <c r="P113" s="271">
        <f t="shared" si="18"/>
        <v>0</v>
      </c>
      <c r="Q113" s="271">
        <f t="shared" si="18"/>
        <v>11.79323093065126</v>
      </c>
      <c r="R113" s="271">
        <f t="shared" si="18"/>
        <v>0</v>
      </c>
      <c r="S113" s="271">
        <f t="shared" si="18"/>
        <v>0</v>
      </c>
      <c r="T113" s="271">
        <f t="shared" si="18"/>
        <v>0</v>
      </c>
      <c r="U113" s="271">
        <f t="shared" si="18"/>
        <v>0</v>
      </c>
      <c r="V113" s="271">
        <f t="shared" si="18"/>
        <v>0</v>
      </c>
      <c r="W113" s="271">
        <f t="shared" si="18"/>
        <v>0</v>
      </c>
      <c r="X113" s="271">
        <f t="shared" si="18"/>
        <v>0</v>
      </c>
      <c r="Y113" s="271">
        <f t="shared" si="18"/>
        <v>0</v>
      </c>
      <c r="AQ113" s="88"/>
    </row>
    <row r="114" spans="5:43" x14ac:dyDescent="0.2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2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25">
      <c r="E116" s="96"/>
      <c r="F116" s="91" t="s">
        <v>43</v>
      </c>
      <c r="G116" s="91" t="s">
        <v>428</v>
      </c>
      <c r="H116" s="91"/>
      <c r="I116" s="91"/>
      <c r="J116" s="272">
        <f>'Pseudo-load coefficients'!J294</f>
        <v>9.8807001773545164E-2</v>
      </c>
      <c r="K116" s="272">
        <f>'Pseudo-load coefficients'!K294</f>
        <v>9.8807001773545164E-2</v>
      </c>
      <c r="L116" s="272">
        <f>'Pseudo-load coefficients'!L294</f>
        <v>0.12049631641302137</v>
      </c>
      <c r="M116" s="272">
        <f>'Pseudo-load coefficients'!M294</f>
        <v>0.12049631641302137</v>
      </c>
      <c r="N116" s="272">
        <f>'Pseudo-load coefficients'!N294</f>
        <v>8.7737921827778731E-2</v>
      </c>
      <c r="O116" s="272">
        <f>'Pseudo-load coefficients'!O294</f>
        <v>8.8645168562527063E-2</v>
      </c>
      <c r="P116" s="272">
        <f>'Pseudo-load coefficients'!P294</f>
        <v>7.861939605660194E-2</v>
      </c>
      <c r="Q116" s="272">
        <f>'Pseudo-load coefficients'!Q294</f>
        <v>9.3825255419597117E-2</v>
      </c>
      <c r="R116" s="272">
        <f>'Pseudo-load coefficients'!R294</f>
        <v>7.4150984960332345E-2</v>
      </c>
      <c r="S116" s="272">
        <f>'Pseudo-load coefficients'!S294</f>
        <v>7.4150984960332345E-2</v>
      </c>
      <c r="T116" s="272">
        <f>'Pseudo-load coefficients'!T294</f>
        <v>7.4150984960332345E-2</v>
      </c>
      <c r="U116" s="272">
        <f>'Pseudo-load coefficients'!U294</f>
        <v>7.4150984960332345E-2</v>
      </c>
      <c r="V116" s="272">
        <f>'Pseudo-load coefficients'!V294</f>
        <v>7.4150984960332345E-2</v>
      </c>
      <c r="W116" s="272">
        <f>'Pseudo-load coefficients'!W294</f>
        <v>7.4150984960332345E-2</v>
      </c>
      <c r="X116" s="272">
        <f>'Pseudo-load coefficients'!X294</f>
        <v>7.4150984960332345E-2</v>
      </c>
      <c r="Y116" s="272">
        <f>'Pseudo-load coefficients'!Y294</f>
        <v>7.4150984960332345E-2</v>
      </c>
      <c r="AQ116" s="88"/>
    </row>
    <row r="117" spans="5:43" x14ac:dyDescent="0.25">
      <c r="E117" s="96"/>
      <c r="F117" s="293" t="s">
        <v>44</v>
      </c>
      <c r="G117" s="293" t="s">
        <v>428</v>
      </c>
      <c r="J117" s="273">
        <f>'Pseudo-load coefficients'!J295</f>
        <v>9.8807001773545164E-2</v>
      </c>
      <c r="K117" s="273">
        <f>'Pseudo-load coefficients'!K295</f>
        <v>9.8807001773545164E-2</v>
      </c>
      <c r="L117" s="273">
        <f>'Pseudo-load coefficients'!L295</f>
        <v>0.12049631641302137</v>
      </c>
      <c r="M117" s="273">
        <f>'Pseudo-load coefficients'!M295</f>
        <v>0.12049631641302137</v>
      </c>
      <c r="N117" s="273">
        <f>'Pseudo-load coefficients'!N295</f>
        <v>8.7737921827778731E-2</v>
      </c>
      <c r="O117" s="273">
        <f>'Pseudo-load coefficients'!O295</f>
        <v>8.8645168562527063E-2</v>
      </c>
      <c r="P117" s="273">
        <f>'Pseudo-load coefficients'!P295</f>
        <v>7.861939605660194E-2</v>
      </c>
      <c r="Q117" s="273">
        <f>'Pseudo-load coefficients'!Q295</f>
        <v>9.3825255419597117E-2</v>
      </c>
      <c r="R117" s="273">
        <f>'Pseudo-load coefficients'!R295</f>
        <v>7.4150984960332345E-2</v>
      </c>
      <c r="S117" s="273">
        <f>'Pseudo-load coefficients'!S295</f>
        <v>7.4150984960332345E-2</v>
      </c>
      <c r="T117" s="273">
        <f>'Pseudo-load coefficients'!T295</f>
        <v>7.4150984960332345E-2</v>
      </c>
      <c r="U117" s="273">
        <f>'Pseudo-load coefficients'!U295</f>
        <v>7.4150984960332345E-2</v>
      </c>
      <c r="V117" s="273">
        <f>'Pseudo-load coefficients'!V295</f>
        <v>7.4150984960332345E-2</v>
      </c>
      <c r="W117" s="273">
        <f>'Pseudo-load coefficients'!W295</f>
        <v>7.4150984960332345E-2</v>
      </c>
      <c r="X117" s="273">
        <f>'Pseudo-load coefficients'!X295</f>
        <v>7.4150984960332345E-2</v>
      </c>
      <c r="Y117" s="273">
        <f>'Pseudo-load coefficients'!Y295</f>
        <v>7.4150984960332345E-2</v>
      </c>
      <c r="AQ117" s="88"/>
    </row>
    <row r="118" spans="5:43" x14ac:dyDescent="0.25">
      <c r="E118" s="96"/>
      <c r="F118" s="293" t="s">
        <v>45</v>
      </c>
      <c r="G118" s="293" t="s">
        <v>428</v>
      </c>
      <c r="J118" s="273">
        <f>'Pseudo-load coefficients'!J296</f>
        <v>0.23185570967360311</v>
      </c>
      <c r="K118" s="273">
        <f>'Pseudo-load coefficients'!K296</f>
        <v>0.23185570967360311</v>
      </c>
      <c r="L118" s="273">
        <f>'Pseudo-load coefficients'!L296</f>
        <v>0.28275080159831578</v>
      </c>
      <c r="M118" s="273">
        <f>'Pseudo-load coefficients'!M296</f>
        <v>0.28275080159831578</v>
      </c>
      <c r="N118" s="273">
        <f>'Pseudo-load coefficients'!N296</f>
        <v>0.20588154448092277</v>
      </c>
      <c r="O118" s="273">
        <f>'Pseudo-load coefficients'!O296</f>
        <v>0.20801044558872314</v>
      </c>
      <c r="P118" s="273">
        <f>'Pseudo-load coefficients'!P296</f>
        <v>0.18448445494369836</v>
      </c>
      <c r="Q118" s="273">
        <f>'Pseudo-load coefficients'!Q296</f>
        <v>0.22016578572513895</v>
      </c>
      <c r="R118" s="273">
        <f>'Pseudo-load coefficients'!R296</f>
        <v>0.17399909856972956</v>
      </c>
      <c r="S118" s="273">
        <f>'Pseudo-load coefficients'!S296</f>
        <v>0.17399909856972956</v>
      </c>
      <c r="T118" s="273">
        <f>'Pseudo-load coefficients'!T296</f>
        <v>0.17399909856972956</v>
      </c>
      <c r="U118" s="273">
        <f>'Pseudo-load coefficients'!U296</f>
        <v>0.17399909856972956</v>
      </c>
      <c r="V118" s="273">
        <f>'Pseudo-load coefficients'!V296</f>
        <v>0.17399909856972956</v>
      </c>
      <c r="W118" s="273">
        <f>'Pseudo-load coefficients'!W296</f>
        <v>0.17399909856972956</v>
      </c>
      <c r="X118" s="273">
        <f>'Pseudo-load coefficients'!X296</f>
        <v>0.17399909856972956</v>
      </c>
      <c r="Y118" s="273">
        <f>'Pseudo-load coefficients'!Y296</f>
        <v>0.17399909856972956</v>
      </c>
      <c r="AQ118" s="88"/>
    </row>
    <row r="119" spans="5:43" x14ac:dyDescent="0.25">
      <c r="E119" s="96"/>
      <c r="F119" s="293" t="s">
        <v>46</v>
      </c>
      <c r="G119" s="293" t="s">
        <v>428</v>
      </c>
      <c r="J119" s="273">
        <f>'Pseudo-load coefficients'!J297</f>
        <v>0.23185570967360311</v>
      </c>
      <c r="K119" s="273">
        <f>'Pseudo-load coefficients'!K297</f>
        <v>0.23185570967360311</v>
      </c>
      <c r="L119" s="273">
        <f>'Pseudo-load coefficients'!L297</f>
        <v>0.28275080159831578</v>
      </c>
      <c r="M119" s="273">
        <f>'Pseudo-load coefficients'!M297</f>
        <v>0.28275080159831578</v>
      </c>
      <c r="N119" s="273">
        <f>'Pseudo-load coefficients'!N297</f>
        <v>0.20588154448092277</v>
      </c>
      <c r="O119" s="273">
        <f>'Pseudo-load coefficients'!O297</f>
        <v>0.20801044558872314</v>
      </c>
      <c r="P119" s="273">
        <f>'Pseudo-load coefficients'!P297</f>
        <v>0.18448445494369836</v>
      </c>
      <c r="Q119" s="273">
        <f>'Pseudo-load coefficients'!Q297</f>
        <v>0.22016578572513895</v>
      </c>
      <c r="R119" s="273">
        <f>'Pseudo-load coefficients'!R297</f>
        <v>0.17399909856972956</v>
      </c>
      <c r="S119" s="273">
        <f>'Pseudo-load coefficients'!S297</f>
        <v>0.17399909856972956</v>
      </c>
      <c r="T119" s="273">
        <f>'Pseudo-load coefficients'!T297</f>
        <v>0.17399909856972956</v>
      </c>
      <c r="U119" s="273">
        <f>'Pseudo-load coefficients'!U297</f>
        <v>0.17399909856972956</v>
      </c>
      <c r="V119" s="273">
        <f>'Pseudo-load coefficients'!V297</f>
        <v>0.17399909856972956</v>
      </c>
      <c r="W119" s="273">
        <f>'Pseudo-load coefficients'!W297</f>
        <v>0.17399909856972956</v>
      </c>
      <c r="X119" s="273">
        <f>'Pseudo-load coefficients'!X297</f>
        <v>0.17399909856972956</v>
      </c>
      <c r="Y119" s="273">
        <f>'Pseudo-load coefficients'!Y297</f>
        <v>0.17399909856972956</v>
      </c>
      <c r="AQ119" s="88"/>
    </row>
    <row r="120" spans="5:43" x14ac:dyDescent="0.25">
      <c r="E120" s="96"/>
      <c r="F120" s="293" t="s">
        <v>47</v>
      </c>
      <c r="G120" s="293" t="s">
        <v>428</v>
      </c>
      <c r="J120" s="273">
        <f>'Pseudo-load coefficients'!J298</f>
        <v>0.16145086531697106</v>
      </c>
      <c r="K120" s="273">
        <f>'Pseudo-load coefficients'!K298</f>
        <v>0.16145086531697106</v>
      </c>
      <c r="L120" s="273">
        <f>'Pseudo-load coefficients'!L298</f>
        <v>0.19689125470052032</v>
      </c>
      <c r="M120" s="273">
        <f>'Pseudo-load coefficients'!M298</f>
        <v>0.19689125470052032</v>
      </c>
      <c r="N120" s="273">
        <f>'Pseudo-load coefficients'!N298</f>
        <v>0.14336396354453809</v>
      </c>
      <c r="O120" s="273">
        <f>'Pseudo-load coefficients'!O298</f>
        <v>0.14484640676973404</v>
      </c>
      <c r="P120" s="273">
        <f>'Pseudo-load coefficients'!P298</f>
        <v>0.12846427172365174</v>
      </c>
      <c r="Q120" s="273">
        <f>'Pseudo-load coefficients'!Q298</f>
        <v>0.15331068045964727</v>
      </c>
      <c r="R120" s="273">
        <f>'Pseudo-load coefficients'!R298</f>
        <v>0.12116287784330593</v>
      </c>
      <c r="S120" s="273">
        <f>'Pseudo-load coefficients'!S298</f>
        <v>0.12116287784330593</v>
      </c>
      <c r="T120" s="273">
        <f>'Pseudo-load coefficients'!T298</f>
        <v>0.12116287784330593</v>
      </c>
      <c r="U120" s="273">
        <f>'Pseudo-load coefficients'!U298</f>
        <v>0.12116287784330593</v>
      </c>
      <c r="V120" s="273">
        <f>'Pseudo-load coefficients'!V298</f>
        <v>0.12116287784330593</v>
      </c>
      <c r="W120" s="273">
        <f>'Pseudo-load coefficients'!W298</f>
        <v>0.12116287784330593</v>
      </c>
      <c r="X120" s="273">
        <f>'Pseudo-load coefficients'!X298</f>
        <v>0.12116287784330593</v>
      </c>
      <c r="Y120" s="273">
        <f>'Pseudo-load coefficients'!Y298</f>
        <v>0.12116287784330593</v>
      </c>
      <c r="AQ120" s="88"/>
    </row>
    <row r="121" spans="5:43" x14ac:dyDescent="0.25">
      <c r="E121" s="96"/>
      <c r="F121" s="293" t="s">
        <v>51</v>
      </c>
      <c r="G121" s="293" t="s">
        <v>428</v>
      </c>
      <c r="J121" s="273">
        <f>'Pseudo-load coefficients'!J299</f>
        <v>0</v>
      </c>
      <c r="K121" s="273">
        <f>'Pseudo-load coefficients'!K299</f>
        <v>0</v>
      </c>
      <c r="L121" s="273">
        <f>'Pseudo-load coefficients'!L299</f>
        <v>0</v>
      </c>
      <c r="M121" s="273">
        <f>'Pseudo-load coefficients'!M299</f>
        <v>0</v>
      </c>
      <c r="N121" s="273">
        <f>'Pseudo-load coefficients'!N299</f>
        <v>0</v>
      </c>
      <c r="O121" s="273">
        <f>'Pseudo-load coefficients'!O299</f>
        <v>0</v>
      </c>
      <c r="P121" s="273">
        <f>'Pseudo-load coefficients'!P299</f>
        <v>0</v>
      </c>
      <c r="Q121" s="273">
        <f>'Pseudo-load coefficients'!Q299</f>
        <v>0</v>
      </c>
      <c r="R121" s="273">
        <f>'Pseudo-load coefficients'!R299</f>
        <v>0</v>
      </c>
      <c r="S121" s="273">
        <f>'Pseudo-load coefficients'!S299</f>
        <v>0</v>
      </c>
      <c r="T121" s="273">
        <f>'Pseudo-load coefficients'!T299</f>
        <v>0</v>
      </c>
      <c r="U121" s="273">
        <f>'Pseudo-load coefficients'!U299</f>
        <v>0</v>
      </c>
      <c r="V121" s="273">
        <f>'Pseudo-load coefficients'!V299</f>
        <v>0</v>
      </c>
      <c r="W121" s="273">
        <f>'Pseudo-load coefficients'!W299</f>
        <v>0</v>
      </c>
      <c r="X121" s="273">
        <f>'Pseudo-load coefficients'!X299</f>
        <v>0</v>
      </c>
      <c r="Y121" s="273">
        <f>'Pseudo-load coefficients'!Y299</f>
        <v>0</v>
      </c>
      <c r="AQ121" s="88"/>
    </row>
    <row r="122" spans="5:43" x14ac:dyDescent="0.25">
      <c r="E122" s="96"/>
      <c r="F122" s="293" t="s">
        <v>48</v>
      </c>
      <c r="G122" s="293" t="s">
        <v>428</v>
      </c>
      <c r="J122" s="273">
        <f>'Pseudo-load coefficients'!J300</f>
        <v>0.16145086531697106</v>
      </c>
      <c r="K122" s="273">
        <f>'Pseudo-load coefficients'!K300</f>
        <v>0.16145086531697106</v>
      </c>
      <c r="L122" s="273">
        <f>'Pseudo-load coefficients'!L300</f>
        <v>0.19689125470052032</v>
      </c>
      <c r="M122" s="273">
        <f>'Pseudo-load coefficients'!M300</f>
        <v>0.19689125470052032</v>
      </c>
      <c r="N122" s="273">
        <f>'Pseudo-load coefficients'!N300</f>
        <v>0.14336396354453809</v>
      </c>
      <c r="O122" s="273">
        <f>'Pseudo-load coefficients'!O300</f>
        <v>0.14484640676973404</v>
      </c>
      <c r="P122" s="273">
        <f>'Pseudo-load coefficients'!P300</f>
        <v>0.12846427172365174</v>
      </c>
      <c r="Q122" s="273">
        <f>'Pseudo-load coefficients'!Q300</f>
        <v>0.15331068045964727</v>
      </c>
      <c r="R122" s="273">
        <f>'Pseudo-load coefficients'!R300</f>
        <v>0.12116287784330593</v>
      </c>
      <c r="S122" s="273">
        <f>'Pseudo-load coefficients'!S300</f>
        <v>0.12116287784330593</v>
      </c>
      <c r="T122" s="273">
        <f>'Pseudo-load coefficients'!T300</f>
        <v>0.12116287784330593</v>
      </c>
      <c r="U122" s="273">
        <f>'Pseudo-load coefficients'!U300</f>
        <v>0.12116287784330593</v>
      </c>
      <c r="V122" s="273">
        <f>'Pseudo-load coefficients'!V300</f>
        <v>0.12116287784330593</v>
      </c>
      <c r="W122" s="273">
        <f>'Pseudo-load coefficients'!W300</f>
        <v>0.12116287784330593</v>
      </c>
      <c r="X122" s="273">
        <f>'Pseudo-load coefficients'!X300</f>
        <v>0.12116287784330593</v>
      </c>
      <c r="Y122" s="273">
        <f>'Pseudo-load coefficients'!Y300</f>
        <v>0.12116287784330593</v>
      </c>
      <c r="AQ122" s="88"/>
    </row>
    <row r="123" spans="5:43" x14ac:dyDescent="0.25">
      <c r="E123" s="96"/>
      <c r="F123" s="293" t="s">
        <v>49</v>
      </c>
      <c r="G123" s="293" t="s">
        <v>428</v>
      </c>
      <c r="J123" s="273">
        <f>'Pseudo-load coefficients'!J301</f>
        <v>0.16145086531697106</v>
      </c>
      <c r="K123" s="273">
        <f>'Pseudo-load coefficients'!K301</f>
        <v>0.16145086531697106</v>
      </c>
      <c r="L123" s="273">
        <f>'Pseudo-load coefficients'!L301</f>
        <v>0.19689125470052032</v>
      </c>
      <c r="M123" s="273">
        <f>'Pseudo-load coefficients'!M301</f>
        <v>0.19689125470052032</v>
      </c>
      <c r="N123" s="273">
        <f>'Pseudo-load coefficients'!N301</f>
        <v>0.14336396354453809</v>
      </c>
      <c r="O123" s="273">
        <f>'Pseudo-load coefficients'!O301</f>
        <v>0.14484640676973404</v>
      </c>
      <c r="P123" s="273">
        <f>'Pseudo-load coefficients'!P301</f>
        <v>0.12846427172365174</v>
      </c>
      <c r="Q123" s="273">
        <f>'Pseudo-load coefficients'!Q301</f>
        <v>0.15331068045964727</v>
      </c>
      <c r="R123" s="273">
        <f>'Pseudo-load coefficients'!R301</f>
        <v>0.12116287784330593</v>
      </c>
      <c r="S123" s="273">
        <f>'Pseudo-load coefficients'!S301</f>
        <v>0.12116287784330593</v>
      </c>
      <c r="T123" s="273">
        <f>'Pseudo-load coefficients'!T301</f>
        <v>0.12116287784330593</v>
      </c>
      <c r="U123" s="273">
        <f>'Pseudo-load coefficients'!U301</f>
        <v>0.12116287784330593</v>
      </c>
      <c r="V123" s="273">
        <f>'Pseudo-load coefficients'!V301</f>
        <v>0.12116287784330593</v>
      </c>
      <c r="W123" s="273">
        <f>'Pseudo-load coefficients'!W301</f>
        <v>0.12116287784330593</v>
      </c>
      <c r="X123" s="273">
        <f>'Pseudo-load coefficients'!X301</f>
        <v>0.12116287784330593</v>
      </c>
      <c r="Y123" s="273">
        <f>'Pseudo-load coefficients'!Y301</f>
        <v>0.12116287784330593</v>
      </c>
      <c r="AQ123" s="88"/>
    </row>
    <row r="124" spans="5:43" x14ac:dyDescent="0.25">
      <c r="E124" s="96"/>
      <c r="F124" s="93" t="s">
        <v>50</v>
      </c>
      <c r="G124" s="93" t="s">
        <v>428</v>
      </c>
      <c r="H124" s="93"/>
      <c r="I124" s="93"/>
      <c r="J124" s="274">
        <f>'Pseudo-load coefficients'!J302</f>
        <v>0.16145086531697106</v>
      </c>
      <c r="K124" s="274">
        <f>'Pseudo-load coefficients'!K302</f>
        <v>0.16145086531697106</v>
      </c>
      <c r="L124" s="274">
        <f>'Pseudo-load coefficients'!L302</f>
        <v>0.19689125470052032</v>
      </c>
      <c r="M124" s="274">
        <f>'Pseudo-load coefficients'!M302</f>
        <v>0.19689125470052032</v>
      </c>
      <c r="N124" s="274">
        <f>'Pseudo-load coefficients'!N302</f>
        <v>0.14336396354453809</v>
      </c>
      <c r="O124" s="274">
        <f>'Pseudo-load coefficients'!O302</f>
        <v>0.14484640676973404</v>
      </c>
      <c r="P124" s="274">
        <f>'Pseudo-load coefficients'!P302</f>
        <v>0.12846427172365174</v>
      </c>
      <c r="Q124" s="274">
        <f>'Pseudo-load coefficients'!Q302</f>
        <v>0.15331068045964727</v>
      </c>
      <c r="R124" s="274">
        <f>'Pseudo-load coefficients'!R302</f>
        <v>0.12116287784330593</v>
      </c>
      <c r="S124" s="274">
        <f>'Pseudo-load coefficients'!S302</f>
        <v>0.12116287784330593</v>
      </c>
      <c r="T124" s="274">
        <f>'Pseudo-load coefficients'!T302</f>
        <v>0.12116287784330593</v>
      </c>
      <c r="U124" s="274">
        <f>'Pseudo-load coefficients'!U302</f>
        <v>0.12116287784330593</v>
      </c>
      <c r="V124" s="274">
        <f>'Pseudo-load coefficients'!V302</f>
        <v>0.12116287784330593</v>
      </c>
      <c r="W124" s="274">
        <f>'Pseudo-load coefficients'!W302</f>
        <v>0.12116287784330593</v>
      </c>
      <c r="X124" s="274">
        <f>'Pseudo-load coefficients'!X302</f>
        <v>0.12116287784330593</v>
      </c>
      <c r="Y124" s="274">
        <f>'Pseudo-load coefficients'!Y302</f>
        <v>0.12116287784330593</v>
      </c>
      <c r="AQ124" s="88"/>
    </row>
    <row r="125" spans="5:43" x14ac:dyDescent="0.2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25">
      <c r="E126" s="96" t="s">
        <v>526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2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7">
        <f t="shared" ref="J128:Y128" si="19">J$58 * J34 * J116 / hours_in_year / $H45</f>
        <v>27.289655897809155</v>
      </c>
      <c r="K128" s="277">
        <f t="shared" si="19"/>
        <v>0.1473815118288006</v>
      </c>
      <c r="L128" s="277">
        <f t="shared" si="19"/>
        <v>10.078426460623589</v>
      </c>
      <c r="M128" s="277">
        <f t="shared" si="19"/>
        <v>5.8260127796475047E-2</v>
      </c>
      <c r="N128" s="277">
        <f t="shared" si="19"/>
        <v>3.9282493347389216</v>
      </c>
      <c r="O128" s="277">
        <f t="shared" si="19"/>
        <v>4.8716634154530452</v>
      </c>
      <c r="P128" s="277">
        <f t="shared" si="19"/>
        <v>7.7649792533093631</v>
      </c>
      <c r="Q128" s="277">
        <f t="shared" si="19"/>
        <v>1.0558853457352877</v>
      </c>
      <c r="R128" s="277">
        <f t="shared" si="19"/>
        <v>-6.889978558951018E-3</v>
      </c>
      <c r="S128" s="277">
        <f t="shared" si="19"/>
        <v>-1.0070121710742646E-3</v>
      </c>
      <c r="T128" s="277">
        <f t="shared" si="19"/>
        <v>-0.24375044184628011</v>
      </c>
      <c r="U128" s="277">
        <f t="shared" si="19"/>
        <v>0</v>
      </c>
      <c r="V128" s="277">
        <f t="shared" si="19"/>
        <v>-6.700856623250287E-2</v>
      </c>
      <c r="W128" s="277">
        <f t="shared" si="19"/>
        <v>0</v>
      </c>
      <c r="X128" s="277">
        <f t="shared" si="19"/>
        <v>-1.5532180841440109</v>
      </c>
      <c r="Y128" s="277">
        <f t="shared" si="19"/>
        <v>0</v>
      </c>
      <c r="AQ128" s="88"/>
    </row>
    <row r="129" spans="3:43" x14ac:dyDescent="0.25">
      <c r="E129" s="96"/>
      <c r="F129" s="293" t="s">
        <v>44</v>
      </c>
      <c r="G129" s="293" t="s">
        <v>102</v>
      </c>
      <c r="J129" s="252">
        <f t="shared" ref="J129:Y129" si="20">J$58 * J35 * J117 / hours_in_year / $H46</f>
        <v>27.153886465481747</v>
      </c>
      <c r="K129" s="252">
        <f t="shared" si="20"/>
        <v>0.14664827047641854</v>
      </c>
      <c r="L129" s="252">
        <f t="shared" si="20"/>
        <v>10.028285035446359</v>
      </c>
      <c r="M129" s="252">
        <f t="shared" si="20"/>
        <v>5.7970276414403041E-2</v>
      </c>
      <c r="N129" s="252">
        <f t="shared" si="20"/>
        <v>3.9087058057103703</v>
      </c>
      <c r="O129" s="252">
        <f t="shared" si="20"/>
        <v>4.8474262840328812</v>
      </c>
      <c r="P129" s="252">
        <f t="shared" si="20"/>
        <v>7.7263475157307102</v>
      </c>
      <c r="Q129" s="252">
        <f t="shared" si="20"/>
        <v>1.0506321848112317</v>
      </c>
      <c r="R129" s="252">
        <f t="shared" si="20"/>
        <v>-6.8557000586577299E-3</v>
      </c>
      <c r="S129" s="252">
        <f t="shared" si="20"/>
        <v>-1.0020021602729003E-3</v>
      </c>
      <c r="T129" s="252">
        <f t="shared" si="20"/>
        <v>-0.24253775308087577</v>
      </c>
      <c r="U129" s="252">
        <f t="shared" si="20"/>
        <v>0</v>
      </c>
      <c r="V129" s="252">
        <f t="shared" si="20"/>
        <v>-6.6675190281097391E-2</v>
      </c>
      <c r="W129" s="252">
        <f t="shared" si="20"/>
        <v>0</v>
      </c>
      <c r="X129" s="252">
        <f t="shared" si="20"/>
        <v>-1.5454906309890657</v>
      </c>
      <c r="Y129" s="252">
        <f t="shared" si="20"/>
        <v>0</v>
      </c>
      <c r="AQ129" s="88"/>
    </row>
    <row r="130" spans="3:43" x14ac:dyDescent="0.25">
      <c r="E130" s="96"/>
      <c r="F130" s="293" t="s">
        <v>45</v>
      </c>
      <c r="G130" s="293" t="s">
        <v>102</v>
      </c>
      <c r="J130" s="252">
        <f t="shared" ref="J130:Y130" si="21">J$58 * J36 * J118 / hours_in_year / $H47</f>
        <v>63.27725357750375</v>
      </c>
      <c r="K130" s="252">
        <f t="shared" si="21"/>
        <v>0.34173744555626945</v>
      </c>
      <c r="L130" s="252">
        <f t="shared" si="21"/>
        <v>23.369116459335817</v>
      </c>
      <c r="M130" s="252">
        <f t="shared" si="21"/>
        <v>0.13508931346881831</v>
      </c>
      <c r="N130" s="252">
        <f t="shared" si="21"/>
        <v>9.1085365898618953</v>
      </c>
      <c r="O130" s="252">
        <f t="shared" si="21"/>
        <v>11.296056001520277</v>
      </c>
      <c r="P130" s="252">
        <f t="shared" si="21"/>
        <v>18.004864666511171</v>
      </c>
      <c r="Q130" s="252">
        <f t="shared" si="21"/>
        <v>2.4483095360768505</v>
      </c>
      <c r="R130" s="252">
        <f t="shared" si="21"/>
        <v>-1.5975977199965664E-2</v>
      </c>
      <c r="S130" s="252">
        <f t="shared" si="21"/>
        <v>-2.3349860014106822E-3</v>
      </c>
      <c r="T130" s="252">
        <f t="shared" si="21"/>
        <v>-0.56519065597942897</v>
      </c>
      <c r="U130" s="252">
        <f t="shared" si="21"/>
        <v>0</v>
      </c>
      <c r="V130" s="252">
        <f t="shared" si="21"/>
        <v>-0.15537455119393578</v>
      </c>
      <c r="W130" s="252">
        <f t="shared" si="21"/>
        <v>0</v>
      </c>
      <c r="X130" s="252">
        <f t="shared" si="21"/>
        <v>-3.6014882320093844</v>
      </c>
      <c r="Y130" s="252">
        <f t="shared" si="21"/>
        <v>0</v>
      </c>
      <c r="AQ130" s="88"/>
    </row>
    <row r="131" spans="3:43" x14ac:dyDescent="0.25">
      <c r="E131" s="96"/>
      <c r="F131" s="293" t="s">
        <v>46</v>
      </c>
      <c r="G131" s="293" t="s">
        <v>102</v>
      </c>
      <c r="J131" s="252">
        <f t="shared" ref="J131:Y131" si="22">J$58 * J37 * J119 / hours_in_year / $H48</f>
        <v>62.904303163490958</v>
      </c>
      <c r="K131" s="252">
        <f t="shared" si="22"/>
        <v>0.33972327593609497</v>
      </c>
      <c r="L131" s="252">
        <f t="shared" si="22"/>
        <v>23.231380998868218</v>
      </c>
      <c r="M131" s="252">
        <f t="shared" si="22"/>
        <v>0.13429310926369756</v>
      </c>
      <c r="N131" s="252">
        <f t="shared" si="22"/>
        <v>9.0548516983695855</v>
      </c>
      <c r="O131" s="252">
        <f t="shared" si="22"/>
        <v>11.229478068308961</v>
      </c>
      <c r="P131" s="252">
        <f t="shared" si="22"/>
        <v>17.898745621325446</v>
      </c>
      <c r="Q131" s="252">
        <f t="shared" si="22"/>
        <v>2.4338794209329793</v>
      </c>
      <c r="R131" s="252">
        <f t="shared" si="22"/>
        <v>-1.5881816234150543E-2</v>
      </c>
      <c r="S131" s="252">
        <f t="shared" si="22"/>
        <v>-2.3212238049387136E-3</v>
      </c>
      <c r="T131" s="252">
        <f t="shared" si="22"/>
        <v>-0.56185947333122022</v>
      </c>
      <c r="U131" s="252">
        <f t="shared" si="22"/>
        <v>0</v>
      </c>
      <c r="V131" s="252">
        <f t="shared" si="22"/>
        <v>-0.15445878763090667</v>
      </c>
      <c r="W131" s="252">
        <f t="shared" si="22"/>
        <v>0</v>
      </c>
      <c r="X131" s="252">
        <f t="shared" si="22"/>
        <v>-3.5802613858482286</v>
      </c>
      <c r="Y131" s="252">
        <f t="shared" si="22"/>
        <v>0</v>
      </c>
      <c r="AQ131" s="88"/>
    </row>
    <row r="132" spans="3:43" x14ac:dyDescent="0.25">
      <c r="E132" s="96"/>
      <c r="F132" s="293" t="s">
        <v>47</v>
      </c>
      <c r="G132" s="293" t="s">
        <v>102</v>
      </c>
      <c r="J132" s="252">
        <f t="shared" ref="J132:Y132" si="23">J$58 * J38 * J120 / hours_in_year / $H49</f>
        <v>43.46136424916584</v>
      </c>
      <c r="K132" s="252">
        <f t="shared" si="23"/>
        <v>0.23471903028643468</v>
      </c>
      <c r="L132" s="252">
        <f t="shared" si="23"/>
        <v>16.050849637087513</v>
      </c>
      <c r="M132" s="252">
        <f t="shared" si="23"/>
        <v>9.2784776944323119E-2</v>
      </c>
      <c r="N132" s="252">
        <f t="shared" si="23"/>
        <v>6.2561094884431228</v>
      </c>
      <c r="O132" s="252">
        <f t="shared" si="23"/>
        <v>7.7585858535994952</v>
      </c>
      <c r="P132" s="252">
        <f t="shared" si="23"/>
        <v>12.3664656300187</v>
      </c>
      <c r="Q132" s="252">
        <f t="shared" si="23"/>
        <v>1.6815975176895459</v>
      </c>
      <c r="R132" s="252">
        <f t="shared" si="23"/>
        <v>-1.0972944068655444E-2</v>
      </c>
      <c r="S132" s="252">
        <f t="shared" si="23"/>
        <v>-1.6037623535559318E-3</v>
      </c>
      <c r="T132" s="252">
        <f t="shared" si="23"/>
        <v>-0.38819568772308249</v>
      </c>
      <c r="U132" s="252">
        <f t="shared" si="23"/>
        <v>0</v>
      </c>
      <c r="V132" s="252">
        <f t="shared" si="23"/>
        <v>-0.10671749456096893</v>
      </c>
      <c r="W132" s="252">
        <f t="shared" si="23"/>
        <v>0</v>
      </c>
      <c r="X132" s="252">
        <f t="shared" si="23"/>
        <v>-2.4736470538931847</v>
      </c>
      <c r="Y132" s="252">
        <f t="shared" si="23"/>
        <v>0</v>
      </c>
      <c r="AQ132" s="88"/>
    </row>
    <row r="133" spans="3:43" x14ac:dyDescent="0.25">
      <c r="E133" s="96"/>
      <c r="F133" s="293" t="s">
        <v>51</v>
      </c>
      <c r="G133" s="293" t="s">
        <v>102</v>
      </c>
      <c r="J133" s="252">
        <f t="shared" ref="J133:Y133" si="24">J$58 * J39 * J121 / hours_in_year / $H50</f>
        <v>0</v>
      </c>
      <c r="K133" s="252">
        <f t="shared" si="24"/>
        <v>0</v>
      </c>
      <c r="L133" s="252">
        <f t="shared" si="24"/>
        <v>0</v>
      </c>
      <c r="M133" s="252">
        <f t="shared" si="24"/>
        <v>0</v>
      </c>
      <c r="N133" s="252">
        <f t="shared" si="24"/>
        <v>0</v>
      </c>
      <c r="O133" s="252">
        <f t="shared" si="24"/>
        <v>0</v>
      </c>
      <c r="P133" s="252">
        <f t="shared" si="24"/>
        <v>0</v>
      </c>
      <c r="Q133" s="252">
        <f t="shared" si="24"/>
        <v>0</v>
      </c>
      <c r="R133" s="252">
        <f t="shared" si="24"/>
        <v>0</v>
      </c>
      <c r="S133" s="252">
        <f t="shared" si="24"/>
        <v>0</v>
      </c>
      <c r="T133" s="252">
        <f t="shared" si="24"/>
        <v>0</v>
      </c>
      <c r="U133" s="252">
        <f t="shared" si="24"/>
        <v>0</v>
      </c>
      <c r="V133" s="252">
        <f t="shared" si="24"/>
        <v>0</v>
      </c>
      <c r="W133" s="252">
        <f t="shared" si="24"/>
        <v>0</v>
      </c>
      <c r="X133" s="252">
        <f t="shared" si="24"/>
        <v>0</v>
      </c>
      <c r="Y133" s="252">
        <f t="shared" si="24"/>
        <v>0</v>
      </c>
      <c r="AQ133" s="88"/>
    </row>
    <row r="134" spans="3:43" x14ac:dyDescent="0.25">
      <c r="E134" s="96"/>
      <c r="F134" s="293" t="s">
        <v>48</v>
      </c>
      <c r="G134" s="293" t="s">
        <v>102</v>
      </c>
      <c r="J134" s="252">
        <f t="shared" ref="J134:Y134" si="25">J$58 * J40 * J122 / hours_in_year / $H51</f>
        <v>43.000346884902754</v>
      </c>
      <c r="K134" s="252">
        <f t="shared" si="25"/>
        <v>0.23222924307992476</v>
      </c>
      <c r="L134" s="252">
        <f t="shared" si="25"/>
        <v>15.880589901303559</v>
      </c>
      <c r="M134" s="252">
        <f t="shared" si="25"/>
        <v>9.1800560409716028E-2</v>
      </c>
      <c r="N134" s="252">
        <f t="shared" si="25"/>
        <v>6.1897476713043824</v>
      </c>
      <c r="O134" s="252">
        <f t="shared" si="25"/>
        <v>7.6762864858178235</v>
      </c>
      <c r="P134" s="252">
        <f t="shared" si="25"/>
        <v>12.235288077530559</v>
      </c>
      <c r="Q134" s="252">
        <f t="shared" si="25"/>
        <v>1.6637599355346908</v>
      </c>
      <c r="R134" s="252">
        <f t="shared" si="25"/>
        <v>-1.0856548326364983E-2</v>
      </c>
      <c r="S134" s="252">
        <f t="shared" si="25"/>
        <v>-1.5867504095934293E-3</v>
      </c>
      <c r="T134" s="252">
        <f t="shared" si="25"/>
        <v>-0.38407789354279909</v>
      </c>
      <c r="U134" s="252">
        <f t="shared" si="25"/>
        <v>0</v>
      </c>
      <c r="V134" s="252">
        <f t="shared" si="25"/>
        <v>-0.10558548642194227</v>
      </c>
      <c r="W134" s="252">
        <f t="shared" si="25"/>
        <v>0</v>
      </c>
      <c r="X134" s="252">
        <f t="shared" si="25"/>
        <v>0</v>
      </c>
      <c r="Y134" s="252">
        <f t="shared" si="25"/>
        <v>0</v>
      </c>
      <c r="AQ134" s="88"/>
    </row>
    <row r="135" spans="3:43" x14ac:dyDescent="0.25">
      <c r="E135" s="96"/>
      <c r="F135" s="293" t="s">
        <v>49</v>
      </c>
      <c r="G135" s="293" t="s">
        <v>102</v>
      </c>
      <c r="J135" s="252">
        <f t="shared" ref="J135:Y135" si="26">J$58 * J41 * J123 / hours_in_year / $H52</f>
        <v>42.107044116755574</v>
      </c>
      <c r="K135" s="252">
        <f t="shared" si="26"/>
        <v>0.22740483954096505</v>
      </c>
      <c r="L135" s="252">
        <f t="shared" si="26"/>
        <v>15.550681518084788</v>
      </c>
      <c r="M135" s="252">
        <f t="shared" si="26"/>
        <v>8.9893466614613338E-2</v>
      </c>
      <c r="N135" s="252">
        <f t="shared" si="26"/>
        <v>6.0611599009845563</v>
      </c>
      <c r="O135" s="252">
        <f t="shared" si="26"/>
        <v>7.5168168893230245</v>
      </c>
      <c r="P135" s="252">
        <f t="shared" si="26"/>
        <v>0</v>
      </c>
      <c r="Q135" s="252">
        <f t="shared" si="26"/>
        <v>1.6291964618975205</v>
      </c>
      <c r="R135" s="252">
        <f t="shared" si="26"/>
        <v>-1.0631010967365899E-2</v>
      </c>
      <c r="S135" s="252">
        <f t="shared" si="26"/>
        <v>0</v>
      </c>
      <c r="T135" s="252">
        <f t="shared" si="26"/>
        <v>-0.3760989382472924</v>
      </c>
      <c r="U135" s="252">
        <f t="shared" si="26"/>
        <v>0</v>
      </c>
      <c r="V135" s="252">
        <f t="shared" si="26"/>
        <v>0</v>
      </c>
      <c r="W135" s="252">
        <f t="shared" si="26"/>
        <v>0</v>
      </c>
      <c r="X135" s="252">
        <f t="shared" si="26"/>
        <v>0</v>
      </c>
      <c r="Y135" s="252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1">
        <f t="shared" ref="J136:Y136" si="27">J$58 * J42 * J124 / hours_in_year / $H53</f>
        <v>40.244909494263673</v>
      </c>
      <c r="K136" s="271">
        <f t="shared" si="27"/>
        <v>0.21734812732299816</v>
      </c>
      <c r="L136" s="271">
        <f t="shared" si="27"/>
        <v>14.862970873331939</v>
      </c>
      <c r="M136" s="271">
        <f t="shared" si="27"/>
        <v>8.591803352425588E-2</v>
      </c>
      <c r="N136" s="271">
        <f t="shared" si="27"/>
        <v>5.7931122158327106</v>
      </c>
      <c r="O136" s="271">
        <f t="shared" si="27"/>
        <v>0</v>
      </c>
      <c r="P136" s="271">
        <f t="shared" si="27"/>
        <v>0</v>
      </c>
      <c r="Q136" s="271">
        <f t="shared" si="27"/>
        <v>1.5571471598821969</v>
      </c>
      <c r="R136" s="271">
        <f t="shared" si="27"/>
        <v>0</v>
      </c>
      <c r="S136" s="271">
        <f t="shared" si="27"/>
        <v>0</v>
      </c>
      <c r="T136" s="271">
        <f t="shared" si="27"/>
        <v>0</v>
      </c>
      <c r="U136" s="271">
        <f t="shared" si="27"/>
        <v>0</v>
      </c>
      <c r="V136" s="271">
        <f t="shared" si="27"/>
        <v>0</v>
      </c>
      <c r="W136" s="271">
        <f t="shared" si="27"/>
        <v>0</v>
      </c>
      <c r="X136" s="271">
        <f t="shared" si="27"/>
        <v>0</v>
      </c>
      <c r="Y136" s="271">
        <f t="shared" si="27"/>
        <v>0</v>
      </c>
      <c r="AQ136" s="88"/>
    </row>
    <row r="137" spans="3:43" x14ac:dyDescent="0.2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25">
      <c r="C138" s="7" t="str">
        <f ca="1">INDEX('Version control'!$H$34:$H$60,MATCH($A$1,'Version control'!$F$34:$F$60,0),1)&amp;"-C: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2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25">
      <c r="E140" s="96" t="s">
        <v>668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2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7">
        <f t="shared" ref="J142:Y150" si="28">J82 + J105 + J128</f>
        <v>1152.8171078585488</v>
      </c>
      <c r="K142" s="277">
        <f t="shared" si="28"/>
        <v>0.31528842806869062</v>
      </c>
      <c r="L142" s="277">
        <f t="shared" si="28"/>
        <v>313.62419998794104</v>
      </c>
      <c r="M142" s="277">
        <f t="shared" si="28"/>
        <v>0.11269934739210036</v>
      </c>
      <c r="N142" s="277">
        <f t="shared" si="28"/>
        <v>151.22061310217055</v>
      </c>
      <c r="O142" s="277">
        <f t="shared" si="28"/>
        <v>174.98844918751624</v>
      </c>
      <c r="P142" s="277">
        <f t="shared" si="28"/>
        <v>237.44594238383979</v>
      </c>
      <c r="Q142" s="277">
        <f t="shared" si="28"/>
        <v>25.993881257805437</v>
      </c>
      <c r="R142" s="277">
        <f t="shared" si="28"/>
        <v>-0.201197174110473</v>
      </c>
      <c r="S142" s="277">
        <f t="shared" si="28"/>
        <v>-2.7038723921152603E-2</v>
      </c>
      <c r="T142" s="277">
        <f t="shared" si="28"/>
        <v>-6.7554420651711649</v>
      </c>
      <c r="U142" s="277">
        <f t="shared" si="28"/>
        <v>0</v>
      </c>
      <c r="V142" s="277">
        <f t="shared" si="28"/>
        <v>-1.7977079411529324</v>
      </c>
      <c r="W142" s="277">
        <f t="shared" si="28"/>
        <v>0</v>
      </c>
      <c r="X142" s="277">
        <f t="shared" si="28"/>
        <v>-54.260500534436083</v>
      </c>
      <c r="Y142" s="277">
        <f t="shared" si="28"/>
        <v>0</v>
      </c>
      <c r="AQ142" s="88"/>
    </row>
    <row r="143" spans="3:43" x14ac:dyDescent="0.25">
      <c r="C143" s="96"/>
      <c r="F143" s="293" t="s">
        <v>44</v>
      </c>
      <c r="G143" s="293" t="s">
        <v>102</v>
      </c>
      <c r="J143" s="252">
        <f t="shared" si="28"/>
        <v>1147.0816993617402</v>
      </c>
      <c r="K143" s="252">
        <f t="shared" si="28"/>
        <v>0.31371982892407035</v>
      </c>
      <c r="L143" s="252">
        <f t="shared" si="28"/>
        <v>312.06388058501602</v>
      </c>
      <c r="M143" s="252">
        <f t="shared" si="28"/>
        <v>0.1121386541214929</v>
      </c>
      <c r="N143" s="252">
        <f t="shared" si="28"/>
        <v>150.46827174345333</v>
      </c>
      <c r="O143" s="252">
        <f t="shared" si="28"/>
        <v>174.11785988807586</v>
      </c>
      <c r="P143" s="252">
        <f t="shared" si="28"/>
        <v>236.26461928740275</v>
      </c>
      <c r="Q143" s="252">
        <f t="shared" si="28"/>
        <v>25.864558465478051</v>
      </c>
      <c r="R143" s="252">
        <f t="shared" si="28"/>
        <v>-0.20019619314474929</v>
      </c>
      <c r="S143" s="252">
        <f t="shared" si="28"/>
        <v>-2.6904202906619511E-2</v>
      </c>
      <c r="T143" s="252">
        <f t="shared" si="28"/>
        <v>-6.7218329006678266</v>
      </c>
      <c r="U143" s="252">
        <f t="shared" si="28"/>
        <v>0</v>
      </c>
      <c r="V143" s="252">
        <f t="shared" si="28"/>
        <v>-1.7887641205501816</v>
      </c>
      <c r="W143" s="252">
        <f t="shared" si="28"/>
        <v>0</v>
      </c>
      <c r="X143" s="252">
        <f t="shared" si="28"/>
        <v>-53.990547795458795</v>
      </c>
      <c r="Y143" s="252">
        <f t="shared" si="28"/>
        <v>0</v>
      </c>
      <c r="AQ143" s="88"/>
    </row>
    <row r="144" spans="3:43" x14ac:dyDescent="0.25">
      <c r="C144" s="96"/>
      <c r="F144" s="293" t="s">
        <v>45</v>
      </c>
      <c r="G144" s="293" t="s">
        <v>102</v>
      </c>
      <c r="J144" s="252">
        <f t="shared" si="28"/>
        <v>1072.3329146328063</v>
      </c>
      <c r="K144" s="252">
        <f t="shared" si="28"/>
        <v>0.55080035861885779</v>
      </c>
      <c r="L144" s="252">
        <f t="shared" si="28"/>
        <v>318.33659972769306</v>
      </c>
      <c r="M144" s="252">
        <f t="shared" si="28"/>
        <v>0.21401548523936381</v>
      </c>
      <c r="N144" s="252">
        <f t="shared" si="28"/>
        <v>147.89721675440066</v>
      </c>
      <c r="O144" s="252">
        <f t="shared" si="28"/>
        <v>173.69002469247454</v>
      </c>
      <c r="P144" s="252">
        <f t="shared" si="28"/>
        <v>234.86729185094296</v>
      </c>
      <c r="Q144" s="252">
        <f t="shared" si="28"/>
        <v>22.816880899321809</v>
      </c>
      <c r="R144" s="252">
        <f t="shared" si="28"/>
        <v>-0.20190696265461813</v>
      </c>
      <c r="S144" s="252">
        <f t="shared" si="28"/>
        <v>-2.6818112049749002E-2</v>
      </c>
      <c r="T144" s="252">
        <f t="shared" si="28"/>
        <v>-6.7765148996906772</v>
      </c>
      <c r="U144" s="252">
        <f t="shared" si="28"/>
        <v>0</v>
      </c>
      <c r="V144" s="252">
        <f t="shared" si="28"/>
        <v>-1.783282287550737</v>
      </c>
      <c r="W144" s="252">
        <f t="shared" si="28"/>
        <v>0</v>
      </c>
      <c r="X144" s="252">
        <f t="shared" si="28"/>
        <v>-52.037924750623304</v>
      </c>
      <c r="Y144" s="252">
        <f t="shared" si="28"/>
        <v>0</v>
      </c>
      <c r="AQ144" s="88"/>
    </row>
    <row r="145" spans="3:43" x14ac:dyDescent="0.25">
      <c r="C145" s="96"/>
      <c r="F145" s="293" t="s">
        <v>46</v>
      </c>
      <c r="G145" s="293" t="s">
        <v>102</v>
      </c>
      <c r="J145" s="252">
        <f t="shared" si="28"/>
        <v>1066.0126813442043</v>
      </c>
      <c r="K145" s="252">
        <f t="shared" si="28"/>
        <v>0.54755399108279379</v>
      </c>
      <c r="L145" s="252">
        <f t="shared" si="28"/>
        <v>316.460352578021</v>
      </c>
      <c r="M145" s="252">
        <f t="shared" si="28"/>
        <v>0.2127540973106446</v>
      </c>
      <c r="N145" s="252">
        <f t="shared" si="28"/>
        <v>147.02552392480695</v>
      </c>
      <c r="O145" s="252">
        <f t="shared" si="28"/>
        <v>172.6663113838745</v>
      </c>
      <c r="P145" s="252">
        <f t="shared" si="28"/>
        <v>233.48300525850124</v>
      </c>
      <c r="Q145" s="252">
        <f t="shared" si="28"/>
        <v>22.682400265337591</v>
      </c>
      <c r="R145" s="252">
        <f t="shared" si="28"/>
        <v>-0.20071694126372647</v>
      </c>
      <c r="S145" s="252">
        <f t="shared" si="28"/>
        <v>-2.6660048520968555E-2</v>
      </c>
      <c r="T145" s="252">
        <f t="shared" si="28"/>
        <v>-6.7365747332877852</v>
      </c>
      <c r="U145" s="252">
        <f t="shared" si="28"/>
        <v>0</v>
      </c>
      <c r="V145" s="252">
        <f t="shared" si="28"/>
        <v>-1.7727717829089844</v>
      </c>
      <c r="W145" s="252">
        <f t="shared" si="28"/>
        <v>0</v>
      </c>
      <c r="X145" s="252">
        <f t="shared" si="28"/>
        <v>-51.731217924981117</v>
      </c>
      <c r="Y145" s="252">
        <f t="shared" si="28"/>
        <v>0</v>
      </c>
      <c r="AQ145" s="88"/>
    </row>
    <row r="146" spans="3:43" x14ac:dyDescent="0.25">
      <c r="C146" s="96"/>
      <c r="F146" s="293" t="s">
        <v>47</v>
      </c>
      <c r="G146" s="293" t="s">
        <v>102</v>
      </c>
      <c r="J146" s="252">
        <f t="shared" si="28"/>
        <v>1048.8724184008108</v>
      </c>
      <c r="K146" s="252">
        <f t="shared" si="28"/>
        <v>0.47136880109367213</v>
      </c>
      <c r="L146" s="252">
        <f t="shared" si="28"/>
        <v>321.0092155567948</v>
      </c>
      <c r="M146" s="252">
        <f t="shared" si="28"/>
        <v>0.18601075330084085</v>
      </c>
      <c r="N146" s="252">
        <f t="shared" si="28"/>
        <v>147.80636829306215</v>
      </c>
      <c r="O146" s="252">
        <f t="shared" si="28"/>
        <v>174.3506676254448</v>
      </c>
      <c r="P146" s="252">
        <f t="shared" si="28"/>
        <v>233.74746502589096</v>
      </c>
      <c r="Q146" s="252">
        <f t="shared" si="28"/>
        <v>22.586143623607626</v>
      </c>
      <c r="R146" s="252">
        <f t="shared" si="28"/>
        <v>-0.20191277501238819</v>
      </c>
      <c r="S146" s="252">
        <f t="shared" si="28"/>
        <v>-2.6552998235783554E-2</v>
      </c>
      <c r="T146" s="252">
        <f t="shared" si="28"/>
        <v>-6.7579289937029667</v>
      </c>
      <c r="U146" s="252">
        <f t="shared" si="28"/>
        <v>0</v>
      </c>
      <c r="V146" s="252">
        <f t="shared" si="28"/>
        <v>-1.7656934807586571</v>
      </c>
      <c r="W146" s="252">
        <f t="shared" si="28"/>
        <v>0</v>
      </c>
      <c r="X146" s="252">
        <f t="shared" si="28"/>
        <v>-51.308164048024182</v>
      </c>
      <c r="Y146" s="252">
        <f t="shared" si="28"/>
        <v>0</v>
      </c>
      <c r="AQ146" s="88"/>
    </row>
    <row r="147" spans="3:43" x14ac:dyDescent="0.25">
      <c r="C147" s="96"/>
      <c r="F147" s="293" t="s">
        <v>51</v>
      </c>
      <c r="G147" s="293" t="s">
        <v>102</v>
      </c>
      <c r="H147" s="90"/>
      <c r="J147" s="252">
        <f t="shared" si="28"/>
        <v>0</v>
      </c>
      <c r="K147" s="252">
        <f t="shared" si="28"/>
        <v>0</v>
      </c>
      <c r="L147" s="252">
        <f t="shared" si="28"/>
        <v>0</v>
      </c>
      <c r="M147" s="252">
        <f t="shared" si="28"/>
        <v>0</v>
      </c>
      <c r="N147" s="252">
        <f t="shared" si="28"/>
        <v>0</v>
      </c>
      <c r="O147" s="252">
        <f t="shared" si="28"/>
        <v>0</v>
      </c>
      <c r="P147" s="252">
        <f t="shared" si="28"/>
        <v>0</v>
      </c>
      <c r="Q147" s="252">
        <f t="shared" si="28"/>
        <v>0</v>
      </c>
      <c r="R147" s="252">
        <f t="shared" si="28"/>
        <v>0</v>
      </c>
      <c r="S147" s="252">
        <f t="shared" si="28"/>
        <v>0</v>
      </c>
      <c r="T147" s="252">
        <f t="shared" si="28"/>
        <v>0</v>
      </c>
      <c r="U147" s="252">
        <f t="shared" si="28"/>
        <v>0</v>
      </c>
      <c r="V147" s="252">
        <f t="shared" si="28"/>
        <v>0</v>
      </c>
      <c r="W147" s="252">
        <f t="shared" si="28"/>
        <v>0</v>
      </c>
      <c r="X147" s="252">
        <f t="shared" si="28"/>
        <v>0</v>
      </c>
      <c r="Y147" s="252">
        <f t="shared" si="28"/>
        <v>0</v>
      </c>
      <c r="AQ147" s="88"/>
    </row>
    <row r="148" spans="3:43" x14ac:dyDescent="0.25">
      <c r="C148" s="96"/>
      <c r="F148" s="293" t="s">
        <v>48</v>
      </c>
      <c r="G148" s="293" t="s">
        <v>102</v>
      </c>
      <c r="J148" s="252">
        <f t="shared" si="28"/>
        <v>1037.7464814650259</v>
      </c>
      <c r="K148" s="252">
        <f t="shared" si="28"/>
        <v>0.46636874630868624</v>
      </c>
      <c r="L148" s="252">
        <f t="shared" si="28"/>
        <v>317.60410333777384</v>
      </c>
      <c r="M148" s="252">
        <f t="shared" si="28"/>
        <v>0.18403764019928903</v>
      </c>
      <c r="N148" s="252">
        <f>N88 + N111 + N134</f>
        <v>146.23850903440868</v>
      </c>
      <c r="O148" s="252">
        <f t="shared" si="28"/>
        <v>172.50123913568601</v>
      </c>
      <c r="P148" s="252">
        <f t="shared" si="28"/>
        <v>231.26798371896254</v>
      </c>
      <c r="Q148" s="252">
        <f t="shared" si="28"/>
        <v>22.346560615064057</v>
      </c>
      <c r="R148" s="252">
        <f t="shared" si="28"/>
        <v>-0.19977098087050174</v>
      </c>
      <c r="S148" s="252">
        <f t="shared" si="28"/>
        <v>-2.6271336730871678E-2</v>
      </c>
      <c r="T148" s="252">
        <f t="shared" si="28"/>
        <v>-6.6862441152741026</v>
      </c>
      <c r="U148" s="252">
        <f t="shared" si="28"/>
        <v>0</v>
      </c>
      <c r="V148" s="252">
        <f t="shared" si="28"/>
        <v>-1.7469638488508989</v>
      </c>
      <c r="W148" s="252">
        <f t="shared" si="28"/>
        <v>0</v>
      </c>
      <c r="X148" s="252">
        <f t="shared" si="28"/>
        <v>0</v>
      </c>
      <c r="Y148" s="252">
        <f t="shared" si="28"/>
        <v>0</v>
      </c>
      <c r="AQ148" s="88"/>
    </row>
    <row r="149" spans="3:43" x14ac:dyDescent="0.25">
      <c r="C149" s="96"/>
      <c r="F149" s="293" t="s">
        <v>49</v>
      </c>
      <c r="G149" s="293" t="s">
        <v>102</v>
      </c>
      <c r="J149" s="252">
        <f t="shared" si="28"/>
        <v>1016.1880087622587</v>
      </c>
      <c r="K149" s="252">
        <f t="shared" si="28"/>
        <v>0.45668025488395436</v>
      </c>
      <c r="L149" s="252">
        <f t="shared" si="28"/>
        <v>311.00609552527993</v>
      </c>
      <c r="M149" s="252">
        <f t="shared" si="28"/>
        <v>0.18021438421781183</v>
      </c>
      <c r="N149" s="252">
        <f t="shared" si="28"/>
        <v>143.20050412528971</v>
      </c>
      <c r="O149" s="252">
        <f t="shared" si="28"/>
        <v>168.91764398839126</v>
      </c>
      <c r="P149" s="252">
        <f t="shared" si="28"/>
        <v>0</v>
      </c>
      <c r="Q149" s="252">
        <f t="shared" si="28"/>
        <v>21.882326116922972</v>
      </c>
      <c r="R149" s="252">
        <f t="shared" si="28"/>
        <v>-0.19562087550775287</v>
      </c>
      <c r="S149" s="252">
        <f t="shared" si="28"/>
        <v>0</v>
      </c>
      <c r="T149" s="252">
        <f t="shared" si="28"/>
        <v>-6.5473419712363023</v>
      </c>
      <c r="U149" s="252">
        <f t="shared" si="28"/>
        <v>0</v>
      </c>
      <c r="V149" s="252">
        <f t="shared" si="28"/>
        <v>0</v>
      </c>
      <c r="W149" s="252">
        <f t="shared" si="28"/>
        <v>0</v>
      </c>
      <c r="X149" s="252">
        <f t="shared" si="28"/>
        <v>0</v>
      </c>
      <c r="Y149" s="252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1">
        <f t="shared" si="28"/>
        <v>971.24828635309734</v>
      </c>
      <c r="K150" s="271">
        <f t="shared" si="28"/>
        <v>0.43648410642789492</v>
      </c>
      <c r="L150" s="271">
        <f t="shared" si="28"/>
        <v>297.25221584952294</v>
      </c>
      <c r="M150" s="271">
        <f t="shared" si="28"/>
        <v>0.17224461451864864</v>
      </c>
      <c r="N150" s="271">
        <f t="shared" si="28"/>
        <v>136.86762984538066</v>
      </c>
      <c r="O150" s="271">
        <f t="shared" si="28"/>
        <v>0</v>
      </c>
      <c r="P150" s="271">
        <f t="shared" si="28"/>
        <v>0</v>
      </c>
      <c r="Q150" s="271">
        <f t="shared" si="28"/>
        <v>20.914605918611393</v>
      </c>
      <c r="R150" s="271">
        <f t="shared" si="28"/>
        <v>0</v>
      </c>
      <c r="S150" s="271">
        <f t="shared" si="28"/>
        <v>0</v>
      </c>
      <c r="T150" s="271">
        <f t="shared" si="28"/>
        <v>0</v>
      </c>
      <c r="U150" s="271">
        <f t="shared" si="28"/>
        <v>0</v>
      </c>
      <c r="V150" s="271">
        <f t="shared" si="28"/>
        <v>0</v>
      </c>
      <c r="W150" s="271">
        <f t="shared" si="28"/>
        <v>0</v>
      </c>
      <c r="X150" s="271">
        <f t="shared" si="28"/>
        <v>0</v>
      </c>
      <c r="Y150" s="271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667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615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4">
        <f t="shared" ref="H154:H162" si="29">SUM(J142:Y142) * thousand</f>
        <v>1993476.2951144904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3" t="s">
        <v>44</v>
      </c>
      <c r="G155" s="293" t="s">
        <v>113</v>
      </c>
      <c r="H155" s="256">
        <f t="shared" si="29"/>
        <v>1983558.5026014838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3" t="s">
        <v>45</v>
      </c>
      <c r="G156" s="293" t="s">
        <v>113</v>
      </c>
      <c r="H156" s="256">
        <f t="shared" si="29"/>
        <v>1909879.2973889282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3" t="s">
        <v>46</v>
      </c>
      <c r="G157" s="293" t="s">
        <v>113</v>
      </c>
      <c r="H157" s="256">
        <f t="shared" si="29"/>
        <v>1898622.6414121764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3" t="s">
        <v>47</v>
      </c>
      <c r="G158" s="293" t="s">
        <v>113</v>
      </c>
      <c r="H158" s="256">
        <f t="shared" si="29"/>
        <v>1888969.4057842717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3" t="s">
        <v>51</v>
      </c>
      <c r="G159" s="293" t="s">
        <v>113</v>
      </c>
      <c r="H159" s="256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3" t="s">
        <v>48</v>
      </c>
      <c r="G160" s="293" t="s">
        <v>113</v>
      </c>
      <c r="H160" s="256">
        <f t="shared" si="29"/>
        <v>1919696.0334117028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3" t="s">
        <v>49</v>
      </c>
      <c r="G161" s="293" t="s">
        <v>113</v>
      </c>
      <c r="H161" s="256">
        <f t="shared" si="29"/>
        <v>1655088.5103105002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8">
        <f t="shared" si="29"/>
        <v>1426891.4666875589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control'!$H$34:$H$60,MATCH($A$1,'Version control'!$F$34:$F$60,0),1)&amp;"-D: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799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527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7">
        <f t="shared" ref="J168:Y176" si="30">J142 * (1 - J23)</f>
        <v>1152.8171078585488</v>
      </c>
      <c r="K168" s="277">
        <f t="shared" si="30"/>
        <v>0.31528842806869062</v>
      </c>
      <c r="L168" s="277">
        <f t="shared" si="30"/>
        <v>313.62419998794104</v>
      </c>
      <c r="M168" s="277">
        <f t="shared" si="30"/>
        <v>0.11269934739210036</v>
      </c>
      <c r="N168" s="277">
        <f t="shared" si="30"/>
        <v>151.22061310217055</v>
      </c>
      <c r="O168" s="277">
        <f t="shared" si="30"/>
        <v>174.98844918751624</v>
      </c>
      <c r="P168" s="277">
        <f t="shared" si="30"/>
        <v>237.44594238383979</v>
      </c>
      <c r="Q168" s="277">
        <f t="shared" si="30"/>
        <v>25.993881257805437</v>
      </c>
      <c r="R168" s="277">
        <f t="shared" si="30"/>
        <v>-0.201197174110473</v>
      </c>
      <c r="S168" s="277">
        <f t="shared" si="30"/>
        <v>-2.7038723921152603E-2</v>
      </c>
      <c r="T168" s="277">
        <f t="shared" si="30"/>
        <v>-6.7554420651711649</v>
      </c>
      <c r="U168" s="277">
        <f t="shared" si="30"/>
        <v>0</v>
      </c>
      <c r="V168" s="277">
        <f t="shared" si="30"/>
        <v>-1.7977079411529324</v>
      </c>
      <c r="W168" s="277">
        <f t="shared" si="30"/>
        <v>0</v>
      </c>
      <c r="X168" s="277">
        <f t="shared" si="30"/>
        <v>-54.260500534436083</v>
      </c>
      <c r="Y168" s="277">
        <f t="shared" si="30"/>
        <v>0</v>
      </c>
      <c r="AQ168" s="88"/>
    </row>
    <row r="169" spans="3:43" x14ac:dyDescent="0.25">
      <c r="C169" s="96"/>
      <c r="F169" s="293" t="s">
        <v>44</v>
      </c>
      <c r="G169" s="293" t="s">
        <v>102</v>
      </c>
      <c r="H169" s="90"/>
      <c r="J169" s="252">
        <f t="shared" si="30"/>
        <v>1147.0816993617402</v>
      </c>
      <c r="K169" s="252">
        <f t="shared" si="30"/>
        <v>0.31371982892407035</v>
      </c>
      <c r="L169" s="252">
        <f t="shared" si="30"/>
        <v>312.06388058501602</v>
      </c>
      <c r="M169" s="252">
        <f t="shared" si="30"/>
        <v>0.1121386541214929</v>
      </c>
      <c r="N169" s="252">
        <f t="shared" si="30"/>
        <v>150.46827174345333</v>
      </c>
      <c r="O169" s="252">
        <f t="shared" si="30"/>
        <v>174.11785988807586</v>
      </c>
      <c r="P169" s="252">
        <f t="shared" si="30"/>
        <v>236.26461928740275</v>
      </c>
      <c r="Q169" s="252">
        <f t="shared" si="30"/>
        <v>25.864558465478051</v>
      </c>
      <c r="R169" s="252">
        <f t="shared" si="30"/>
        <v>-0.20019619314474929</v>
      </c>
      <c r="S169" s="252">
        <f t="shared" si="30"/>
        <v>-2.6904202906619511E-2</v>
      </c>
      <c r="T169" s="252">
        <f t="shared" si="30"/>
        <v>-6.7218329006678266</v>
      </c>
      <c r="U169" s="252">
        <f t="shared" si="30"/>
        <v>0</v>
      </c>
      <c r="V169" s="252">
        <f t="shared" si="30"/>
        <v>-1.7887641205501816</v>
      </c>
      <c r="W169" s="252">
        <f t="shared" si="30"/>
        <v>0</v>
      </c>
      <c r="X169" s="252">
        <f t="shared" si="30"/>
        <v>-53.990547795458795</v>
      </c>
      <c r="Y169" s="252">
        <f t="shared" si="30"/>
        <v>0</v>
      </c>
      <c r="AQ169" s="88"/>
    </row>
    <row r="170" spans="3:43" x14ac:dyDescent="0.25">
      <c r="C170" s="96"/>
      <c r="F170" s="293" t="s">
        <v>45</v>
      </c>
      <c r="G170" s="293" t="s">
        <v>102</v>
      </c>
      <c r="H170" s="90"/>
      <c r="J170" s="252">
        <f t="shared" si="30"/>
        <v>1072.3329146328063</v>
      </c>
      <c r="K170" s="252">
        <f t="shared" si="30"/>
        <v>0.55080035861885779</v>
      </c>
      <c r="L170" s="252">
        <f t="shared" si="30"/>
        <v>318.33659972769306</v>
      </c>
      <c r="M170" s="252">
        <f t="shared" si="30"/>
        <v>0.21401548523936381</v>
      </c>
      <c r="N170" s="252">
        <f t="shared" si="30"/>
        <v>147.89721675440066</v>
      </c>
      <c r="O170" s="252">
        <f t="shared" si="30"/>
        <v>173.69002469247454</v>
      </c>
      <c r="P170" s="252">
        <f t="shared" si="30"/>
        <v>234.86729185094296</v>
      </c>
      <c r="Q170" s="252">
        <f t="shared" si="30"/>
        <v>22.816880899321809</v>
      </c>
      <c r="R170" s="252">
        <f t="shared" si="30"/>
        <v>-0.20190696265461813</v>
      </c>
      <c r="S170" s="252">
        <f t="shared" si="30"/>
        <v>-2.6818112049749002E-2</v>
      </c>
      <c r="T170" s="252">
        <f t="shared" si="30"/>
        <v>-6.7765148996906772</v>
      </c>
      <c r="U170" s="252">
        <f t="shared" si="30"/>
        <v>0</v>
      </c>
      <c r="V170" s="252">
        <f t="shared" si="30"/>
        <v>-1.783282287550737</v>
      </c>
      <c r="W170" s="252">
        <f t="shared" si="30"/>
        <v>0</v>
      </c>
      <c r="X170" s="252">
        <f t="shared" si="30"/>
        <v>-52.037924750623304</v>
      </c>
      <c r="Y170" s="252">
        <f t="shared" si="30"/>
        <v>0</v>
      </c>
      <c r="AQ170" s="88"/>
    </row>
    <row r="171" spans="3:43" x14ac:dyDescent="0.25">
      <c r="C171" s="96"/>
      <c r="F171" s="293" t="s">
        <v>46</v>
      </c>
      <c r="G171" s="293" t="s">
        <v>102</v>
      </c>
      <c r="H171" s="90"/>
      <c r="J171" s="252">
        <f t="shared" si="30"/>
        <v>1066.0126813442043</v>
      </c>
      <c r="K171" s="252">
        <f t="shared" si="30"/>
        <v>0.54755399108279379</v>
      </c>
      <c r="L171" s="252">
        <f t="shared" si="30"/>
        <v>316.460352578021</v>
      </c>
      <c r="M171" s="252">
        <f t="shared" si="30"/>
        <v>0.2127540973106446</v>
      </c>
      <c r="N171" s="252">
        <f t="shared" si="30"/>
        <v>147.02552392480695</v>
      </c>
      <c r="O171" s="252">
        <f t="shared" si="30"/>
        <v>172.6663113838745</v>
      </c>
      <c r="P171" s="252">
        <f t="shared" si="30"/>
        <v>186.786404206801</v>
      </c>
      <c r="Q171" s="252">
        <f t="shared" si="30"/>
        <v>22.682400265337591</v>
      </c>
      <c r="R171" s="252">
        <f t="shared" si="30"/>
        <v>-0.20071694126372647</v>
      </c>
      <c r="S171" s="252">
        <f t="shared" si="30"/>
        <v>-2.6660048520968555E-2</v>
      </c>
      <c r="T171" s="252">
        <f t="shared" si="30"/>
        <v>-6.7365747332877852</v>
      </c>
      <c r="U171" s="252">
        <f t="shared" si="30"/>
        <v>0</v>
      </c>
      <c r="V171" s="252">
        <f t="shared" si="30"/>
        <v>-1.7727717829089844</v>
      </c>
      <c r="W171" s="252">
        <f t="shared" si="30"/>
        <v>0</v>
      </c>
      <c r="X171" s="252">
        <f t="shared" si="30"/>
        <v>-51.731217924981117</v>
      </c>
      <c r="Y171" s="252">
        <f t="shared" si="30"/>
        <v>0</v>
      </c>
      <c r="AQ171" s="88"/>
    </row>
    <row r="172" spans="3:43" x14ac:dyDescent="0.25">
      <c r="C172" s="96"/>
      <c r="F172" s="293" t="s">
        <v>47</v>
      </c>
      <c r="G172" s="293" t="s">
        <v>102</v>
      </c>
      <c r="H172" s="90"/>
      <c r="J172" s="252">
        <f t="shared" si="30"/>
        <v>1048.8724184008108</v>
      </c>
      <c r="K172" s="252">
        <f t="shared" si="30"/>
        <v>0.47136880109367213</v>
      </c>
      <c r="L172" s="252">
        <f t="shared" si="30"/>
        <v>321.0092155567948</v>
      </c>
      <c r="M172" s="252">
        <f t="shared" si="30"/>
        <v>0.18601075330084085</v>
      </c>
      <c r="N172" s="252">
        <f t="shared" si="30"/>
        <v>147.80636829306215</v>
      </c>
      <c r="O172" s="252">
        <f t="shared" si="30"/>
        <v>174.3506676254448</v>
      </c>
      <c r="P172" s="252">
        <f t="shared" si="30"/>
        <v>0</v>
      </c>
      <c r="Q172" s="252">
        <f t="shared" si="30"/>
        <v>22.586143623607626</v>
      </c>
      <c r="R172" s="252">
        <f t="shared" si="30"/>
        <v>-0.20191277501238819</v>
      </c>
      <c r="S172" s="252">
        <f t="shared" si="30"/>
        <v>-2.6552998235783554E-2</v>
      </c>
      <c r="T172" s="252">
        <f t="shared" si="30"/>
        <v>-6.7579289937029667</v>
      </c>
      <c r="U172" s="252">
        <f t="shared" si="30"/>
        <v>0</v>
      </c>
      <c r="V172" s="252">
        <f t="shared" si="30"/>
        <v>-1.7656934807586571</v>
      </c>
      <c r="W172" s="252">
        <f t="shared" si="30"/>
        <v>0</v>
      </c>
      <c r="X172" s="252">
        <f t="shared" si="30"/>
        <v>-51.308164048024182</v>
      </c>
      <c r="Y172" s="252">
        <f t="shared" si="30"/>
        <v>0</v>
      </c>
      <c r="AQ172" s="88"/>
    </row>
    <row r="173" spans="3:43" x14ac:dyDescent="0.25">
      <c r="C173" s="96"/>
      <c r="F173" s="293" t="s">
        <v>51</v>
      </c>
      <c r="G173" s="293" t="s">
        <v>102</v>
      </c>
      <c r="H173" s="90"/>
      <c r="J173" s="252">
        <f t="shared" si="30"/>
        <v>0</v>
      </c>
      <c r="K173" s="252">
        <f t="shared" si="30"/>
        <v>0</v>
      </c>
      <c r="L173" s="252">
        <f t="shared" si="30"/>
        <v>0</v>
      </c>
      <c r="M173" s="252">
        <f t="shared" si="30"/>
        <v>0</v>
      </c>
      <c r="N173" s="252">
        <f t="shared" si="30"/>
        <v>0</v>
      </c>
      <c r="O173" s="252">
        <f t="shared" si="30"/>
        <v>0</v>
      </c>
      <c r="P173" s="252">
        <f t="shared" si="30"/>
        <v>0</v>
      </c>
      <c r="Q173" s="252">
        <f t="shared" si="30"/>
        <v>0</v>
      </c>
      <c r="R173" s="252">
        <f t="shared" si="30"/>
        <v>0</v>
      </c>
      <c r="S173" s="252">
        <f t="shared" si="30"/>
        <v>0</v>
      </c>
      <c r="T173" s="252">
        <f t="shared" si="30"/>
        <v>0</v>
      </c>
      <c r="U173" s="252">
        <f t="shared" si="30"/>
        <v>0</v>
      </c>
      <c r="V173" s="252">
        <f t="shared" si="30"/>
        <v>0</v>
      </c>
      <c r="W173" s="252">
        <f t="shared" si="30"/>
        <v>0</v>
      </c>
      <c r="X173" s="252">
        <f t="shared" si="30"/>
        <v>0</v>
      </c>
      <c r="Y173" s="252">
        <f t="shared" si="30"/>
        <v>0</v>
      </c>
      <c r="AQ173" s="88"/>
    </row>
    <row r="174" spans="3:43" x14ac:dyDescent="0.25">
      <c r="C174" s="96"/>
      <c r="F174" s="293" t="s">
        <v>48</v>
      </c>
      <c r="G174" s="293" t="s">
        <v>102</v>
      </c>
      <c r="H174" s="90"/>
      <c r="J174" s="252">
        <f t="shared" si="30"/>
        <v>1037.7464814650259</v>
      </c>
      <c r="K174" s="252">
        <f t="shared" si="30"/>
        <v>0.46636874630868624</v>
      </c>
      <c r="L174" s="252">
        <f t="shared" si="30"/>
        <v>317.60410333777384</v>
      </c>
      <c r="M174" s="252">
        <f t="shared" si="30"/>
        <v>0.18403764019928903</v>
      </c>
      <c r="N174" s="252">
        <f t="shared" si="30"/>
        <v>116.99080722752694</v>
      </c>
      <c r="O174" s="252">
        <f t="shared" si="30"/>
        <v>0</v>
      </c>
      <c r="P174" s="252">
        <f t="shared" si="30"/>
        <v>0</v>
      </c>
      <c r="Q174" s="252">
        <f t="shared" si="30"/>
        <v>22.346560615064057</v>
      </c>
      <c r="R174" s="252">
        <f t="shared" si="30"/>
        <v>-0.19977098087050174</v>
      </c>
      <c r="S174" s="252">
        <f t="shared" si="30"/>
        <v>-2.6271336730871678E-2</v>
      </c>
      <c r="T174" s="252">
        <f t="shared" si="30"/>
        <v>-6.6862441152741026</v>
      </c>
      <c r="U174" s="252">
        <f t="shared" si="30"/>
        <v>0</v>
      </c>
      <c r="V174" s="252">
        <f t="shared" si="30"/>
        <v>-1.7469638488508989</v>
      </c>
      <c r="W174" s="252">
        <f t="shared" si="30"/>
        <v>0</v>
      </c>
      <c r="X174" s="252">
        <f t="shared" si="30"/>
        <v>0</v>
      </c>
      <c r="Y174" s="252">
        <f t="shared" si="30"/>
        <v>0</v>
      </c>
      <c r="AQ174" s="88"/>
    </row>
    <row r="175" spans="3:43" x14ac:dyDescent="0.25">
      <c r="C175" s="96"/>
      <c r="F175" s="293" t="s">
        <v>49</v>
      </c>
      <c r="G175" s="293" t="s">
        <v>102</v>
      </c>
      <c r="H175" s="90"/>
      <c r="J175" s="252">
        <f t="shared" si="30"/>
        <v>1016.1880087622587</v>
      </c>
      <c r="K175" s="252">
        <f t="shared" si="30"/>
        <v>0.45668025488395436</v>
      </c>
      <c r="L175" s="252">
        <f t="shared" si="30"/>
        <v>311.00609552527993</v>
      </c>
      <c r="M175" s="252">
        <f t="shared" si="30"/>
        <v>0.18021438421781183</v>
      </c>
      <c r="N175" s="252">
        <f t="shared" si="30"/>
        <v>0</v>
      </c>
      <c r="O175" s="252">
        <f t="shared" si="30"/>
        <v>0</v>
      </c>
      <c r="P175" s="252">
        <f t="shared" si="30"/>
        <v>0</v>
      </c>
      <c r="Q175" s="252">
        <f t="shared" si="30"/>
        <v>21.882326116922972</v>
      </c>
      <c r="R175" s="252">
        <f t="shared" si="30"/>
        <v>-0.19562087550775287</v>
      </c>
      <c r="S175" s="252">
        <f t="shared" si="30"/>
        <v>0</v>
      </c>
      <c r="T175" s="252">
        <f t="shared" si="30"/>
        <v>-6.5473419712363023</v>
      </c>
      <c r="U175" s="252">
        <f t="shared" si="30"/>
        <v>0</v>
      </c>
      <c r="V175" s="252">
        <f t="shared" si="30"/>
        <v>0</v>
      </c>
      <c r="W175" s="252">
        <f t="shared" si="30"/>
        <v>0</v>
      </c>
      <c r="X175" s="252">
        <f t="shared" si="30"/>
        <v>0</v>
      </c>
      <c r="Y175" s="252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1">
        <f t="shared" si="30"/>
        <v>0</v>
      </c>
      <c r="K176" s="271">
        <f t="shared" si="30"/>
        <v>0</v>
      </c>
      <c r="L176" s="271">
        <f t="shared" si="30"/>
        <v>0</v>
      </c>
      <c r="M176" s="271">
        <f t="shared" si="30"/>
        <v>0</v>
      </c>
      <c r="N176" s="271">
        <f t="shared" si="30"/>
        <v>0</v>
      </c>
      <c r="O176" s="271">
        <f t="shared" si="30"/>
        <v>0</v>
      </c>
      <c r="P176" s="271">
        <f t="shared" si="30"/>
        <v>0</v>
      </c>
      <c r="Q176" s="271">
        <f t="shared" si="30"/>
        <v>20.914605918611393</v>
      </c>
      <c r="R176" s="271">
        <f t="shared" si="30"/>
        <v>0</v>
      </c>
      <c r="S176" s="271">
        <f t="shared" si="30"/>
        <v>0</v>
      </c>
      <c r="T176" s="271">
        <f t="shared" si="30"/>
        <v>0</v>
      </c>
      <c r="U176" s="271">
        <f t="shared" si="30"/>
        <v>0</v>
      </c>
      <c r="V176" s="271">
        <f t="shared" si="30"/>
        <v>0</v>
      </c>
      <c r="W176" s="271">
        <f t="shared" si="30"/>
        <v>0</v>
      </c>
      <c r="X176" s="271">
        <f t="shared" si="30"/>
        <v>0</v>
      </c>
      <c r="Y176" s="271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0">
        <f t="shared" ref="J177:Y177" si="31">SUM(J168:J176)</f>
        <v>7541.0513118253939</v>
      </c>
      <c r="K177" s="280">
        <f t="shared" si="31"/>
        <v>3.1217804089807251</v>
      </c>
      <c r="L177" s="280">
        <f t="shared" si="31"/>
        <v>2210.1044472985195</v>
      </c>
      <c r="M177" s="280">
        <f t="shared" si="31"/>
        <v>1.2018703617815436</v>
      </c>
      <c r="N177" s="280">
        <f t="shared" si="31"/>
        <v>861.40880104542066</v>
      </c>
      <c r="O177" s="280">
        <f t="shared" si="31"/>
        <v>869.81331277738593</v>
      </c>
      <c r="P177" s="280">
        <f t="shared" si="31"/>
        <v>895.36425772898644</v>
      </c>
      <c r="Q177" s="280">
        <f t="shared" si="31"/>
        <v>185.08735716214892</v>
      </c>
      <c r="R177" s="280">
        <f t="shared" si="31"/>
        <v>-1.4013219025642096</v>
      </c>
      <c r="S177" s="280">
        <f t="shared" si="31"/>
        <v>-0.16024542236514489</v>
      </c>
      <c r="T177" s="280">
        <f t="shared" si="31"/>
        <v>-46.981879679030818</v>
      </c>
      <c r="U177" s="280">
        <f t="shared" si="31"/>
        <v>0</v>
      </c>
      <c r="V177" s="280">
        <f t="shared" si="31"/>
        <v>-10.655183461772392</v>
      </c>
      <c r="W177" s="280">
        <f t="shared" si="31"/>
        <v>0</v>
      </c>
      <c r="X177" s="280">
        <f t="shared" si="31"/>
        <v>-263.32835505352347</v>
      </c>
      <c r="Y177" s="280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716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control'!$H$34:$H$60,MATCH($A$1,'Version control'!$F$34:$F$60,0),1)&amp;"-E: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579907.1427718153</v>
      </c>
      <c r="O188" s="273">
        <f>'Volume adjustments'!O286</f>
        <v>576602.81930130243</v>
      </c>
      <c r="P188" s="273">
        <f>'Volume adjustments'!P286</f>
        <v>682796.90365328116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2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12378.807034927611</v>
      </c>
      <c r="O189" s="273">
        <f>'Volume adjustments'!O297</f>
        <v>13271</v>
      </c>
      <c r="P189" s="273">
        <f>'Volume adjustments'!P297</f>
        <v>11177.654620455787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2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2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592285.94980674295</v>
      </c>
      <c r="O191" s="252">
        <f t="shared" si="32"/>
        <v>589873.81930130243</v>
      </c>
      <c r="P191" s="252">
        <f t="shared" si="32"/>
        <v>693974.55827373697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2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562.67165231640581</v>
      </c>
      <c r="O192" s="252">
        <f t="shared" si="33"/>
        <v>560.38012833623725</v>
      </c>
      <c r="P192" s="252">
        <f t="shared" si="33"/>
        <v>659.27583036005012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control'!$H$34:$H$60,MATCH($A$1,'Version control'!$F$34:$F$60,0),1)&amp;"-F: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717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3" t="s">
        <v>448</v>
      </c>
      <c r="G198" s="293" t="s">
        <v>174</v>
      </c>
      <c r="H198" s="83"/>
      <c r="I198" s="293" t="s">
        <v>359</v>
      </c>
      <c r="J198" s="396" t="b">
        <f>'Fixed inputs'!J131</f>
        <v>1</v>
      </c>
      <c r="K198" s="396" t="b">
        <f>'Fixed inputs'!K131</f>
        <v>0</v>
      </c>
      <c r="L198" s="396" t="b">
        <f>'Fixed inputs'!L131</f>
        <v>1</v>
      </c>
      <c r="M198" s="396" t="b">
        <f>'Fixed inputs'!M131</f>
        <v>0</v>
      </c>
      <c r="N198" s="396" t="b">
        <f>'Fixed inputs'!N131</f>
        <v>1</v>
      </c>
      <c r="O198" s="396" t="b">
        <f>'Fixed inputs'!O131</f>
        <v>1</v>
      </c>
      <c r="P198" s="396" t="b">
        <f>'Fixed inputs'!P131</f>
        <v>1</v>
      </c>
      <c r="Q198" s="396" t="b">
        <f>'Fixed inputs'!Q131</f>
        <v>1</v>
      </c>
      <c r="R198" s="396" t="b">
        <f>'Fixed inputs'!R131</f>
        <v>1</v>
      </c>
      <c r="S198" s="396" t="b">
        <f>'Fixed inputs'!S131</f>
        <v>1</v>
      </c>
      <c r="T198" s="396" t="b">
        <f>'Fixed inputs'!T131</f>
        <v>1</v>
      </c>
      <c r="U198" s="396" t="b">
        <f>'Fixed inputs'!U131</f>
        <v>1</v>
      </c>
      <c r="V198" s="396" t="b">
        <f>'Fixed inputs'!V131</f>
        <v>1</v>
      </c>
      <c r="W198" s="396" t="b">
        <f>'Fixed inputs'!W131</f>
        <v>1</v>
      </c>
      <c r="X198" s="396" t="b">
        <f>'Fixed inputs'!X131</f>
        <v>1</v>
      </c>
      <c r="Y198" s="396" t="b">
        <f>'Fixed inputs'!Y131</f>
        <v>1</v>
      </c>
      <c r="AA198" s="293" t="s">
        <v>718</v>
      </c>
    </row>
    <row r="199" spans="3:43" x14ac:dyDescent="0.25">
      <c r="D199" s="96"/>
      <c r="H199" s="397"/>
      <c r="J199" s="90"/>
      <c r="L199" s="90"/>
      <c r="AQ199" s="88"/>
    </row>
    <row r="200" spans="3:43" x14ac:dyDescent="0.2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1297.1811392032987</v>
      </c>
      <c r="K200" s="256">
        <f t="shared" si="34"/>
        <v>10.945522251202288</v>
      </c>
      <c r="L200" s="256">
        <f t="shared" si="34"/>
        <v>386.22286626394623</v>
      </c>
      <c r="M200" s="256">
        <f t="shared" si="34"/>
        <v>2.6883229243072342</v>
      </c>
      <c r="N200" s="256">
        <f t="shared" si="34"/>
        <v>167.93021264395929</v>
      </c>
      <c r="O200" s="256">
        <f t="shared" si="34"/>
        <v>215.65352439243728</v>
      </c>
      <c r="P200" s="256">
        <f t="shared" si="34"/>
        <v>272.85503303289823</v>
      </c>
      <c r="Q200" s="256">
        <f t="shared" si="34"/>
        <v>37.899567164440015</v>
      </c>
      <c r="R200" s="373"/>
      <c r="S200" s="373"/>
      <c r="T200" s="373"/>
      <c r="U200" s="373"/>
      <c r="V200" s="373"/>
      <c r="W200" s="373"/>
      <c r="X200" s="373"/>
      <c r="Y200" s="373"/>
      <c r="AA200" s="293" t="s">
        <v>718</v>
      </c>
      <c r="AQ200" s="88"/>
    </row>
    <row r="201" spans="3:43" x14ac:dyDescent="0.2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3" t="s">
        <v>311</v>
      </c>
      <c r="G202" s="293" t="s">
        <v>102</v>
      </c>
      <c r="H202" s="90"/>
      <c r="I202" s="293" t="s">
        <v>359</v>
      </c>
      <c r="J202" s="252">
        <f t="shared" ref="J202:Y202" si="35">J192 * J42 / $H53</f>
        <v>0</v>
      </c>
      <c r="K202" s="252">
        <f t="shared" si="35"/>
        <v>0</v>
      </c>
      <c r="L202" s="252">
        <f t="shared" si="35"/>
        <v>0</v>
      </c>
      <c r="M202" s="252">
        <f t="shared" si="35"/>
        <v>0</v>
      </c>
      <c r="N202" s="252">
        <f t="shared" si="35"/>
        <v>562.67165231640581</v>
      </c>
      <c r="O202" s="252">
        <f t="shared" si="35"/>
        <v>0</v>
      </c>
      <c r="P202" s="252">
        <f t="shared" si="35"/>
        <v>0</v>
      </c>
      <c r="Q202" s="252">
        <f t="shared" si="35"/>
        <v>0</v>
      </c>
      <c r="R202" s="252">
        <f t="shared" si="35"/>
        <v>0</v>
      </c>
      <c r="S202" s="252">
        <f t="shared" si="35"/>
        <v>0</v>
      </c>
      <c r="T202" s="252">
        <f t="shared" si="35"/>
        <v>0</v>
      </c>
      <c r="U202" s="252">
        <f t="shared" si="35"/>
        <v>0</v>
      </c>
      <c r="V202" s="252">
        <f t="shared" si="35"/>
        <v>0</v>
      </c>
      <c r="W202" s="252">
        <f t="shared" si="35"/>
        <v>0</v>
      </c>
      <c r="X202" s="252">
        <f t="shared" si="35"/>
        <v>0</v>
      </c>
      <c r="Y202" s="252">
        <f t="shared" si="35"/>
        <v>0</v>
      </c>
      <c r="AA202" s="293" t="s">
        <v>718</v>
      </c>
    </row>
    <row r="203" spans="3:43" x14ac:dyDescent="0.2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25">
      <c r="E204" s="293" t="s">
        <v>447</v>
      </c>
      <c r="G204" s="293" t="s">
        <v>102</v>
      </c>
      <c r="H204" s="90"/>
      <c r="J204" s="252">
        <f t="shared" ref="J204:Y204" si="36">IF(J198, J$200 * J42 / $H53, 0)</f>
        <v>1297.1811392032987</v>
      </c>
      <c r="K204" s="252">
        <f t="shared" si="36"/>
        <v>0</v>
      </c>
      <c r="L204" s="252">
        <f t="shared" si="36"/>
        <v>386.22286626394623</v>
      </c>
      <c r="M204" s="252">
        <f t="shared" si="36"/>
        <v>0</v>
      </c>
      <c r="N204" s="252">
        <f t="shared" si="36"/>
        <v>167.93021264395929</v>
      </c>
      <c r="O204" s="252">
        <f t="shared" si="36"/>
        <v>0</v>
      </c>
      <c r="P204" s="252">
        <f t="shared" si="36"/>
        <v>0</v>
      </c>
      <c r="Q204" s="252">
        <f t="shared" si="36"/>
        <v>37.899567164440015</v>
      </c>
      <c r="R204" s="252">
        <f t="shared" si="36"/>
        <v>0</v>
      </c>
      <c r="S204" s="252">
        <f t="shared" si="36"/>
        <v>0</v>
      </c>
      <c r="T204" s="252">
        <f t="shared" si="36"/>
        <v>0</v>
      </c>
      <c r="U204" s="252">
        <f t="shared" si="36"/>
        <v>0</v>
      </c>
      <c r="V204" s="252">
        <f t="shared" si="36"/>
        <v>0</v>
      </c>
      <c r="W204" s="252">
        <f t="shared" si="36"/>
        <v>0</v>
      </c>
      <c r="X204" s="252">
        <f t="shared" si="36"/>
        <v>0</v>
      </c>
      <c r="Y204" s="252">
        <f t="shared" si="36"/>
        <v>0</v>
      </c>
    </row>
    <row r="205" spans="3:43" x14ac:dyDescent="0.2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25">
      <c r="E206" s="293" t="s">
        <v>451</v>
      </c>
      <c r="G206" s="293" t="s">
        <v>102</v>
      </c>
      <c r="H206" s="90"/>
      <c r="J206" s="252">
        <f t="shared" ref="J206:Y206" si="37">IF(J202 = 0, J204, J202)</f>
        <v>1297.1811392032987</v>
      </c>
      <c r="K206" s="252">
        <f t="shared" si="37"/>
        <v>0</v>
      </c>
      <c r="L206" s="252">
        <f t="shared" si="37"/>
        <v>386.22286626394623</v>
      </c>
      <c r="M206" s="252">
        <f t="shared" si="37"/>
        <v>0</v>
      </c>
      <c r="N206" s="252">
        <f t="shared" si="37"/>
        <v>562.67165231640581</v>
      </c>
      <c r="O206" s="252">
        <f t="shared" si="37"/>
        <v>0</v>
      </c>
      <c r="P206" s="252">
        <f t="shared" si="37"/>
        <v>0</v>
      </c>
      <c r="Q206" s="252">
        <f t="shared" si="37"/>
        <v>37.899567164440015</v>
      </c>
      <c r="R206" s="252">
        <f t="shared" si="37"/>
        <v>0</v>
      </c>
      <c r="S206" s="252">
        <f t="shared" si="37"/>
        <v>0</v>
      </c>
      <c r="T206" s="252">
        <f t="shared" si="37"/>
        <v>0</v>
      </c>
      <c r="U206" s="252">
        <f t="shared" si="37"/>
        <v>0</v>
      </c>
      <c r="V206" s="252">
        <f t="shared" si="37"/>
        <v>0</v>
      </c>
      <c r="W206" s="252">
        <f t="shared" si="37"/>
        <v>0</v>
      </c>
      <c r="X206" s="252">
        <f t="shared" si="37"/>
        <v>0</v>
      </c>
      <c r="Y206" s="252">
        <f t="shared" si="37"/>
        <v>0</v>
      </c>
    </row>
    <row r="207" spans="3:43" x14ac:dyDescent="0.2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25">
      <c r="E208" s="293" t="s">
        <v>449</v>
      </c>
      <c r="G208" s="293" t="s">
        <v>102</v>
      </c>
      <c r="H208" s="90"/>
      <c r="I208" s="293" t="s">
        <v>359</v>
      </c>
      <c r="J208" s="252">
        <f t="shared" ref="J208:Y208" si="38">J150</f>
        <v>971.24828635309734</v>
      </c>
      <c r="K208" s="252">
        <f t="shared" si="38"/>
        <v>0.43648410642789492</v>
      </c>
      <c r="L208" s="252">
        <f t="shared" si="38"/>
        <v>297.25221584952294</v>
      </c>
      <c r="M208" s="252">
        <f t="shared" si="38"/>
        <v>0.17224461451864864</v>
      </c>
      <c r="N208" s="252">
        <f t="shared" si="38"/>
        <v>136.86762984538066</v>
      </c>
      <c r="O208" s="252">
        <f t="shared" si="38"/>
        <v>0</v>
      </c>
      <c r="P208" s="252">
        <f t="shared" si="38"/>
        <v>0</v>
      </c>
      <c r="Q208" s="252">
        <f t="shared" si="38"/>
        <v>20.914605918611393</v>
      </c>
      <c r="R208" s="252">
        <f t="shared" si="38"/>
        <v>0</v>
      </c>
      <c r="S208" s="252">
        <f t="shared" si="38"/>
        <v>0</v>
      </c>
      <c r="T208" s="252">
        <f t="shared" si="38"/>
        <v>0</v>
      </c>
      <c r="U208" s="252">
        <f t="shared" si="38"/>
        <v>0</v>
      </c>
      <c r="V208" s="252">
        <f t="shared" si="38"/>
        <v>0</v>
      </c>
      <c r="W208" s="252">
        <f t="shared" si="38"/>
        <v>0</v>
      </c>
      <c r="X208" s="252">
        <f t="shared" si="38"/>
        <v>0</v>
      </c>
      <c r="Y208" s="252">
        <f t="shared" si="38"/>
        <v>0</v>
      </c>
      <c r="AA208" s="293" t="s">
        <v>718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3" t="s">
        <v>450</v>
      </c>
      <c r="G210" s="293" t="s">
        <v>94</v>
      </c>
      <c r="H210" s="398">
        <f>SUM(J206:Y206) / SUM(J208:Y208) - 1</f>
        <v>0.6006649967920823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319</v>
      </c>
      <c r="J212" s="90"/>
      <c r="L212" s="90"/>
      <c r="AA212" s="293" t="s">
        <v>718</v>
      </c>
      <c r="AQ212" s="88"/>
    </row>
    <row r="213" spans="5:43" x14ac:dyDescent="0.25">
      <c r="E213" s="82" t="s">
        <v>353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2.4999999999999911E-2</v>
      </c>
      <c r="J214" s="90"/>
      <c r="K214" s="89"/>
      <c r="L214" s="90"/>
      <c r="M214" s="89"/>
      <c r="AQ214" s="88"/>
    </row>
    <row r="215" spans="5:43" x14ac:dyDescent="0.25">
      <c r="E215" s="96"/>
      <c r="F215" s="293" t="s">
        <v>44</v>
      </c>
      <c r="G215" s="293" t="s">
        <v>94</v>
      </c>
      <c r="H215" s="143">
        <v>0.12749999999999995</v>
      </c>
      <c r="J215" s="90"/>
      <c r="L215" s="90"/>
      <c r="AQ215" s="88"/>
    </row>
    <row r="216" spans="5:43" x14ac:dyDescent="0.25">
      <c r="E216" s="96"/>
      <c r="F216" s="293" t="s">
        <v>45</v>
      </c>
      <c r="G216" s="293" t="s">
        <v>94</v>
      </c>
      <c r="H216" s="143">
        <v>0.12749999999999995</v>
      </c>
      <c r="J216" s="90"/>
      <c r="L216" s="90"/>
      <c r="AQ216" s="88"/>
    </row>
    <row r="217" spans="5:43" x14ac:dyDescent="0.25">
      <c r="E217" s="96"/>
      <c r="F217" s="293" t="s">
        <v>46</v>
      </c>
      <c r="G217" s="293" t="s">
        <v>94</v>
      </c>
      <c r="H217" s="143">
        <v>0.42064999999999997</v>
      </c>
      <c r="J217" s="90"/>
      <c r="L217" s="90"/>
      <c r="AQ217" s="88"/>
    </row>
    <row r="218" spans="5:43" x14ac:dyDescent="0.25">
      <c r="E218" s="96"/>
      <c r="F218" s="293" t="s">
        <v>47</v>
      </c>
      <c r="G218" s="293" t="s">
        <v>94</v>
      </c>
      <c r="H218" s="143">
        <v>0.42064999999999997</v>
      </c>
      <c r="J218" s="90"/>
      <c r="L218" s="90"/>
      <c r="AQ218" s="88"/>
    </row>
    <row r="219" spans="5:43" x14ac:dyDescent="0.25">
      <c r="E219" s="96"/>
      <c r="F219" s="293" t="s">
        <v>51</v>
      </c>
      <c r="G219" s="293" t="s">
        <v>94</v>
      </c>
      <c r="H219" s="143">
        <v>0.12749999999999995</v>
      </c>
      <c r="J219" s="90"/>
      <c r="L219" s="90"/>
      <c r="AQ219" s="88"/>
    </row>
    <row r="220" spans="5:43" x14ac:dyDescent="0.25">
      <c r="E220" s="96"/>
      <c r="F220" s="293" t="s">
        <v>48</v>
      </c>
      <c r="G220" s="293" t="s">
        <v>94</v>
      </c>
      <c r="H220" s="143">
        <v>0.70477999999999996</v>
      </c>
      <c r="J220" s="90"/>
      <c r="L220" s="90"/>
      <c r="AQ220" s="88"/>
    </row>
    <row r="221" spans="5:43" x14ac:dyDescent="0.25">
      <c r="E221" s="96"/>
      <c r="F221" s="293" t="s">
        <v>49</v>
      </c>
      <c r="G221" s="293" t="s">
        <v>94</v>
      </c>
      <c r="H221" s="143">
        <v>0.70477999999999996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89">
        <v>0.70477999999999996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288</v>
      </c>
      <c r="J224" s="90"/>
      <c r="L224" s="90"/>
      <c r="AA224" s="293" t="s">
        <v>718</v>
      </c>
      <c r="AQ224" s="88"/>
    </row>
    <row r="225" spans="3:43" x14ac:dyDescent="0.25">
      <c r="E225" s="82" t="s">
        <v>352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2.4999999999999911E-2</v>
      </c>
      <c r="J226" s="90"/>
      <c r="L226" s="90"/>
      <c r="AQ226" s="88"/>
    </row>
    <row r="227" spans="3:43" x14ac:dyDescent="0.25">
      <c r="C227" s="96"/>
      <c r="F227" s="293" t="s">
        <v>44</v>
      </c>
      <c r="G227" s="293" t="s">
        <v>94</v>
      </c>
      <c r="H227" s="17">
        <f t="shared" si="39"/>
        <v>0.12749999999999995</v>
      </c>
      <c r="J227" s="90"/>
      <c r="L227" s="90"/>
      <c r="AQ227" s="88"/>
    </row>
    <row r="228" spans="3:43" x14ac:dyDescent="0.25">
      <c r="C228" s="96"/>
      <c r="F228" s="293" t="s">
        <v>45</v>
      </c>
      <c r="G228" s="293" t="s">
        <v>94</v>
      </c>
      <c r="H228" s="17">
        <f t="shared" si="39"/>
        <v>0.12749999999999995</v>
      </c>
      <c r="J228" s="90"/>
      <c r="L228" s="90"/>
      <c r="AQ228" s="88"/>
    </row>
    <row r="229" spans="3:43" x14ac:dyDescent="0.25">
      <c r="C229" s="96"/>
      <c r="F229" s="293" t="s">
        <v>46</v>
      </c>
      <c r="G229" s="293" t="s">
        <v>94</v>
      </c>
      <c r="H229" s="17">
        <f t="shared" si="39"/>
        <v>0.42064999999999997</v>
      </c>
      <c r="J229" s="90"/>
      <c r="L229" s="90"/>
      <c r="AQ229" s="88"/>
    </row>
    <row r="230" spans="3:43" x14ac:dyDescent="0.25">
      <c r="C230" s="96"/>
      <c r="F230" s="293" t="s">
        <v>47</v>
      </c>
      <c r="G230" s="293" t="s">
        <v>94</v>
      </c>
      <c r="H230" s="17">
        <f t="shared" si="39"/>
        <v>0.42064999999999997</v>
      </c>
      <c r="J230" s="90"/>
      <c r="L230" s="90"/>
      <c r="AQ230" s="88"/>
    </row>
    <row r="231" spans="3:43" x14ac:dyDescent="0.25">
      <c r="C231" s="96"/>
      <c r="F231" s="293" t="s">
        <v>51</v>
      </c>
      <c r="G231" s="293" t="s">
        <v>94</v>
      </c>
      <c r="H231" s="17">
        <f t="shared" si="39"/>
        <v>0.12749999999999995</v>
      </c>
      <c r="J231" s="90"/>
      <c r="L231" s="90"/>
      <c r="AQ231" s="88"/>
    </row>
    <row r="232" spans="3:43" x14ac:dyDescent="0.25">
      <c r="C232" s="96"/>
      <c r="F232" s="293" t="s">
        <v>48</v>
      </c>
      <c r="G232" s="293" t="s">
        <v>94</v>
      </c>
      <c r="H232" s="17">
        <f t="shared" si="39"/>
        <v>0.70477999999999996</v>
      </c>
      <c r="J232" s="90"/>
      <c r="L232" s="90"/>
      <c r="AQ232" s="88"/>
    </row>
    <row r="233" spans="3:43" x14ac:dyDescent="0.25">
      <c r="C233" s="96"/>
      <c r="F233" s="293" t="s">
        <v>49</v>
      </c>
      <c r="G233" s="293" t="s">
        <v>94</v>
      </c>
      <c r="H233" s="17">
        <f t="shared" si="39"/>
        <v>0.70477999999999996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0.6006649967920823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control'!$H$34:$H$60,MATCH($A$1,'Version control'!$F$34:$F$60,0),1)&amp;"-G: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354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7">
        <f t="shared" ref="J239:Y247" si="40">J$192 * J23 * J34 / (1 + $H226) / $H45</f>
        <v>0</v>
      </c>
      <c r="K239" s="277">
        <f t="shared" si="40"/>
        <v>0</v>
      </c>
      <c r="L239" s="277">
        <f t="shared" si="40"/>
        <v>0</v>
      </c>
      <c r="M239" s="277">
        <f t="shared" si="40"/>
        <v>0</v>
      </c>
      <c r="N239" s="277">
        <f t="shared" si="40"/>
        <v>0</v>
      </c>
      <c r="O239" s="277">
        <f t="shared" si="40"/>
        <v>0</v>
      </c>
      <c r="P239" s="277">
        <f t="shared" si="40"/>
        <v>0</v>
      </c>
      <c r="Q239" s="277">
        <f t="shared" si="40"/>
        <v>0</v>
      </c>
      <c r="R239" s="277">
        <f t="shared" si="40"/>
        <v>0</v>
      </c>
      <c r="S239" s="277">
        <f t="shared" si="40"/>
        <v>0</v>
      </c>
      <c r="T239" s="277">
        <f t="shared" si="40"/>
        <v>0</v>
      </c>
      <c r="U239" s="277">
        <f t="shared" si="40"/>
        <v>0</v>
      </c>
      <c r="V239" s="277">
        <f t="shared" si="40"/>
        <v>0</v>
      </c>
      <c r="W239" s="277">
        <f t="shared" si="40"/>
        <v>0</v>
      </c>
      <c r="X239" s="277">
        <f t="shared" si="40"/>
        <v>0</v>
      </c>
      <c r="Y239" s="277">
        <f t="shared" si="40"/>
        <v>0</v>
      </c>
      <c r="AQ239" s="88"/>
    </row>
    <row r="240" spans="3:43" x14ac:dyDescent="0.25">
      <c r="C240" s="96"/>
      <c r="F240" s="293" t="s">
        <v>44</v>
      </c>
      <c r="G240" s="293" t="s">
        <v>102</v>
      </c>
      <c r="H240" s="90"/>
      <c r="J240" s="252">
        <f t="shared" si="40"/>
        <v>0</v>
      </c>
      <c r="K240" s="252">
        <f t="shared" si="40"/>
        <v>0</v>
      </c>
      <c r="L240" s="252">
        <f t="shared" si="40"/>
        <v>0</v>
      </c>
      <c r="M240" s="252">
        <f t="shared" si="40"/>
        <v>0</v>
      </c>
      <c r="N240" s="252">
        <f t="shared" si="40"/>
        <v>0</v>
      </c>
      <c r="O240" s="252">
        <f t="shared" si="40"/>
        <v>0</v>
      </c>
      <c r="P240" s="252">
        <f t="shared" si="40"/>
        <v>0</v>
      </c>
      <c r="Q240" s="252">
        <f t="shared" si="40"/>
        <v>0</v>
      </c>
      <c r="R240" s="252">
        <f t="shared" si="40"/>
        <v>0</v>
      </c>
      <c r="S240" s="252">
        <f t="shared" si="40"/>
        <v>0</v>
      </c>
      <c r="T240" s="252">
        <f t="shared" si="40"/>
        <v>0</v>
      </c>
      <c r="U240" s="252">
        <f t="shared" si="40"/>
        <v>0</v>
      </c>
      <c r="V240" s="252">
        <f t="shared" si="40"/>
        <v>0</v>
      </c>
      <c r="W240" s="252">
        <f t="shared" si="40"/>
        <v>0</v>
      </c>
      <c r="X240" s="252">
        <f t="shared" si="40"/>
        <v>0</v>
      </c>
      <c r="Y240" s="252">
        <f t="shared" si="40"/>
        <v>0</v>
      </c>
      <c r="AQ240" s="88"/>
    </row>
    <row r="241" spans="3:43" x14ac:dyDescent="0.25">
      <c r="C241" s="96"/>
      <c r="F241" s="293" t="s">
        <v>45</v>
      </c>
      <c r="G241" s="293" t="s">
        <v>102</v>
      </c>
      <c r="H241" s="90"/>
      <c r="J241" s="252">
        <f t="shared" si="40"/>
        <v>0</v>
      </c>
      <c r="K241" s="252">
        <f t="shared" si="40"/>
        <v>0</v>
      </c>
      <c r="L241" s="252">
        <f t="shared" si="40"/>
        <v>0</v>
      </c>
      <c r="M241" s="252">
        <f t="shared" si="40"/>
        <v>0</v>
      </c>
      <c r="N241" s="252">
        <f t="shared" si="40"/>
        <v>0</v>
      </c>
      <c r="O241" s="252">
        <f t="shared" si="40"/>
        <v>0</v>
      </c>
      <c r="P241" s="252">
        <f t="shared" si="40"/>
        <v>0</v>
      </c>
      <c r="Q241" s="252">
        <f t="shared" si="40"/>
        <v>0</v>
      </c>
      <c r="R241" s="252">
        <f t="shared" si="40"/>
        <v>0</v>
      </c>
      <c r="S241" s="252">
        <f t="shared" si="40"/>
        <v>0</v>
      </c>
      <c r="T241" s="252">
        <f t="shared" si="40"/>
        <v>0</v>
      </c>
      <c r="U241" s="252">
        <f t="shared" si="40"/>
        <v>0</v>
      </c>
      <c r="V241" s="252">
        <f t="shared" si="40"/>
        <v>0</v>
      </c>
      <c r="W241" s="252">
        <f t="shared" si="40"/>
        <v>0</v>
      </c>
      <c r="X241" s="252">
        <f t="shared" si="40"/>
        <v>0</v>
      </c>
      <c r="Y241" s="252">
        <f t="shared" si="40"/>
        <v>0</v>
      </c>
      <c r="AQ241" s="88"/>
    </row>
    <row r="242" spans="3:43" x14ac:dyDescent="0.25">
      <c r="C242" s="96"/>
      <c r="F242" s="293" t="s">
        <v>46</v>
      </c>
      <c r="G242" s="293" t="s">
        <v>102</v>
      </c>
      <c r="H242" s="90"/>
      <c r="J242" s="252">
        <f t="shared" si="40"/>
        <v>0</v>
      </c>
      <c r="K242" s="252">
        <f t="shared" si="40"/>
        <v>0</v>
      </c>
      <c r="L242" s="252">
        <f t="shared" si="40"/>
        <v>0</v>
      </c>
      <c r="M242" s="252">
        <f t="shared" si="40"/>
        <v>0</v>
      </c>
      <c r="N242" s="252">
        <f t="shared" si="40"/>
        <v>0</v>
      </c>
      <c r="O242" s="252">
        <f t="shared" si="40"/>
        <v>0</v>
      </c>
      <c r="P242" s="252">
        <f t="shared" si="40"/>
        <v>94.54553697864884</v>
      </c>
      <c r="Q242" s="252">
        <f t="shared" si="40"/>
        <v>0</v>
      </c>
      <c r="R242" s="252">
        <f t="shared" si="40"/>
        <v>0</v>
      </c>
      <c r="S242" s="252">
        <f t="shared" si="40"/>
        <v>0</v>
      </c>
      <c r="T242" s="252">
        <f t="shared" si="40"/>
        <v>0</v>
      </c>
      <c r="U242" s="252">
        <f t="shared" si="40"/>
        <v>0</v>
      </c>
      <c r="V242" s="252">
        <f t="shared" si="40"/>
        <v>0</v>
      </c>
      <c r="W242" s="252">
        <f t="shared" si="40"/>
        <v>0</v>
      </c>
      <c r="X242" s="252">
        <f t="shared" si="40"/>
        <v>0</v>
      </c>
      <c r="Y242" s="252">
        <f t="shared" si="40"/>
        <v>0</v>
      </c>
      <c r="AQ242" s="88"/>
    </row>
    <row r="243" spans="3:43" x14ac:dyDescent="0.25">
      <c r="C243" s="96"/>
      <c r="F243" s="293" t="s">
        <v>47</v>
      </c>
      <c r="G243" s="293" t="s">
        <v>102</v>
      </c>
      <c r="H243" s="90"/>
      <c r="J243" s="252">
        <f t="shared" si="40"/>
        <v>0</v>
      </c>
      <c r="K243" s="252">
        <f t="shared" si="40"/>
        <v>0</v>
      </c>
      <c r="L243" s="252">
        <f t="shared" si="40"/>
        <v>0</v>
      </c>
      <c r="M243" s="252">
        <f t="shared" si="40"/>
        <v>0</v>
      </c>
      <c r="N243" s="252">
        <f t="shared" si="40"/>
        <v>0</v>
      </c>
      <c r="O243" s="252">
        <f t="shared" si="40"/>
        <v>0</v>
      </c>
      <c r="P243" s="252">
        <f t="shared" si="40"/>
        <v>469.04169904612337</v>
      </c>
      <c r="Q243" s="252">
        <f t="shared" si="40"/>
        <v>0</v>
      </c>
      <c r="R243" s="252">
        <f t="shared" si="40"/>
        <v>0</v>
      </c>
      <c r="S243" s="252">
        <f t="shared" si="40"/>
        <v>0</v>
      </c>
      <c r="T243" s="252">
        <f t="shared" si="40"/>
        <v>0</v>
      </c>
      <c r="U243" s="252">
        <f t="shared" si="40"/>
        <v>0</v>
      </c>
      <c r="V243" s="252">
        <f t="shared" si="40"/>
        <v>0</v>
      </c>
      <c r="W243" s="252">
        <f t="shared" si="40"/>
        <v>0</v>
      </c>
      <c r="X243" s="252">
        <f t="shared" si="40"/>
        <v>0</v>
      </c>
      <c r="Y243" s="252">
        <f t="shared" si="40"/>
        <v>0</v>
      </c>
      <c r="AQ243" s="88"/>
    </row>
    <row r="244" spans="3:43" x14ac:dyDescent="0.25">
      <c r="C244" s="96"/>
      <c r="F244" s="293" t="s">
        <v>51</v>
      </c>
      <c r="G244" s="293" t="s">
        <v>102</v>
      </c>
      <c r="H244" s="90"/>
      <c r="J244" s="252">
        <f t="shared" si="40"/>
        <v>0</v>
      </c>
      <c r="K244" s="252">
        <f t="shared" si="40"/>
        <v>0</v>
      </c>
      <c r="L244" s="252">
        <f t="shared" si="40"/>
        <v>0</v>
      </c>
      <c r="M244" s="252">
        <f t="shared" si="40"/>
        <v>0</v>
      </c>
      <c r="N244" s="252">
        <f t="shared" si="40"/>
        <v>0</v>
      </c>
      <c r="O244" s="252">
        <f t="shared" si="40"/>
        <v>0</v>
      </c>
      <c r="P244" s="252">
        <f t="shared" si="40"/>
        <v>0</v>
      </c>
      <c r="Q244" s="252">
        <f t="shared" si="40"/>
        <v>0</v>
      </c>
      <c r="R244" s="252">
        <f t="shared" si="40"/>
        <v>0</v>
      </c>
      <c r="S244" s="252">
        <f t="shared" si="40"/>
        <v>0</v>
      </c>
      <c r="T244" s="252">
        <f t="shared" si="40"/>
        <v>0</v>
      </c>
      <c r="U244" s="252">
        <f t="shared" si="40"/>
        <v>0</v>
      </c>
      <c r="V244" s="252">
        <f t="shared" si="40"/>
        <v>0</v>
      </c>
      <c r="W244" s="252">
        <f t="shared" si="40"/>
        <v>0</v>
      </c>
      <c r="X244" s="252">
        <f t="shared" si="40"/>
        <v>0</v>
      </c>
      <c r="Y244" s="252">
        <f t="shared" si="40"/>
        <v>0</v>
      </c>
      <c r="AQ244" s="88"/>
    </row>
    <row r="245" spans="3:43" x14ac:dyDescent="0.25">
      <c r="C245" s="96"/>
      <c r="F245" s="293" t="s">
        <v>48</v>
      </c>
      <c r="G245" s="293" t="s">
        <v>102</v>
      </c>
      <c r="H245" s="90"/>
      <c r="J245" s="252">
        <f t="shared" si="40"/>
        <v>0</v>
      </c>
      <c r="K245" s="252">
        <f t="shared" si="40"/>
        <v>0</v>
      </c>
      <c r="L245" s="252">
        <f t="shared" si="40"/>
        <v>0</v>
      </c>
      <c r="M245" s="252">
        <f t="shared" si="40"/>
        <v>0</v>
      </c>
      <c r="N245" s="252">
        <f t="shared" si="40"/>
        <v>70.530618725158305</v>
      </c>
      <c r="O245" s="252">
        <f t="shared" si="40"/>
        <v>335.68473179897342</v>
      </c>
      <c r="P245" s="252">
        <f t="shared" si="40"/>
        <v>386.72194087216542</v>
      </c>
      <c r="Q245" s="252">
        <f t="shared" si="40"/>
        <v>0</v>
      </c>
      <c r="R245" s="252">
        <f t="shared" si="40"/>
        <v>0</v>
      </c>
      <c r="S245" s="252">
        <f t="shared" si="40"/>
        <v>0</v>
      </c>
      <c r="T245" s="252">
        <f t="shared" si="40"/>
        <v>0</v>
      </c>
      <c r="U245" s="252">
        <f t="shared" si="40"/>
        <v>0</v>
      </c>
      <c r="V245" s="252">
        <f t="shared" si="40"/>
        <v>0</v>
      </c>
      <c r="W245" s="252">
        <f t="shared" si="40"/>
        <v>0</v>
      </c>
      <c r="X245" s="252">
        <f t="shared" si="40"/>
        <v>0</v>
      </c>
      <c r="Y245" s="252">
        <f t="shared" si="40"/>
        <v>0</v>
      </c>
      <c r="AQ245" s="88"/>
    </row>
    <row r="246" spans="3:43" x14ac:dyDescent="0.25">
      <c r="C246" s="96"/>
      <c r="F246" s="293" t="s">
        <v>49</v>
      </c>
      <c r="G246" s="293" t="s">
        <v>102</v>
      </c>
      <c r="H246" s="90"/>
      <c r="J246" s="252">
        <f t="shared" si="40"/>
        <v>0</v>
      </c>
      <c r="K246" s="252">
        <f t="shared" si="40"/>
        <v>0</v>
      </c>
      <c r="L246" s="252">
        <f t="shared" si="40"/>
        <v>0</v>
      </c>
      <c r="M246" s="252">
        <f t="shared" si="40"/>
        <v>0</v>
      </c>
      <c r="N246" s="252">
        <f t="shared" si="40"/>
        <v>345.32696703488739</v>
      </c>
      <c r="O246" s="252">
        <f t="shared" si="40"/>
        <v>328.71111130834316</v>
      </c>
      <c r="P246" s="252">
        <f t="shared" si="40"/>
        <v>0</v>
      </c>
      <c r="Q246" s="252">
        <f t="shared" si="40"/>
        <v>0</v>
      </c>
      <c r="R246" s="252">
        <f t="shared" si="40"/>
        <v>0</v>
      </c>
      <c r="S246" s="252">
        <f t="shared" si="40"/>
        <v>0</v>
      </c>
      <c r="T246" s="252">
        <f t="shared" si="40"/>
        <v>0</v>
      </c>
      <c r="U246" s="252">
        <f t="shared" si="40"/>
        <v>0</v>
      </c>
      <c r="V246" s="252">
        <f t="shared" si="40"/>
        <v>0</v>
      </c>
      <c r="W246" s="252">
        <f t="shared" si="40"/>
        <v>0</v>
      </c>
      <c r="X246" s="252">
        <f t="shared" si="40"/>
        <v>0</v>
      </c>
      <c r="Y246" s="252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1">
        <f t="shared" si="40"/>
        <v>0</v>
      </c>
      <c r="K247" s="271">
        <f t="shared" si="40"/>
        <v>0</v>
      </c>
      <c r="L247" s="271">
        <f t="shared" si="40"/>
        <v>0</v>
      </c>
      <c r="M247" s="271">
        <f t="shared" si="40"/>
        <v>0</v>
      </c>
      <c r="N247" s="271">
        <f t="shared" si="40"/>
        <v>351.52368137247009</v>
      </c>
      <c r="O247" s="271">
        <f t="shared" si="40"/>
        <v>0</v>
      </c>
      <c r="P247" s="271">
        <f t="shared" si="40"/>
        <v>0</v>
      </c>
      <c r="Q247" s="271">
        <f t="shared" si="40"/>
        <v>0</v>
      </c>
      <c r="R247" s="271">
        <f t="shared" si="40"/>
        <v>0</v>
      </c>
      <c r="S247" s="271">
        <f t="shared" si="40"/>
        <v>0</v>
      </c>
      <c r="T247" s="271">
        <f t="shared" si="40"/>
        <v>0</v>
      </c>
      <c r="U247" s="271">
        <f t="shared" si="40"/>
        <v>0</v>
      </c>
      <c r="V247" s="271">
        <f t="shared" si="40"/>
        <v>0</v>
      </c>
      <c r="W247" s="271">
        <f t="shared" si="40"/>
        <v>0</v>
      </c>
      <c r="X247" s="271">
        <f t="shared" si="40"/>
        <v>0</v>
      </c>
      <c r="Y247" s="271">
        <f t="shared" si="40"/>
        <v>0</v>
      </c>
      <c r="AQ247" s="88"/>
    </row>
    <row r="248" spans="3:43" x14ac:dyDescent="0.2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25">
      <c r="C249" s="7" t="str">
        <f ca="1">INDEX('Version control'!$H$34:$H$60,MATCH($A$1,'Version control'!$F$34:$F$60,0),1)&amp;"-H: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2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2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7">
        <f t="shared" ref="J252:Y260" si="41">IF(AND(J$192 = 0, J$198), J$200 * J23 * J34 / (1 + $H226) / $H45, 0)</f>
        <v>0</v>
      </c>
      <c r="K252" s="277">
        <f t="shared" si="41"/>
        <v>0</v>
      </c>
      <c r="L252" s="277">
        <f t="shared" si="41"/>
        <v>0</v>
      </c>
      <c r="M252" s="277">
        <f t="shared" si="41"/>
        <v>0</v>
      </c>
      <c r="N252" s="277">
        <f t="shared" si="41"/>
        <v>0</v>
      </c>
      <c r="O252" s="277">
        <f t="shared" si="41"/>
        <v>0</v>
      </c>
      <c r="P252" s="277">
        <f t="shared" si="41"/>
        <v>0</v>
      </c>
      <c r="Q252" s="277">
        <f t="shared" si="41"/>
        <v>0</v>
      </c>
      <c r="R252" s="277">
        <f t="shared" si="41"/>
        <v>0</v>
      </c>
      <c r="S252" s="277">
        <f t="shared" si="41"/>
        <v>0</v>
      </c>
      <c r="T252" s="277">
        <f t="shared" si="41"/>
        <v>0</v>
      </c>
      <c r="U252" s="277">
        <f t="shared" si="41"/>
        <v>0</v>
      </c>
      <c r="V252" s="277">
        <f t="shared" si="41"/>
        <v>0</v>
      </c>
      <c r="W252" s="277">
        <f t="shared" si="41"/>
        <v>0</v>
      </c>
      <c r="X252" s="277">
        <f t="shared" si="41"/>
        <v>0</v>
      </c>
      <c r="Y252" s="277">
        <f t="shared" si="41"/>
        <v>0</v>
      </c>
      <c r="AQ252" s="88"/>
    </row>
    <row r="253" spans="3:43" x14ac:dyDescent="0.25">
      <c r="C253" s="96"/>
      <c r="F253" s="293" t="s">
        <v>44</v>
      </c>
      <c r="G253" s="90" t="s">
        <v>102</v>
      </c>
      <c r="H253" s="90"/>
      <c r="J253" s="252">
        <f t="shared" si="41"/>
        <v>0</v>
      </c>
      <c r="K253" s="252">
        <f t="shared" si="41"/>
        <v>0</v>
      </c>
      <c r="L253" s="252">
        <f t="shared" si="41"/>
        <v>0</v>
      </c>
      <c r="M253" s="252">
        <f t="shared" si="41"/>
        <v>0</v>
      </c>
      <c r="N253" s="252">
        <f t="shared" si="41"/>
        <v>0</v>
      </c>
      <c r="O253" s="252">
        <f t="shared" si="41"/>
        <v>0</v>
      </c>
      <c r="P253" s="252">
        <f t="shared" si="41"/>
        <v>0</v>
      </c>
      <c r="Q253" s="252">
        <f t="shared" si="41"/>
        <v>0</v>
      </c>
      <c r="R253" s="252">
        <f t="shared" si="41"/>
        <v>0</v>
      </c>
      <c r="S253" s="252">
        <f t="shared" si="41"/>
        <v>0</v>
      </c>
      <c r="T253" s="252">
        <f t="shared" si="41"/>
        <v>0</v>
      </c>
      <c r="U253" s="252">
        <f t="shared" si="41"/>
        <v>0</v>
      </c>
      <c r="V253" s="252">
        <f t="shared" si="41"/>
        <v>0</v>
      </c>
      <c r="W253" s="252">
        <f t="shared" si="41"/>
        <v>0</v>
      </c>
      <c r="X253" s="252">
        <f t="shared" si="41"/>
        <v>0</v>
      </c>
      <c r="Y253" s="252">
        <f t="shared" si="41"/>
        <v>0</v>
      </c>
      <c r="AQ253" s="88"/>
    </row>
    <row r="254" spans="3:43" x14ac:dyDescent="0.25">
      <c r="C254" s="96"/>
      <c r="F254" s="293" t="s">
        <v>45</v>
      </c>
      <c r="G254" s="90" t="s">
        <v>102</v>
      </c>
      <c r="H254" s="90"/>
      <c r="J254" s="252">
        <f t="shared" si="41"/>
        <v>0</v>
      </c>
      <c r="K254" s="252">
        <f t="shared" si="41"/>
        <v>0</v>
      </c>
      <c r="L254" s="252">
        <f t="shared" si="41"/>
        <v>0</v>
      </c>
      <c r="M254" s="252">
        <f t="shared" si="41"/>
        <v>0</v>
      </c>
      <c r="N254" s="252">
        <f t="shared" si="41"/>
        <v>0</v>
      </c>
      <c r="O254" s="252">
        <f t="shared" si="41"/>
        <v>0</v>
      </c>
      <c r="P254" s="252">
        <f t="shared" si="41"/>
        <v>0</v>
      </c>
      <c r="Q254" s="252">
        <f t="shared" si="41"/>
        <v>0</v>
      </c>
      <c r="R254" s="252">
        <f t="shared" si="41"/>
        <v>0</v>
      </c>
      <c r="S254" s="252">
        <f t="shared" si="41"/>
        <v>0</v>
      </c>
      <c r="T254" s="252">
        <f t="shared" si="41"/>
        <v>0</v>
      </c>
      <c r="U254" s="252">
        <f t="shared" si="41"/>
        <v>0</v>
      </c>
      <c r="V254" s="252">
        <f t="shared" si="41"/>
        <v>0</v>
      </c>
      <c r="W254" s="252">
        <f t="shared" si="41"/>
        <v>0</v>
      </c>
      <c r="X254" s="252">
        <f t="shared" si="41"/>
        <v>0</v>
      </c>
      <c r="Y254" s="252">
        <f t="shared" si="41"/>
        <v>0</v>
      </c>
      <c r="AQ254" s="88"/>
    </row>
    <row r="255" spans="3:43" x14ac:dyDescent="0.25">
      <c r="C255" s="96"/>
      <c r="F255" s="293" t="s">
        <v>46</v>
      </c>
      <c r="G255" s="90" t="s">
        <v>102</v>
      </c>
      <c r="H255" s="90"/>
      <c r="J255" s="252">
        <f t="shared" si="41"/>
        <v>0</v>
      </c>
      <c r="K255" s="252">
        <f t="shared" si="41"/>
        <v>0</v>
      </c>
      <c r="L255" s="252">
        <f t="shared" si="41"/>
        <v>0</v>
      </c>
      <c r="M255" s="252">
        <f t="shared" si="41"/>
        <v>0</v>
      </c>
      <c r="N255" s="252">
        <f t="shared" si="41"/>
        <v>0</v>
      </c>
      <c r="O255" s="252">
        <f t="shared" si="41"/>
        <v>0</v>
      </c>
      <c r="P255" s="252">
        <f t="shared" si="41"/>
        <v>0</v>
      </c>
      <c r="Q255" s="252">
        <f t="shared" si="41"/>
        <v>0</v>
      </c>
      <c r="R255" s="252">
        <f t="shared" si="41"/>
        <v>0</v>
      </c>
      <c r="S255" s="252">
        <f t="shared" si="41"/>
        <v>0</v>
      </c>
      <c r="T255" s="252">
        <f t="shared" si="41"/>
        <v>0</v>
      </c>
      <c r="U255" s="252">
        <f t="shared" si="41"/>
        <v>0</v>
      </c>
      <c r="V255" s="252">
        <f t="shared" si="41"/>
        <v>0</v>
      </c>
      <c r="W255" s="252">
        <f t="shared" si="41"/>
        <v>0</v>
      </c>
      <c r="X255" s="252">
        <f t="shared" si="41"/>
        <v>0</v>
      </c>
      <c r="Y255" s="252">
        <f t="shared" si="41"/>
        <v>0</v>
      </c>
      <c r="AQ255" s="88"/>
    </row>
    <row r="256" spans="3:43" x14ac:dyDescent="0.25">
      <c r="C256" s="96"/>
      <c r="F256" s="293" t="s">
        <v>47</v>
      </c>
      <c r="G256" s="90" t="s">
        <v>102</v>
      </c>
      <c r="H256" s="90"/>
      <c r="J256" s="252">
        <f t="shared" si="41"/>
        <v>0</v>
      </c>
      <c r="K256" s="252">
        <f t="shared" si="41"/>
        <v>0</v>
      </c>
      <c r="L256" s="252">
        <f t="shared" si="41"/>
        <v>0</v>
      </c>
      <c r="M256" s="252">
        <f t="shared" si="41"/>
        <v>0</v>
      </c>
      <c r="N256" s="252">
        <f t="shared" si="41"/>
        <v>0</v>
      </c>
      <c r="O256" s="252">
        <f t="shared" si="41"/>
        <v>0</v>
      </c>
      <c r="P256" s="252">
        <f t="shared" si="41"/>
        <v>0</v>
      </c>
      <c r="Q256" s="252">
        <f t="shared" si="41"/>
        <v>0</v>
      </c>
      <c r="R256" s="252">
        <f t="shared" si="41"/>
        <v>0</v>
      </c>
      <c r="S256" s="252">
        <f t="shared" si="41"/>
        <v>0</v>
      </c>
      <c r="T256" s="252">
        <f t="shared" si="41"/>
        <v>0</v>
      </c>
      <c r="U256" s="252">
        <f t="shared" si="41"/>
        <v>0</v>
      </c>
      <c r="V256" s="252">
        <f t="shared" si="41"/>
        <v>0</v>
      </c>
      <c r="W256" s="252">
        <f t="shared" si="41"/>
        <v>0</v>
      </c>
      <c r="X256" s="252">
        <f t="shared" si="41"/>
        <v>0</v>
      </c>
      <c r="Y256" s="252">
        <f t="shared" si="41"/>
        <v>0</v>
      </c>
      <c r="AQ256" s="88"/>
    </row>
    <row r="257" spans="2:43" x14ac:dyDescent="0.25">
      <c r="C257" s="96"/>
      <c r="F257" s="293" t="s">
        <v>51</v>
      </c>
      <c r="G257" s="90" t="s">
        <v>102</v>
      </c>
      <c r="H257" s="90"/>
      <c r="J257" s="252">
        <f t="shared" si="41"/>
        <v>0</v>
      </c>
      <c r="K257" s="252">
        <f t="shared" si="41"/>
        <v>0</v>
      </c>
      <c r="L257" s="252">
        <f t="shared" si="41"/>
        <v>0</v>
      </c>
      <c r="M257" s="252">
        <f t="shared" si="41"/>
        <v>0</v>
      </c>
      <c r="N257" s="252">
        <f t="shared" si="41"/>
        <v>0</v>
      </c>
      <c r="O257" s="252">
        <f t="shared" si="41"/>
        <v>0</v>
      </c>
      <c r="P257" s="252">
        <f t="shared" si="41"/>
        <v>0</v>
      </c>
      <c r="Q257" s="252">
        <f t="shared" si="41"/>
        <v>0</v>
      </c>
      <c r="R257" s="252">
        <f t="shared" si="41"/>
        <v>0</v>
      </c>
      <c r="S257" s="252">
        <f t="shared" si="41"/>
        <v>0</v>
      </c>
      <c r="T257" s="252">
        <f t="shared" si="41"/>
        <v>0</v>
      </c>
      <c r="U257" s="252">
        <f t="shared" si="41"/>
        <v>0</v>
      </c>
      <c r="V257" s="252">
        <f t="shared" si="41"/>
        <v>0</v>
      </c>
      <c r="W257" s="252">
        <f t="shared" si="41"/>
        <v>0</v>
      </c>
      <c r="X257" s="252">
        <f t="shared" si="41"/>
        <v>0</v>
      </c>
      <c r="Y257" s="252">
        <f t="shared" si="41"/>
        <v>0</v>
      </c>
      <c r="AQ257" s="88"/>
    </row>
    <row r="258" spans="2:43" x14ac:dyDescent="0.25">
      <c r="C258" s="96"/>
      <c r="F258" s="293" t="s">
        <v>48</v>
      </c>
      <c r="G258" s="90" t="s">
        <v>102</v>
      </c>
      <c r="H258" s="90"/>
      <c r="J258" s="252">
        <f t="shared" si="41"/>
        <v>0</v>
      </c>
      <c r="K258" s="252">
        <f t="shared" si="41"/>
        <v>0</v>
      </c>
      <c r="L258" s="252">
        <f t="shared" si="41"/>
        <v>0</v>
      </c>
      <c r="M258" s="252">
        <f t="shared" si="41"/>
        <v>0</v>
      </c>
      <c r="N258" s="252">
        <f t="shared" si="41"/>
        <v>0</v>
      </c>
      <c r="O258" s="252">
        <f t="shared" si="41"/>
        <v>0</v>
      </c>
      <c r="P258" s="252">
        <f t="shared" si="41"/>
        <v>0</v>
      </c>
      <c r="Q258" s="252">
        <f t="shared" si="41"/>
        <v>0</v>
      </c>
      <c r="R258" s="252">
        <f t="shared" si="41"/>
        <v>0</v>
      </c>
      <c r="S258" s="252">
        <f t="shared" si="41"/>
        <v>0</v>
      </c>
      <c r="T258" s="252">
        <f t="shared" si="41"/>
        <v>0</v>
      </c>
      <c r="U258" s="252">
        <f t="shared" si="41"/>
        <v>0</v>
      </c>
      <c r="V258" s="252">
        <f t="shared" si="41"/>
        <v>0</v>
      </c>
      <c r="W258" s="252">
        <f t="shared" si="41"/>
        <v>0</v>
      </c>
      <c r="X258" s="252">
        <f t="shared" si="41"/>
        <v>0</v>
      </c>
      <c r="Y258" s="252">
        <f t="shared" si="41"/>
        <v>0</v>
      </c>
      <c r="AQ258" s="88"/>
    </row>
    <row r="259" spans="2:43" x14ac:dyDescent="0.25">
      <c r="C259" s="96"/>
      <c r="F259" s="293" t="s">
        <v>49</v>
      </c>
      <c r="G259" s="90" t="s">
        <v>102</v>
      </c>
      <c r="H259" s="90"/>
      <c r="J259" s="252">
        <f t="shared" si="41"/>
        <v>0</v>
      </c>
      <c r="K259" s="252">
        <f t="shared" si="41"/>
        <v>0</v>
      </c>
      <c r="L259" s="252">
        <f t="shared" si="41"/>
        <v>0</v>
      </c>
      <c r="M259" s="252">
        <f t="shared" si="41"/>
        <v>0</v>
      </c>
      <c r="N259" s="252">
        <f t="shared" si="41"/>
        <v>0</v>
      </c>
      <c r="O259" s="252">
        <f t="shared" si="41"/>
        <v>0</v>
      </c>
      <c r="P259" s="252">
        <f t="shared" si="41"/>
        <v>0</v>
      </c>
      <c r="Q259" s="252">
        <f t="shared" si="41"/>
        <v>0</v>
      </c>
      <c r="R259" s="252">
        <f t="shared" si="41"/>
        <v>0</v>
      </c>
      <c r="S259" s="252">
        <f t="shared" si="41"/>
        <v>0</v>
      </c>
      <c r="T259" s="252">
        <f t="shared" si="41"/>
        <v>0</v>
      </c>
      <c r="U259" s="252">
        <f t="shared" si="41"/>
        <v>0</v>
      </c>
      <c r="V259" s="252">
        <f t="shared" si="41"/>
        <v>0</v>
      </c>
      <c r="W259" s="252">
        <f t="shared" si="41"/>
        <v>0</v>
      </c>
      <c r="X259" s="252">
        <f t="shared" si="41"/>
        <v>0</v>
      </c>
      <c r="Y259" s="252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1">
        <f t="shared" si="41"/>
        <v>810.40139054892779</v>
      </c>
      <c r="K260" s="271">
        <f t="shared" si="41"/>
        <v>0</v>
      </c>
      <c r="L260" s="271">
        <f t="shared" si="41"/>
        <v>241.28900615555503</v>
      </c>
      <c r="M260" s="271">
        <f t="shared" si="41"/>
        <v>0</v>
      </c>
      <c r="N260" s="271">
        <f t="shared" si="41"/>
        <v>0</v>
      </c>
      <c r="O260" s="271">
        <f t="shared" si="41"/>
        <v>0</v>
      </c>
      <c r="P260" s="271">
        <f t="shared" si="41"/>
        <v>0</v>
      </c>
      <c r="Q260" s="271">
        <f t="shared" si="41"/>
        <v>0</v>
      </c>
      <c r="R260" s="271">
        <f t="shared" si="41"/>
        <v>0</v>
      </c>
      <c r="S260" s="271">
        <f t="shared" si="41"/>
        <v>0</v>
      </c>
      <c r="T260" s="271">
        <f t="shared" si="41"/>
        <v>0</v>
      </c>
      <c r="U260" s="271">
        <f t="shared" si="41"/>
        <v>0</v>
      </c>
      <c r="V260" s="271">
        <f t="shared" si="41"/>
        <v>0</v>
      </c>
      <c r="W260" s="271">
        <f t="shared" si="41"/>
        <v>0</v>
      </c>
      <c r="X260" s="271">
        <f t="shared" si="41"/>
        <v>0</v>
      </c>
      <c r="Y260" s="271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control'!$H$34:$H$60,MATCH($A$1,'Version control'!$F$34:$F$60,0),1)&amp;"-I: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4">
        <f t="shared" ref="H269:H277" si="42">SUM(J269:Y269)</f>
        <v>1993.4762951144905</v>
      </c>
      <c r="I269" s="277"/>
      <c r="J269" s="277">
        <f t="shared" ref="J269:Y277" si="43">J239 + J252 + J168</f>
        <v>1152.8171078585488</v>
      </c>
      <c r="K269" s="277">
        <f t="shared" si="43"/>
        <v>0.31528842806869062</v>
      </c>
      <c r="L269" s="277">
        <f t="shared" si="43"/>
        <v>313.62419998794104</v>
      </c>
      <c r="M269" s="277">
        <f t="shared" si="43"/>
        <v>0.11269934739210036</v>
      </c>
      <c r="N269" s="277">
        <f t="shared" si="43"/>
        <v>151.22061310217055</v>
      </c>
      <c r="O269" s="277">
        <f t="shared" si="43"/>
        <v>174.98844918751624</v>
      </c>
      <c r="P269" s="277">
        <f t="shared" si="43"/>
        <v>237.44594238383979</v>
      </c>
      <c r="Q269" s="277">
        <f t="shared" si="43"/>
        <v>25.993881257805437</v>
      </c>
      <c r="R269" s="277">
        <f t="shared" si="43"/>
        <v>-0.201197174110473</v>
      </c>
      <c r="S269" s="277">
        <f t="shared" si="43"/>
        <v>-2.7038723921152603E-2</v>
      </c>
      <c r="T269" s="277">
        <f t="shared" si="43"/>
        <v>-6.7554420651711649</v>
      </c>
      <c r="U269" s="277">
        <f t="shared" si="43"/>
        <v>0</v>
      </c>
      <c r="V269" s="277">
        <f t="shared" si="43"/>
        <v>-1.7977079411529324</v>
      </c>
      <c r="W269" s="277">
        <f t="shared" si="43"/>
        <v>0</v>
      </c>
      <c r="X269" s="277">
        <f t="shared" si="43"/>
        <v>-54.260500534436083</v>
      </c>
      <c r="Y269" s="277">
        <f t="shared" si="43"/>
        <v>0</v>
      </c>
      <c r="AQ269" s="88"/>
    </row>
    <row r="270" spans="2:43" x14ac:dyDescent="0.25">
      <c r="C270" s="96"/>
      <c r="F270" s="293" t="s">
        <v>44</v>
      </c>
      <c r="G270" s="293" t="s">
        <v>102</v>
      </c>
      <c r="H270" s="256">
        <f t="shared" si="42"/>
        <v>1983.5585026014837</v>
      </c>
      <c r="I270" s="252"/>
      <c r="J270" s="252">
        <f t="shared" si="43"/>
        <v>1147.0816993617402</v>
      </c>
      <c r="K270" s="252">
        <f t="shared" si="43"/>
        <v>0.31371982892407035</v>
      </c>
      <c r="L270" s="252">
        <f t="shared" si="43"/>
        <v>312.06388058501602</v>
      </c>
      <c r="M270" s="252">
        <f t="shared" si="43"/>
        <v>0.1121386541214929</v>
      </c>
      <c r="N270" s="252">
        <f t="shared" si="43"/>
        <v>150.46827174345333</v>
      </c>
      <c r="O270" s="252">
        <f t="shared" si="43"/>
        <v>174.11785988807586</v>
      </c>
      <c r="P270" s="252">
        <f t="shared" si="43"/>
        <v>236.26461928740275</v>
      </c>
      <c r="Q270" s="252">
        <f t="shared" si="43"/>
        <v>25.864558465478051</v>
      </c>
      <c r="R270" s="252">
        <f t="shared" si="43"/>
        <v>-0.20019619314474929</v>
      </c>
      <c r="S270" s="252">
        <f t="shared" si="43"/>
        <v>-2.6904202906619511E-2</v>
      </c>
      <c r="T270" s="252">
        <f t="shared" si="43"/>
        <v>-6.7218329006678266</v>
      </c>
      <c r="U270" s="252">
        <f t="shared" si="43"/>
        <v>0</v>
      </c>
      <c r="V270" s="252">
        <f t="shared" si="43"/>
        <v>-1.7887641205501816</v>
      </c>
      <c r="W270" s="252">
        <f t="shared" si="43"/>
        <v>0</v>
      </c>
      <c r="X270" s="252">
        <f t="shared" si="43"/>
        <v>-53.990547795458795</v>
      </c>
      <c r="Y270" s="252">
        <f t="shared" si="43"/>
        <v>0</v>
      </c>
      <c r="AQ270" s="88"/>
    </row>
    <row r="271" spans="2:43" x14ac:dyDescent="0.25">
      <c r="C271" s="96"/>
      <c r="F271" s="293" t="s">
        <v>45</v>
      </c>
      <c r="G271" s="293" t="s">
        <v>102</v>
      </c>
      <c r="H271" s="256">
        <f t="shared" si="42"/>
        <v>1909.8792973889283</v>
      </c>
      <c r="I271" s="252"/>
      <c r="J271" s="252">
        <f t="shared" si="43"/>
        <v>1072.3329146328063</v>
      </c>
      <c r="K271" s="252">
        <f t="shared" si="43"/>
        <v>0.55080035861885779</v>
      </c>
      <c r="L271" s="252">
        <f t="shared" si="43"/>
        <v>318.33659972769306</v>
      </c>
      <c r="M271" s="252">
        <f t="shared" si="43"/>
        <v>0.21401548523936381</v>
      </c>
      <c r="N271" s="252">
        <f t="shared" si="43"/>
        <v>147.89721675440066</v>
      </c>
      <c r="O271" s="252">
        <f t="shared" si="43"/>
        <v>173.69002469247454</v>
      </c>
      <c r="P271" s="252">
        <f t="shared" si="43"/>
        <v>234.86729185094296</v>
      </c>
      <c r="Q271" s="252">
        <f t="shared" si="43"/>
        <v>22.816880899321809</v>
      </c>
      <c r="R271" s="252">
        <f t="shared" si="43"/>
        <v>-0.20190696265461813</v>
      </c>
      <c r="S271" s="252">
        <f t="shared" si="43"/>
        <v>-2.6818112049749002E-2</v>
      </c>
      <c r="T271" s="252">
        <f t="shared" si="43"/>
        <v>-6.7765148996906772</v>
      </c>
      <c r="U271" s="252">
        <f t="shared" si="43"/>
        <v>0</v>
      </c>
      <c r="V271" s="252">
        <f t="shared" si="43"/>
        <v>-1.783282287550737</v>
      </c>
      <c r="W271" s="252">
        <f t="shared" si="43"/>
        <v>0</v>
      </c>
      <c r="X271" s="252">
        <f t="shared" si="43"/>
        <v>-52.037924750623304</v>
      </c>
      <c r="Y271" s="252">
        <f t="shared" si="43"/>
        <v>0</v>
      </c>
      <c r="AQ271" s="88"/>
    </row>
    <row r="272" spans="2:43" x14ac:dyDescent="0.25">
      <c r="C272" s="96"/>
      <c r="F272" s="293" t="s">
        <v>46</v>
      </c>
      <c r="G272" s="293" t="s">
        <v>102</v>
      </c>
      <c r="H272" s="256">
        <f t="shared" si="42"/>
        <v>1946.4715773391249</v>
      </c>
      <c r="I272" s="252"/>
      <c r="J272" s="252">
        <f t="shared" si="43"/>
        <v>1066.0126813442043</v>
      </c>
      <c r="K272" s="252">
        <f t="shared" si="43"/>
        <v>0.54755399108279379</v>
      </c>
      <c r="L272" s="252">
        <f t="shared" si="43"/>
        <v>316.460352578021</v>
      </c>
      <c r="M272" s="252">
        <f t="shared" si="43"/>
        <v>0.2127540973106446</v>
      </c>
      <c r="N272" s="252">
        <f t="shared" si="43"/>
        <v>147.02552392480695</v>
      </c>
      <c r="O272" s="252">
        <f t="shared" si="43"/>
        <v>172.6663113838745</v>
      </c>
      <c r="P272" s="252">
        <f t="shared" si="43"/>
        <v>281.33194118544986</v>
      </c>
      <c r="Q272" s="252">
        <f t="shared" si="43"/>
        <v>22.682400265337591</v>
      </c>
      <c r="R272" s="252">
        <f t="shared" si="43"/>
        <v>-0.20071694126372647</v>
      </c>
      <c r="S272" s="252">
        <f t="shared" si="43"/>
        <v>-2.6660048520968555E-2</v>
      </c>
      <c r="T272" s="252">
        <f t="shared" si="43"/>
        <v>-6.7365747332877852</v>
      </c>
      <c r="U272" s="252">
        <f t="shared" si="43"/>
        <v>0</v>
      </c>
      <c r="V272" s="252">
        <f t="shared" si="43"/>
        <v>-1.7727717829089844</v>
      </c>
      <c r="W272" s="252">
        <f t="shared" si="43"/>
        <v>0</v>
      </c>
      <c r="X272" s="252">
        <f t="shared" si="43"/>
        <v>-51.731217924981117</v>
      </c>
      <c r="Y272" s="252">
        <f t="shared" si="43"/>
        <v>0</v>
      </c>
      <c r="AQ272" s="88"/>
    </row>
    <row r="273" spans="2:43" x14ac:dyDescent="0.25">
      <c r="C273" s="96"/>
      <c r="F273" s="293" t="s">
        <v>47</v>
      </c>
      <c r="G273" s="293" t="s">
        <v>102</v>
      </c>
      <c r="H273" s="256">
        <f t="shared" si="42"/>
        <v>2124.2636398045047</v>
      </c>
      <c r="I273" s="252"/>
      <c r="J273" s="252">
        <f t="shared" si="43"/>
        <v>1048.8724184008108</v>
      </c>
      <c r="K273" s="252">
        <f t="shared" si="43"/>
        <v>0.47136880109367213</v>
      </c>
      <c r="L273" s="252">
        <f t="shared" si="43"/>
        <v>321.0092155567948</v>
      </c>
      <c r="M273" s="252">
        <f t="shared" si="43"/>
        <v>0.18601075330084085</v>
      </c>
      <c r="N273" s="252">
        <f t="shared" si="43"/>
        <v>147.80636829306215</v>
      </c>
      <c r="O273" s="252">
        <f t="shared" si="43"/>
        <v>174.3506676254448</v>
      </c>
      <c r="P273" s="252">
        <f t="shared" si="43"/>
        <v>469.04169904612337</v>
      </c>
      <c r="Q273" s="252">
        <f t="shared" si="43"/>
        <v>22.586143623607626</v>
      </c>
      <c r="R273" s="252">
        <f t="shared" si="43"/>
        <v>-0.20191277501238819</v>
      </c>
      <c r="S273" s="252">
        <f t="shared" si="43"/>
        <v>-2.6552998235783554E-2</v>
      </c>
      <c r="T273" s="252">
        <f t="shared" si="43"/>
        <v>-6.7579289937029667</v>
      </c>
      <c r="U273" s="252">
        <f t="shared" si="43"/>
        <v>0</v>
      </c>
      <c r="V273" s="252">
        <f t="shared" si="43"/>
        <v>-1.7656934807586571</v>
      </c>
      <c r="W273" s="252">
        <f t="shared" si="43"/>
        <v>0</v>
      </c>
      <c r="X273" s="252">
        <f t="shared" si="43"/>
        <v>-51.308164048024182</v>
      </c>
      <c r="Y273" s="252">
        <f t="shared" si="43"/>
        <v>0</v>
      </c>
      <c r="AQ273" s="88"/>
    </row>
    <row r="274" spans="2:43" x14ac:dyDescent="0.25">
      <c r="C274" s="96"/>
      <c r="F274" s="293" t="s">
        <v>51</v>
      </c>
      <c r="G274" s="293" t="s">
        <v>102</v>
      </c>
      <c r="H274" s="256">
        <f t="shared" si="42"/>
        <v>0</v>
      </c>
      <c r="I274" s="252"/>
      <c r="J274" s="252">
        <f t="shared" si="43"/>
        <v>0</v>
      </c>
      <c r="K274" s="252">
        <f t="shared" si="43"/>
        <v>0</v>
      </c>
      <c r="L274" s="252">
        <f t="shared" si="43"/>
        <v>0</v>
      </c>
      <c r="M274" s="252">
        <f t="shared" si="43"/>
        <v>0</v>
      </c>
      <c r="N274" s="252">
        <f t="shared" si="43"/>
        <v>0</v>
      </c>
      <c r="O274" s="252">
        <f t="shared" si="43"/>
        <v>0</v>
      </c>
      <c r="P274" s="252">
        <f t="shared" si="43"/>
        <v>0</v>
      </c>
      <c r="Q274" s="252">
        <f t="shared" si="43"/>
        <v>0</v>
      </c>
      <c r="R274" s="252">
        <f t="shared" si="43"/>
        <v>0</v>
      </c>
      <c r="S274" s="252">
        <f t="shared" si="43"/>
        <v>0</v>
      </c>
      <c r="T274" s="252">
        <f t="shared" si="43"/>
        <v>0</v>
      </c>
      <c r="U274" s="252">
        <f t="shared" si="43"/>
        <v>0</v>
      </c>
      <c r="V274" s="252">
        <f t="shared" si="43"/>
        <v>0</v>
      </c>
      <c r="W274" s="252">
        <f t="shared" si="43"/>
        <v>0</v>
      </c>
      <c r="X274" s="252">
        <f t="shared" si="43"/>
        <v>0</v>
      </c>
      <c r="Y274" s="252">
        <f t="shared" si="43"/>
        <v>0</v>
      </c>
      <c r="AQ274" s="88"/>
    </row>
    <row r="275" spans="2:43" x14ac:dyDescent="0.25">
      <c r="C275" s="96"/>
      <c r="F275" s="293" t="s">
        <v>48</v>
      </c>
      <c r="G275" s="293" t="s">
        <v>102</v>
      </c>
      <c r="H275" s="256">
        <f t="shared" si="42"/>
        <v>2279.616400146469</v>
      </c>
      <c r="I275" s="252"/>
      <c r="J275" s="252">
        <f t="shared" si="43"/>
        <v>1037.7464814650259</v>
      </c>
      <c r="K275" s="252">
        <f t="shared" si="43"/>
        <v>0.46636874630868624</v>
      </c>
      <c r="L275" s="252">
        <f t="shared" si="43"/>
        <v>317.60410333777384</v>
      </c>
      <c r="M275" s="252">
        <f t="shared" si="43"/>
        <v>0.18403764019928903</v>
      </c>
      <c r="N275" s="252">
        <f t="shared" si="43"/>
        <v>187.52142595268526</v>
      </c>
      <c r="O275" s="252">
        <f t="shared" si="43"/>
        <v>335.68473179897342</v>
      </c>
      <c r="P275" s="252">
        <f t="shared" si="43"/>
        <v>386.72194087216542</v>
      </c>
      <c r="Q275" s="252">
        <f t="shared" si="43"/>
        <v>22.346560615064057</v>
      </c>
      <c r="R275" s="252">
        <f t="shared" si="43"/>
        <v>-0.19977098087050174</v>
      </c>
      <c r="S275" s="252">
        <f t="shared" si="43"/>
        <v>-2.6271336730871678E-2</v>
      </c>
      <c r="T275" s="252">
        <f t="shared" si="43"/>
        <v>-6.6862441152741026</v>
      </c>
      <c r="U275" s="252">
        <f t="shared" si="43"/>
        <v>0</v>
      </c>
      <c r="V275" s="252">
        <f t="shared" si="43"/>
        <v>-1.7469638488508989</v>
      </c>
      <c r="W275" s="252">
        <f t="shared" si="43"/>
        <v>0</v>
      </c>
      <c r="X275" s="252">
        <f t="shared" si="43"/>
        <v>0</v>
      </c>
      <c r="Y275" s="252">
        <f t="shared" si="43"/>
        <v>0</v>
      </c>
      <c r="AQ275" s="88"/>
    </row>
    <row r="276" spans="2:43" x14ac:dyDescent="0.25">
      <c r="C276" s="96"/>
      <c r="F276" s="293" t="s">
        <v>49</v>
      </c>
      <c r="G276" s="293" t="s">
        <v>102</v>
      </c>
      <c r="H276" s="256">
        <f t="shared" si="42"/>
        <v>2017.0084405400496</v>
      </c>
      <c r="I276" s="252"/>
      <c r="J276" s="252">
        <f t="shared" si="43"/>
        <v>1016.1880087622587</v>
      </c>
      <c r="K276" s="252">
        <f t="shared" si="43"/>
        <v>0.45668025488395436</v>
      </c>
      <c r="L276" s="252">
        <f t="shared" si="43"/>
        <v>311.00609552527993</v>
      </c>
      <c r="M276" s="252">
        <f t="shared" si="43"/>
        <v>0.18021438421781183</v>
      </c>
      <c r="N276" s="252">
        <f t="shared" si="43"/>
        <v>345.32696703488739</v>
      </c>
      <c r="O276" s="252">
        <f t="shared" si="43"/>
        <v>328.71111130834316</v>
      </c>
      <c r="P276" s="252">
        <f t="shared" si="43"/>
        <v>0</v>
      </c>
      <c r="Q276" s="252">
        <f t="shared" si="43"/>
        <v>21.882326116922972</v>
      </c>
      <c r="R276" s="252">
        <f t="shared" si="43"/>
        <v>-0.19562087550775287</v>
      </c>
      <c r="S276" s="252">
        <f t="shared" si="43"/>
        <v>0</v>
      </c>
      <c r="T276" s="252">
        <f t="shared" si="43"/>
        <v>-6.5473419712363023</v>
      </c>
      <c r="U276" s="252">
        <f t="shared" si="43"/>
        <v>0</v>
      </c>
      <c r="V276" s="252">
        <f t="shared" si="43"/>
        <v>0</v>
      </c>
      <c r="W276" s="252">
        <f t="shared" si="43"/>
        <v>0</v>
      </c>
      <c r="X276" s="252">
        <f t="shared" si="43"/>
        <v>0</v>
      </c>
      <c r="Y276" s="252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8">
        <f t="shared" si="42"/>
        <v>1424.1286839955642</v>
      </c>
      <c r="I277" s="271"/>
      <c r="J277" s="271">
        <f t="shared" si="43"/>
        <v>810.40139054892779</v>
      </c>
      <c r="K277" s="271">
        <f t="shared" si="43"/>
        <v>0</v>
      </c>
      <c r="L277" s="271">
        <f t="shared" si="43"/>
        <v>241.28900615555503</v>
      </c>
      <c r="M277" s="271">
        <f t="shared" si="43"/>
        <v>0</v>
      </c>
      <c r="N277" s="271">
        <f t="shared" si="43"/>
        <v>351.52368137247009</v>
      </c>
      <c r="O277" s="271">
        <f t="shared" si="43"/>
        <v>0</v>
      </c>
      <c r="P277" s="271">
        <f t="shared" si="43"/>
        <v>0</v>
      </c>
      <c r="Q277" s="271">
        <f t="shared" si="43"/>
        <v>20.914605918611393</v>
      </c>
      <c r="R277" s="271">
        <f t="shared" si="43"/>
        <v>0</v>
      </c>
      <c r="S277" s="271">
        <f t="shared" si="43"/>
        <v>0</v>
      </c>
      <c r="T277" s="271">
        <f t="shared" si="43"/>
        <v>0</v>
      </c>
      <c r="U277" s="271">
        <f t="shared" si="43"/>
        <v>0</v>
      </c>
      <c r="V277" s="271">
        <f t="shared" si="43"/>
        <v>0</v>
      </c>
      <c r="W277" s="271">
        <f t="shared" si="43"/>
        <v>0</v>
      </c>
      <c r="X277" s="271">
        <f t="shared" si="43"/>
        <v>0</v>
      </c>
      <c r="Y277" s="271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3" t="s">
        <v>416</v>
      </c>
      <c r="G281" s="122" t="s">
        <v>589</v>
      </c>
      <c r="H281" s="310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00000000-0004-0000-16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635</v>
      </c>
    </row>
    <row r="10" spans="1:43" x14ac:dyDescent="0.25">
      <c r="C10" s="82" t="s">
        <v>636</v>
      </c>
    </row>
    <row r="11" spans="1:43" x14ac:dyDescent="0.25">
      <c r="D11" s="96"/>
      <c r="AQ11" s="88"/>
    </row>
    <row r="12" spans="1:43" x14ac:dyDescent="0.25">
      <c r="B12" s="95" t="s">
        <v>669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control'!$H$34:$H$60,MATCH($A$1,'Version control'!$F$34:$F$60,0),1)&amp;"-A: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402</v>
      </c>
      <c r="G16" s="14" t="s">
        <v>74</v>
      </c>
      <c r="J16" s="273">
        <f>'Volume adjustments'!J275</f>
        <v>1422018.8938824672</v>
      </c>
      <c r="K16" s="273">
        <f>'Volume adjustments'!K275</f>
        <v>3156</v>
      </c>
      <c r="L16" s="273">
        <f>'Volume adjustments'!L275</f>
        <v>101402.97544318593</v>
      </c>
      <c r="M16" s="273">
        <f>'Volume adjustments'!M275</f>
        <v>997</v>
      </c>
      <c r="N16" s="273">
        <f>'Volume adjustments'!N275</f>
        <v>5541.9855220795371</v>
      </c>
      <c r="O16" s="273">
        <f>'Volume adjustments'!O275</f>
        <v>3090.3028673264839</v>
      </c>
      <c r="P16" s="273">
        <f>'Volume adjustments'!P275</f>
        <v>814.99528425753192</v>
      </c>
      <c r="Q16" s="273">
        <f>'Volume adjustments'!Q275</f>
        <v>609.29602287087573</v>
      </c>
      <c r="R16" s="273">
        <f>'Volume adjustments'!R275</f>
        <v>283</v>
      </c>
      <c r="S16" s="273">
        <f>'Volume adjustments'!S275</f>
        <v>25</v>
      </c>
      <c r="T16" s="273">
        <f>'Volume adjustments'!T275</f>
        <v>317</v>
      </c>
      <c r="U16" s="273">
        <f>'Volume adjustments'!U275</f>
        <v>0</v>
      </c>
      <c r="V16" s="273">
        <f>'Volume adjustments'!V275</f>
        <v>41</v>
      </c>
      <c r="W16" s="273">
        <f>'Volume adjustments'!W275</f>
        <v>0</v>
      </c>
      <c r="X16" s="273">
        <f>'Volume adjustments'!X275</f>
        <v>138</v>
      </c>
      <c r="Y16" s="273">
        <f>'Volume adjustments'!Y275</f>
        <v>0</v>
      </c>
    </row>
    <row r="17" spans="5:27" x14ac:dyDescent="0.25">
      <c r="E17" s="14" t="s">
        <v>627</v>
      </c>
      <c r="G17" s="14" t="s">
        <v>120</v>
      </c>
      <c r="J17" s="272">
        <f>'Volume adjustments'!J264</f>
        <v>5158941.2778570866</v>
      </c>
      <c r="K17" s="272">
        <f>'Volume adjustments'!K264</f>
        <v>12720.448139457254</v>
      </c>
      <c r="L17" s="272">
        <f>'Volume adjustments'!L264</f>
        <v>1473996.3957243746</v>
      </c>
      <c r="M17" s="272">
        <f>'Volume adjustments'!M264</f>
        <v>4144.7487517799218</v>
      </c>
      <c r="N17" s="272">
        <f>'Volume adjustments'!N264</f>
        <v>855181.24928510969</v>
      </c>
      <c r="O17" s="272">
        <f>'Volume adjustments'!O264</f>
        <v>1074282.3448314141</v>
      </c>
      <c r="P17" s="272">
        <f>'Volume adjustments'!P264</f>
        <v>1771145.6762218275</v>
      </c>
      <c r="Q17" s="272">
        <f>'Volume adjustments'!Q264</f>
        <v>148072.09292878056</v>
      </c>
      <c r="R17" s="272">
        <f>'Volume adjustments'!R264</f>
        <v>1548.2540705986667</v>
      </c>
      <c r="S17" s="272">
        <f>'Volume adjustments'!S264</f>
        <v>221.47204705766666</v>
      </c>
      <c r="T17" s="272">
        <f>'Volume adjustments'!T264</f>
        <v>53039.337338691003</v>
      </c>
      <c r="U17" s="272">
        <f>'Volume adjustments'!U264</f>
        <v>0</v>
      </c>
      <c r="V17" s="272">
        <f>'Volume adjustments'!V264</f>
        <v>14732.789051421003</v>
      </c>
      <c r="W17" s="272">
        <f>'Volume adjustments'!W264</f>
        <v>0</v>
      </c>
      <c r="X17" s="272">
        <f>'Volume adjustments'!X264</f>
        <v>389242.80044582405</v>
      </c>
      <c r="Y17" s="272">
        <f>'Volume adjustments'!Y264</f>
        <v>0</v>
      </c>
    </row>
    <row r="18" spans="5:27" x14ac:dyDescent="0.2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25">
      <c r="E19" s="86" t="s">
        <v>629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25">
      <c r="E20" s="82" t="s">
        <v>628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25">
      <c r="E21" s="86"/>
      <c r="F21" s="91" t="s">
        <v>124</v>
      </c>
      <c r="G21" s="91" t="s">
        <v>510</v>
      </c>
      <c r="H21" s="141"/>
      <c r="I21" s="91"/>
      <c r="J21" s="272">
        <f>'Inputs by customer type'!J190</f>
        <v>377.70000000000005</v>
      </c>
      <c r="K21" s="272">
        <f>'Inputs by customer type'!K190</f>
        <v>0</v>
      </c>
      <c r="L21" s="272">
        <f>'Inputs by customer type'!L190</f>
        <v>508.75</v>
      </c>
      <c r="M21" s="272">
        <f>'Inputs by customer type'!M190</f>
        <v>0</v>
      </c>
      <c r="N21" s="272">
        <f>'Inputs by customer type'!N190</f>
        <v>2380</v>
      </c>
      <c r="O21" s="272">
        <f>'Inputs by customer type'!O190</f>
        <v>840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25">
      <c r="E22" s="86"/>
      <c r="F22" s="293" t="s">
        <v>123</v>
      </c>
      <c r="G22" s="293" t="s">
        <v>510</v>
      </c>
      <c r="H22" s="379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12718.10554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9287</v>
      </c>
      <c r="Y22" s="273">
        <f>'Inputs by customer type'!Y191</f>
        <v>9287</v>
      </c>
    </row>
    <row r="23" spans="5:27" x14ac:dyDescent="0.25">
      <c r="E23" s="86"/>
      <c r="F23" s="93" t="s">
        <v>381</v>
      </c>
      <c r="G23" s="93" t="s">
        <v>271</v>
      </c>
      <c r="H23" s="93"/>
      <c r="I23" s="93"/>
      <c r="J23" s="428"/>
      <c r="K23" s="428"/>
      <c r="L23" s="428"/>
      <c r="M23" s="428"/>
      <c r="N23" s="428"/>
      <c r="O23" s="428"/>
      <c r="P23" s="428"/>
      <c r="Q23" s="427">
        <f>'Inputs by customer type'!Q193</f>
        <v>120.51</v>
      </c>
      <c r="R23" s="428"/>
      <c r="S23" s="428"/>
      <c r="T23" s="428"/>
      <c r="U23" s="428"/>
      <c r="V23" s="428"/>
      <c r="W23" s="428"/>
      <c r="X23" s="428"/>
      <c r="Y23" s="428"/>
    </row>
    <row r="24" spans="5:27" x14ac:dyDescent="0.2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25">
      <c r="E25" s="86" t="s">
        <v>630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25">
      <c r="E26" s="82" t="s">
        <v>634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962</v>
      </c>
    </row>
    <row r="27" spans="5:27" x14ac:dyDescent="0.25">
      <c r="F27" s="91" t="s">
        <v>124</v>
      </c>
      <c r="G27" s="91" t="s">
        <v>107</v>
      </c>
      <c r="H27" s="74"/>
      <c r="I27" s="91"/>
      <c r="J27" s="267">
        <f t="shared" ref="J27:Y28" si="0">J21 * J$16</f>
        <v>537096536.21940792</v>
      </c>
      <c r="K27" s="267">
        <f t="shared" si="0"/>
        <v>0</v>
      </c>
      <c r="L27" s="267">
        <f t="shared" si="0"/>
        <v>51588763.756720841</v>
      </c>
      <c r="M27" s="267">
        <f t="shared" si="0"/>
        <v>0</v>
      </c>
      <c r="N27" s="267">
        <f t="shared" si="0"/>
        <v>13189925.542549299</v>
      </c>
      <c r="O27" s="267">
        <f t="shared" si="0"/>
        <v>2595854.4085542466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2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10365196.039789591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1281606</v>
      </c>
      <c r="Y28" s="275">
        <f t="shared" si="0"/>
        <v>0</v>
      </c>
    </row>
    <row r="29" spans="5:27" x14ac:dyDescent="0.25">
      <c r="F29" s="93" t="s">
        <v>381</v>
      </c>
      <c r="G29" s="93" t="s">
        <v>107</v>
      </c>
      <c r="H29" s="187"/>
      <c r="I29" s="93"/>
      <c r="J29" s="428"/>
      <c r="K29" s="428"/>
      <c r="L29" s="428"/>
      <c r="M29" s="428"/>
      <c r="N29" s="428"/>
      <c r="O29" s="428"/>
      <c r="P29" s="428"/>
      <c r="Q29" s="270">
        <f t="shared" ref="Q29" si="1">Q23 * Q$17</f>
        <v>17844167.918847345</v>
      </c>
      <c r="R29" s="428"/>
      <c r="S29" s="428"/>
      <c r="T29" s="428"/>
      <c r="U29" s="428"/>
      <c r="V29" s="428"/>
      <c r="W29" s="428"/>
      <c r="X29" s="428"/>
      <c r="Y29" s="428"/>
    </row>
    <row r="30" spans="5:27" x14ac:dyDescent="0.2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25">
      <c r="E31" s="86" t="s">
        <v>758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25">
      <c r="E32" s="82" t="s">
        <v>633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25">
      <c r="F33" s="91" t="s">
        <v>631</v>
      </c>
      <c r="G33" s="91" t="s">
        <v>107</v>
      </c>
      <c r="H33" s="254">
        <f>SUM(J33:Y33)</f>
        <v>622315247.84607959</v>
      </c>
      <c r="I33" s="91"/>
      <c r="J33" s="277">
        <f t="shared" ref="J33:Y33" si="2">J27 +J29</f>
        <v>537096536.21940792</v>
      </c>
      <c r="K33" s="277">
        <f t="shared" si="2"/>
        <v>0</v>
      </c>
      <c r="L33" s="277">
        <f t="shared" si="2"/>
        <v>51588763.756720841</v>
      </c>
      <c r="M33" s="277">
        <f t="shared" si="2"/>
        <v>0</v>
      </c>
      <c r="N33" s="277">
        <f t="shared" si="2"/>
        <v>13189925.542549299</v>
      </c>
      <c r="O33" s="277">
        <f t="shared" si="2"/>
        <v>2595854.4085542466</v>
      </c>
      <c r="P33" s="277">
        <f t="shared" si="2"/>
        <v>0</v>
      </c>
      <c r="Q33" s="277">
        <f t="shared" si="2"/>
        <v>17844167.918847345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25">
      <c r="F34" s="93" t="s">
        <v>632</v>
      </c>
      <c r="G34" s="93" t="s">
        <v>107</v>
      </c>
      <c r="H34" s="258">
        <f>SUM(J34:Y34)</f>
        <v>11646802.039789591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10365196.039789591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1281606</v>
      </c>
      <c r="Y34" s="280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3" t="s">
        <v>416</v>
      </c>
      <c r="G38" s="122" t="s">
        <v>589</v>
      </c>
      <c r="H38" s="310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00000000-0002-0000-1700-000000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00000000-0002-0000-1700-000001000000}">
      <formula1>0</formula1>
    </dataValidation>
  </dataValidations>
  <hyperlinks>
    <hyperlink ref="B5:F5" location="'Model map'!A1" display="Click here to return to model map" xr:uid="{00000000-0004-0000-17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66" width="24.5703125" style="293" hidden="1" customWidth="1"/>
    <col min="267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4"/>
      <c r="J5" s="8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408</v>
      </c>
      <c r="D9" s="82"/>
    </row>
    <row r="10" spans="1:23" x14ac:dyDescent="0.25">
      <c r="C10" s="82" t="s">
        <v>904</v>
      </c>
      <c r="D10" s="82"/>
    </row>
    <row r="11" spans="1:23" x14ac:dyDescent="0.25">
      <c r="C11" s="82"/>
      <c r="D11" s="82" t="s">
        <v>683</v>
      </c>
    </row>
    <row r="12" spans="1:23" x14ac:dyDescent="0.25">
      <c r="C12" s="82"/>
      <c r="D12" s="82" t="s">
        <v>358</v>
      </c>
    </row>
    <row r="13" spans="1:23" x14ac:dyDescent="0.25">
      <c r="C13" s="82" t="s">
        <v>719</v>
      </c>
      <c r="D13" s="82"/>
    </row>
    <row r="15" spans="1:23" x14ac:dyDescent="0.25">
      <c r="B15" s="95" t="s">
        <v>908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909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control'!$H$34:$H$60,MATCH($A$1,'Version control'!$F$34:$F$60,0),1)&amp;"-A: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25">
      <c r="H20" s="88"/>
    </row>
    <row r="21" spans="3:25" x14ac:dyDescent="0.2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697</v>
      </c>
    </row>
    <row r="22" spans="3:25" x14ac:dyDescent="0.25">
      <c r="D22" s="82"/>
    </row>
    <row r="23" spans="3:25" x14ac:dyDescent="0.25">
      <c r="D23" s="86"/>
      <c r="E23" s="14" t="s">
        <v>616</v>
      </c>
      <c r="G23" s="14" t="s">
        <v>94</v>
      </c>
      <c r="H23" s="383">
        <f>'General inputs'!H94</f>
        <v>3.6499999999999998E-2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399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0">
        <f>H23 / (1 - (1 + H23) ^ -H24)</f>
        <v>4.792270865014963E-2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control'!$H$34:$H$60,MATCH($A$1,'Version control'!$F$34:$F$60,0),1)&amp;"-B: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3" t="s">
        <v>542</v>
      </c>
      <c r="F31" s="385"/>
      <c r="G31" s="14" t="s">
        <v>99</v>
      </c>
      <c r="H31" s="88"/>
      <c r="I31" s="88"/>
      <c r="J31" s="279"/>
      <c r="K31" s="273">
        <f>'Load &amp; loss characteristics'!K29</f>
        <v>1</v>
      </c>
      <c r="L31" s="273">
        <f>'Load &amp; loss characteristics'!L29</f>
        <v>1.0049999999999999</v>
      </c>
      <c r="M31" s="273">
        <f>'Load &amp; loss characteristics'!M29</f>
        <v>1.012</v>
      </c>
      <c r="N31" s="273">
        <f>'Load &amp; loss characteristics'!N29</f>
        <v>1.018</v>
      </c>
      <c r="O31" s="273">
        <f>'Load &amp; loss characteristics'!O29</f>
        <v>1.026</v>
      </c>
      <c r="P31" s="273">
        <f>'Load &amp; loss characteristics'!P29</f>
        <v>1.026</v>
      </c>
      <c r="Q31" s="273">
        <f>'Load &amp; loss characteristics'!Q29</f>
        <v>1.0369999999999999</v>
      </c>
      <c r="R31" s="273">
        <f>'Load &amp; loss characteristics'!R29</f>
        <v>1.0589999999999999</v>
      </c>
      <c r="S31" s="273">
        <f>'Load &amp; loss characteristics'!S29</f>
        <v>1.1080000000000001</v>
      </c>
      <c r="T31" s="279"/>
      <c r="U31" s="279"/>
    </row>
    <row r="32" spans="3:25" x14ac:dyDescent="0.25">
      <c r="E32" s="293" t="s">
        <v>152</v>
      </c>
      <c r="F32" s="401"/>
      <c r="G32" s="14" t="s">
        <v>94</v>
      </c>
      <c r="H32" s="88"/>
      <c r="I32" s="88"/>
      <c r="J32" s="402"/>
      <c r="K32" s="403">
        <f>'Load &amp; loss characteristics'!$K$23</f>
        <v>2.4999999999999911E-2</v>
      </c>
      <c r="L32" s="404"/>
      <c r="M32" s="404"/>
      <c r="N32" s="404"/>
      <c r="O32" s="404"/>
      <c r="P32" s="402"/>
      <c r="Q32" s="404"/>
      <c r="R32" s="404"/>
      <c r="S32" s="404"/>
      <c r="T32" s="402"/>
      <c r="U32" s="402"/>
      <c r="Y32" s="3"/>
    </row>
    <row r="33" spans="3:23" x14ac:dyDescent="0.25">
      <c r="E33" s="293" t="s">
        <v>151</v>
      </c>
      <c r="F33" s="385"/>
      <c r="G33" s="14" t="s">
        <v>94</v>
      </c>
      <c r="H33" s="88"/>
      <c r="I33" s="88"/>
      <c r="J33" s="369"/>
      <c r="K33" s="400">
        <f xml:space="preserve"> 1 / (1 + K32)</f>
        <v>0.97560975609756106</v>
      </c>
      <c r="L33" s="404"/>
      <c r="M33" s="404"/>
      <c r="N33" s="404"/>
      <c r="O33" s="404"/>
      <c r="P33" s="404"/>
      <c r="Q33" s="404"/>
      <c r="R33" s="404"/>
      <c r="S33" s="404"/>
      <c r="T33" s="402"/>
      <c r="U33" s="402"/>
      <c r="W33" s="88"/>
    </row>
    <row r="34" spans="3:23" x14ac:dyDescent="0.25">
      <c r="F34" s="385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control'!$H$34:$H$60,MATCH($A$1,'Version control'!$F$34:$F$60,0),1)&amp;"-C: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910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3" t="s">
        <v>101</v>
      </c>
      <c r="F39" s="385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25">
      <c r="E40" s="293" t="s">
        <v>103</v>
      </c>
      <c r="F40" s="385"/>
      <c r="G40" s="14" t="s">
        <v>102</v>
      </c>
      <c r="H40" s="88"/>
      <c r="I40" s="88" t="s">
        <v>359</v>
      </c>
      <c r="J40" s="279"/>
      <c r="K40" s="405">
        <f t="shared" ref="K40:S40" si="0">$H$39 * $K$33 / K31</f>
        <v>487.80487804878055</v>
      </c>
      <c r="L40" s="405">
        <f t="shared" si="0"/>
        <v>485.37798810823938</v>
      </c>
      <c r="M40" s="405">
        <f t="shared" si="0"/>
        <v>482.02063048298476</v>
      </c>
      <c r="N40" s="405">
        <f t="shared" si="0"/>
        <v>479.17964444870387</v>
      </c>
      <c r="O40" s="405">
        <f t="shared" si="0"/>
        <v>475.44335092473739</v>
      </c>
      <c r="P40" s="405">
        <f t="shared" si="0"/>
        <v>475.44335092473739</v>
      </c>
      <c r="Q40" s="405">
        <f t="shared" si="0"/>
        <v>470.40007526401212</v>
      </c>
      <c r="R40" s="405">
        <f t="shared" si="0"/>
        <v>460.62783574011388</v>
      </c>
      <c r="S40" s="405">
        <f t="shared" si="0"/>
        <v>440.25711015232901</v>
      </c>
      <c r="T40" s="279"/>
      <c r="U40" s="279"/>
      <c r="W40" s="88" t="s">
        <v>720</v>
      </c>
    </row>
    <row r="41" spans="3:23" x14ac:dyDescent="0.25">
      <c r="F41" s="385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control'!$H$34:$H$60,MATCH($A$1,'Version control'!$F$34:$F$60,0),1)&amp;"-D: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417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539</v>
      </c>
      <c r="G46" s="14" t="s">
        <v>94</v>
      </c>
      <c r="H46" s="88"/>
      <c r="I46" s="88"/>
      <c r="J46" s="404"/>
      <c r="K46" s="404"/>
      <c r="L46" s="404"/>
      <c r="M46" s="404"/>
      <c r="N46" s="404"/>
      <c r="O46" s="404"/>
      <c r="P46" s="403">
        <f>'Inputs by network level'!P20</f>
        <v>0</v>
      </c>
      <c r="Q46" s="404"/>
      <c r="R46" s="404"/>
      <c r="S46" s="404"/>
      <c r="T46" s="404"/>
      <c r="U46" s="404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04"/>
      <c r="K47" s="404"/>
      <c r="L47" s="404"/>
      <c r="M47" s="400">
        <f>IF(M46 = "", 1 - $P$46, M46)</f>
        <v>1</v>
      </c>
      <c r="N47" s="400">
        <f>IF(N46 = "", 1 - $P$46, N46)</f>
        <v>1</v>
      </c>
      <c r="O47" s="400">
        <f>IF(O46 = "", 1 - $P$46, O46)</f>
        <v>1</v>
      </c>
      <c r="P47" s="400">
        <f>IF(P46 = "", 1 - $P$46, P46)</f>
        <v>0</v>
      </c>
      <c r="Q47" s="404"/>
      <c r="R47" s="404"/>
      <c r="S47" s="404"/>
      <c r="T47" s="404"/>
      <c r="U47" s="404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79"/>
      <c r="K48" s="275">
        <f t="shared" ref="K48:S48" si="1">IF(K47 = "", K40, K47 * K40)</f>
        <v>487.80487804878055</v>
      </c>
      <c r="L48" s="275">
        <f t="shared" si="1"/>
        <v>485.37798810823938</v>
      </c>
      <c r="M48" s="275">
        <f t="shared" si="1"/>
        <v>482.02063048298476</v>
      </c>
      <c r="N48" s="275">
        <f t="shared" si="1"/>
        <v>479.17964444870387</v>
      </c>
      <c r="O48" s="275">
        <f t="shared" si="1"/>
        <v>475.44335092473739</v>
      </c>
      <c r="P48" s="275">
        <f t="shared" si="1"/>
        <v>0</v>
      </c>
      <c r="Q48" s="275">
        <f t="shared" si="1"/>
        <v>470.40007526401212</v>
      </c>
      <c r="R48" s="275">
        <f t="shared" si="1"/>
        <v>460.62783574011388</v>
      </c>
      <c r="S48" s="275">
        <f t="shared" si="1"/>
        <v>440.25711015232901</v>
      </c>
      <c r="T48" s="279"/>
      <c r="U48" s="279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control'!$H$34:$H$60,MATCH($A$1,'Version control'!$F$34:$F$60,0),1)&amp;"-E: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6"/>
    </row>
    <row r="52" spans="2:23" x14ac:dyDescent="0.25">
      <c r="D52" s="82" t="s">
        <v>911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6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6"/>
    </row>
    <row r="54" spans="2:23" x14ac:dyDescent="0.25">
      <c r="E54" s="293" t="s">
        <v>106</v>
      </c>
      <c r="F54" s="401"/>
      <c r="G54" s="14" t="s">
        <v>107</v>
      </c>
      <c r="H54" s="88"/>
      <c r="I54" s="88"/>
      <c r="J54" s="279"/>
      <c r="K54" s="279"/>
      <c r="L54" s="273">
        <f>'Inputs by network level'!L36</f>
        <v>182180488.50875437</v>
      </c>
      <c r="M54" s="273">
        <f>'Inputs by network level'!M36</f>
        <v>15274381.286093295</v>
      </c>
      <c r="N54" s="273">
        <f>'Inputs by network level'!N36</f>
        <v>155931649.61894557</v>
      </c>
      <c r="O54" s="273">
        <f>'Inputs by network level'!O36</f>
        <v>25898612.482776646</v>
      </c>
      <c r="P54" s="273">
        <f>'Inputs by network level'!P36</f>
        <v>0</v>
      </c>
      <c r="Q54" s="273">
        <f>'Inputs by network level'!Q36</f>
        <v>212562042.37604496</v>
      </c>
      <c r="R54" s="273">
        <f>'Inputs by network level'!R36</f>
        <v>83137824.375090584</v>
      </c>
      <c r="S54" s="273">
        <f>'Inputs by network level'!S36</f>
        <v>50906912.878207207</v>
      </c>
      <c r="T54" s="279"/>
      <c r="U54" s="279"/>
      <c r="W54" s="88"/>
    </row>
    <row r="55" spans="2:23" x14ac:dyDescent="0.25">
      <c r="E55" s="293" t="s">
        <v>125</v>
      </c>
      <c r="F55" s="401"/>
      <c r="G55" s="14" t="s">
        <v>912</v>
      </c>
      <c r="H55" s="88"/>
      <c r="I55" s="88"/>
      <c r="J55" s="279"/>
      <c r="K55" s="279"/>
      <c r="L55" s="275">
        <f t="shared" ref="L55:S55" si="2">IF(L48 = 0, 0, L54 / (L48 * thousand))</f>
        <v>375.33735145016112</v>
      </c>
      <c r="M55" s="275">
        <f t="shared" si="2"/>
        <v>31.688231416129142</v>
      </c>
      <c r="N55" s="275">
        <f t="shared" si="2"/>
        <v>325.4137595897775</v>
      </c>
      <c r="O55" s="275">
        <f t="shared" si="2"/>
        <v>54.472551635024111</v>
      </c>
      <c r="P55" s="275">
        <f t="shared" si="2"/>
        <v>0</v>
      </c>
      <c r="Q55" s="275">
        <f t="shared" si="2"/>
        <v>451.87501778511512</v>
      </c>
      <c r="R55" s="275">
        <f t="shared" si="2"/>
        <v>180.48805982710286</v>
      </c>
      <c r="S55" s="275">
        <f t="shared" si="2"/>
        <v>115.62996191155983</v>
      </c>
      <c r="T55" s="279"/>
      <c r="U55" s="279"/>
      <c r="W55" s="88"/>
    </row>
    <row r="56" spans="2:23" x14ac:dyDescent="0.25">
      <c r="E56" s="293" t="s">
        <v>126</v>
      </c>
      <c r="F56" s="401"/>
      <c r="G56" s="14" t="s">
        <v>108</v>
      </c>
      <c r="H56" s="88"/>
      <c r="I56" s="88" t="s">
        <v>359</v>
      </c>
      <c r="J56" s="279"/>
      <c r="K56" s="279"/>
      <c r="L56" s="275">
        <f t="shared" ref="L56:S56" si="3">L55 * $H$25</f>
        <v>17.987182539064889</v>
      </c>
      <c r="M56" s="275">
        <f t="shared" si="3"/>
        <v>1.5185858817936753</v>
      </c>
      <c r="N56" s="275">
        <f t="shared" si="3"/>
        <v>15.594708791570742</v>
      </c>
      <c r="O56" s="275">
        <f t="shared" si="3"/>
        <v>2.6104722214354923</v>
      </c>
      <c r="P56" s="275">
        <f t="shared" si="3"/>
        <v>0</v>
      </c>
      <c r="Q56" s="275">
        <f t="shared" si="3"/>
        <v>21.655074823597253</v>
      </c>
      <c r="R56" s="275">
        <f t="shared" si="3"/>
        <v>8.6494767059250268</v>
      </c>
      <c r="S56" s="275">
        <f t="shared" si="3"/>
        <v>5.5413009759155809</v>
      </c>
      <c r="T56" s="279"/>
      <c r="U56" s="279"/>
      <c r="W56" s="88" t="s">
        <v>721</v>
      </c>
    </row>
    <row r="57" spans="2:23" x14ac:dyDescent="0.2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2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2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25">
      <c r="C62" s="7" t="str">
        <f ca="1">INDEX('Version control'!$H$34:$H$60,MATCH($A$1,'Version control'!$F$34:$F$60,0),1)&amp;"-F: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2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25">
      <c r="E64" s="293" t="s">
        <v>112</v>
      </c>
      <c r="G64" s="293" t="s">
        <v>102</v>
      </c>
      <c r="J64" s="279"/>
      <c r="K64" s="273">
        <f t="array" ref="K64:S64">TRANSPOSE('System peak demand'!H269:H277)</f>
        <v>1993.4762951144905</v>
      </c>
      <c r="L64" s="273">
        <v>1983.5585026014837</v>
      </c>
      <c r="M64" s="273">
        <v>1909.8792973889283</v>
      </c>
      <c r="N64" s="273">
        <v>1946.4715773391249</v>
      </c>
      <c r="O64" s="273">
        <v>2124.2636398045047</v>
      </c>
      <c r="P64" s="273">
        <v>0</v>
      </c>
      <c r="Q64" s="273">
        <v>2279.616400146469</v>
      </c>
      <c r="R64" s="273">
        <v>2017.0084405400496</v>
      </c>
      <c r="S64" s="273">
        <v>1424.1286839955642</v>
      </c>
      <c r="T64" s="279"/>
      <c r="U64" s="279"/>
    </row>
    <row r="65" spans="3:24" x14ac:dyDescent="0.25">
      <c r="E65" s="14" t="s">
        <v>544</v>
      </c>
      <c r="F65" s="14"/>
      <c r="G65" s="14" t="s">
        <v>102</v>
      </c>
      <c r="H65" s="381"/>
      <c r="J65" s="275">
        <f>K64</f>
        <v>1993.4762951144905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25">
      <c r="E67" s="14" t="s">
        <v>112</v>
      </c>
      <c r="F67" s="14"/>
      <c r="G67" s="14" t="s">
        <v>113</v>
      </c>
      <c r="H67" s="381"/>
      <c r="J67" s="275">
        <f t="shared" ref="J67:S67" si="4">SUM(J64:J65) * thousand</f>
        <v>1993476.2951144904</v>
      </c>
      <c r="K67" s="275">
        <f t="shared" si="4"/>
        <v>1993476.2951144904</v>
      </c>
      <c r="L67" s="275">
        <f t="shared" si="4"/>
        <v>1983558.5026014838</v>
      </c>
      <c r="M67" s="275">
        <f t="shared" si="4"/>
        <v>1909879.2973889282</v>
      </c>
      <c r="N67" s="275">
        <f t="shared" si="4"/>
        <v>1946471.5773391249</v>
      </c>
      <c r="O67" s="275">
        <f t="shared" si="4"/>
        <v>2124263.6398045048</v>
      </c>
      <c r="P67" s="275">
        <f t="shared" si="4"/>
        <v>0</v>
      </c>
      <c r="Q67" s="275">
        <f t="shared" si="4"/>
        <v>2279616.400146469</v>
      </c>
      <c r="R67" s="275">
        <f t="shared" si="4"/>
        <v>2017008.4405400497</v>
      </c>
      <c r="S67" s="275">
        <f t="shared" si="4"/>
        <v>1424128.6839955642</v>
      </c>
      <c r="T67" s="279"/>
      <c r="U67" s="279"/>
      <c r="W67" s="90"/>
      <c r="X67" s="90"/>
    </row>
    <row r="68" spans="3:24" x14ac:dyDescent="0.2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25">
      <c r="C69" s="7" t="str">
        <f ca="1">INDEX('Version control'!$H$34:$H$60,MATCH($A$1,'Version control'!$F$34:$F$60,0),1)&amp;"-G: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2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25">
      <c r="D71" s="82" t="s">
        <v>800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2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25">
      <c r="E73" s="14" t="s">
        <v>114</v>
      </c>
      <c r="F73" s="14"/>
      <c r="G73" s="14" t="s">
        <v>107</v>
      </c>
      <c r="J73" s="279"/>
      <c r="K73" s="279"/>
      <c r="L73" s="275">
        <f t="shared" ref="L73:S73" si="5">L67 * L55</f>
        <v>744503594.8128885</v>
      </c>
      <c r="M73" s="275">
        <f t="shared" si="5"/>
        <v>60520697.152534485</v>
      </c>
      <c r="N73" s="275">
        <f t="shared" si="5"/>
        <v>633408633.91656899</v>
      </c>
      <c r="O73" s="275">
        <f t="shared" si="5"/>
        <v>115714060.80565515</v>
      </c>
      <c r="P73" s="275">
        <f t="shared" si="5"/>
        <v>0</v>
      </c>
      <c r="Q73" s="275">
        <f t="shared" si="5"/>
        <v>1030101701.3594258</v>
      </c>
      <c r="R73" s="275">
        <f t="shared" si="5"/>
        <v>364045940.08796394</v>
      </c>
      <c r="S73" s="275">
        <f t="shared" si="5"/>
        <v>164671945.48756692</v>
      </c>
      <c r="T73" s="279"/>
      <c r="U73" s="279"/>
      <c r="X73" s="90"/>
    </row>
    <row r="74" spans="3:24" x14ac:dyDescent="0.2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622315247.84607959</v>
      </c>
      <c r="U74" s="273">
        <f>'Service model assets'!H34</f>
        <v>11646802.039789591</v>
      </c>
      <c r="X74" s="90"/>
    </row>
    <row r="75" spans="3:24" x14ac:dyDescent="0.2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2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>
        <f t="shared" si="6"/>
        <v>744503594.8128885</v>
      </c>
      <c r="M76" s="275">
        <f t="shared" si="6"/>
        <v>60520697.152534485</v>
      </c>
      <c r="N76" s="275">
        <f t="shared" si="6"/>
        <v>633408633.91656899</v>
      </c>
      <c r="O76" s="275">
        <f t="shared" si="6"/>
        <v>115714060.80565515</v>
      </c>
      <c r="P76" s="275">
        <f t="shared" si="6"/>
        <v>0</v>
      </c>
      <c r="Q76" s="275">
        <f t="shared" si="6"/>
        <v>1030101701.3594258</v>
      </c>
      <c r="R76" s="275">
        <f t="shared" si="6"/>
        <v>364045940.08796394</v>
      </c>
      <c r="S76" s="275">
        <f t="shared" si="6"/>
        <v>164671945.48756692</v>
      </c>
      <c r="T76" s="275">
        <f t="shared" si="6"/>
        <v>622315247.84607959</v>
      </c>
      <c r="U76" s="275">
        <f t="shared" si="6"/>
        <v>11646802.039789591</v>
      </c>
      <c r="W76" s="88" t="s">
        <v>722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04"/>
      <c r="K78" s="390">
        <f t="shared" ref="K78:U78" si="7">K76 / SUM($K$76:$U$76)</f>
        <v>0</v>
      </c>
      <c r="L78" s="390">
        <f t="shared" si="7"/>
        <v>0.1986970315211837</v>
      </c>
      <c r="M78" s="390">
        <f t="shared" si="7"/>
        <v>1.6152081673727038E-2</v>
      </c>
      <c r="N78" s="390">
        <f t="shared" si="7"/>
        <v>0.16904742458730657</v>
      </c>
      <c r="O78" s="390">
        <f t="shared" si="7"/>
        <v>3.0882376589630674E-2</v>
      </c>
      <c r="P78" s="390">
        <f t="shared" si="7"/>
        <v>0</v>
      </c>
      <c r="Q78" s="390">
        <f t="shared" si="7"/>
        <v>0.27491895492657664</v>
      </c>
      <c r="R78" s="390">
        <f t="shared" si="7"/>
        <v>9.7158493440178212E-2</v>
      </c>
      <c r="S78" s="390">
        <f t="shared" si="7"/>
        <v>4.3948514112172959E-2</v>
      </c>
      <c r="T78" s="390">
        <f t="shared" si="7"/>
        <v>0.16608676342048082</v>
      </c>
      <c r="U78" s="390">
        <f t="shared" si="7"/>
        <v>3.1083597287433766E-3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control'!$H$34:$H$60,MATCH($A$1,'Version control'!$F$34:$F$60,0),1)&amp;"-H: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506</v>
      </c>
      <c r="H86" s="273">
        <f>'General inputs'!H105</f>
        <v>29914542.570803028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506</v>
      </c>
      <c r="H87" s="273">
        <f>'General inputs'!H106</f>
        <v>106888436.15186968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506</v>
      </c>
      <c r="H88" s="273">
        <f>'General inputs'!H107</f>
        <v>25325200.594929237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506</v>
      </c>
      <c r="H90" s="275">
        <f>H86 + H87 * H84 + H88</f>
        <v>119372804.85685407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control'!$H$34:$H$60,MATCH($A$1,'Version control'!$F$34:$F$60,0),1)&amp;"-I: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506</v>
      </c>
      <c r="I97" s="293" t="s">
        <v>359</v>
      </c>
      <c r="J97" s="279"/>
      <c r="K97" s="275">
        <f t="shared" ref="K97:U97" si="8">K78 * $H$90</f>
        <v>0</v>
      </c>
      <c r="L97" s="275">
        <f t="shared" si="8"/>
        <v>23719021.969414443</v>
      </c>
      <c r="M97" s="275">
        <f t="shared" si="8"/>
        <v>1928119.2936697865</v>
      </c>
      <c r="N97" s="275">
        <f t="shared" si="8"/>
        <v>20179665.2268143</v>
      </c>
      <c r="O97" s="275">
        <f t="shared" si="8"/>
        <v>3686515.9141498609</v>
      </c>
      <c r="P97" s="275">
        <f t="shared" si="8"/>
        <v>0</v>
      </c>
      <c r="Q97" s="275">
        <f t="shared" si="8"/>
        <v>32817846.757900491</v>
      </c>
      <c r="R97" s="275">
        <f t="shared" si="8"/>
        <v>11598081.87762033</v>
      </c>
      <c r="S97" s="275">
        <f t="shared" si="8"/>
        <v>5246257.3988611195</v>
      </c>
      <c r="T97" s="275">
        <f t="shared" si="8"/>
        <v>19826242.799099546</v>
      </c>
      <c r="U97" s="275">
        <f t="shared" si="8"/>
        <v>371053.61932418693</v>
      </c>
      <c r="W97" s="88" t="s">
        <v>723</v>
      </c>
    </row>
    <row r="98" spans="2:23" x14ac:dyDescent="0.25">
      <c r="E98" s="14" t="s">
        <v>117</v>
      </c>
      <c r="F98" s="14"/>
      <c r="G98" s="14" t="s">
        <v>506</v>
      </c>
      <c r="H98" s="90"/>
      <c r="I98" s="90"/>
      <c r="J98" s="273">
        <f>'General inputs'!$H$100</f>
        <v>21592434.721448775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2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25">
      <c r="E100" s="14" t="s">
        <v>127</v>
      </c>
      <c r="F100" s="14"/>
      <c r="G100" s="14" t="s">
        <v>913</v>
      </c>
      <c r="I100" s="293" t="s">
        <v>359</v>
      </c>
      <c r="J100" s="275">
        <f t="shared" ref="J100:S100" si="9">IF(J$67 = 0, 0, SUM(J97:J98) / J$67)</f>
        <v>10.831548272917219</v>
      </c>
      <c r="K100" s="275">
        <f t="shared" si="9"/>
        <v>0</v>
      </c>
      <c r="L100" s="275">
        <f t="shared" si="9"/>
        <v>11.957813161702257</v>
      </c>
      <c r="M100" s="275">
        <f t="shared" si="9"/>
        <v>1.0095503398072301</v>
      </c>
      <c r="N100" s="275">
        <f t="shared" si="9"/>
        <v>10.367305365126576</v>
      </c>
      <c r="O100" s="275">
        <f t="shared" si="9"/>
        <v>1.735432384696435</v>
      </c>
      <c r="P100" s="275">
        <f t="shared" si="9"/>
        <v>0</v>
      </c>
      <c r="Q100" s="275">
        <f t="shared" si="9"/>
        <v>14.396214536705338</v>
      </c>
      <c r="R100" s="275">
        <f t="shared" si="9"/>
        <v>5.7501404776050258</v>
      </c>
      <c r="S100" s="275">
        <f t="shared" si="9"/>
        <v>3.6838366208186422</v>
      </c>
      <c r="T100" s="279"/>
      <c r="U100" s="279"/>
      <c r="W100" s="88" t="s">
        <v>724</v>
      </c>
    </row>
    <row r="101" spans="2:23" x14ac:dyDescent="0.2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2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2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25">
      <c r="C104" s="7" t="str">
        <f ca="1">INDEX('Version control'!$H$34:$H$60,MATCH($A$1,'Version control'!$F$34:$F$60,0),1)&amp;"-J: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2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2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2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2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>
        <f t="shared" si="10"/>
        <v>744503594.8128885</v>
      </c>
      <c r="M108" s="256">
        <f t="shared" si="10"/>
        <v>60520697.152534485</v>
      </c>
      <c r="N108" s="256">
        <f t="shared" si="10"/>
        <v>633408633.91656899</v>
      </c>
      <c r="O108" s="256">
        <f t="shared" si="10"/>
        <v>115714060.80565515</v>
      </c>
      <c r="P108" s="256">
        <f t="shared" si="10"/>
        <v>0</v>
      </c>
      <c r="Q108" s="256">
        <f t="shared" si="10"/>
        <v>1030101701.3594258</v>
      </c>
      <c r="R108" s="256">
        <f t="shared" si="10"/>
        <v>364045940.08796394</v>
      </c>
      <c r="S108" s="256">
        <f t="shared" si="10"/>
        <v>164671945.48756692</v>
      </c>
      <c r="T108" s="256">
        <f t="shared" si="10"/>
        <v>622315247.84607959</v>
      </c>
      <c r="U108" s="256">
        <f t="shared" si="10"/>
        <v>11646802.039789591</v>
      </c>
    </row>
    <row r="109" spans="2:23" x14ac:dyDescent="0.25">
      <c r="B109" s="82"/>
    </row>
    <row r="110" spans="2:23" x14ac:dyDescent="0.25">
      <c r="C110" s="7" t="str">
        <f ca="1">INDEX('Version control'!$H$34:$H$60,MATCH($A$1,'Version control'!$F$34:$F$60,0),1)&amp;"-K: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25">
      <c r="B111" s="82"/>
    </row>
    <row r="112" spans="2:23" x14ac:dyDescent="0.25">
      <c r="B112" s="82"/>
      <c r="D112" s="82" t="s">
        <v>295</v>
      </c>
    </row>
    <row r="113" spans="2:24" x14ac:dyDescent="0.25">
      <c r="B113" s="82"/>
      <c r="D113" s="82"/>
    </row>
    <row r="114" spans="2:24" x14ac:dyDescent="0.25">
      <c r="E114" s="293" t="s">
        <v>126</v>
      </c>
      <c r="F114" s="401"/>
      <c r="G114" s="14" t="s">
        <v>913</v>
      </c>
      <c r="H114" s="88"/>
      <c r="I114" s="88"/>
      <c r="J114" s="279"/>
      <c r="K114" s="279"/>
      <c r="L114" s="256">
        <f t="shared" ref="L114:S114" si="11">L56</f>
        <v>17.987182539064889</v>
      </c>
      <c r="M114" s="256">
        <f t="shared" si="11"/>
        <v>1.5185858817936753</v>
      </c>
      <c r="N114" s="256">
        <f t="shared" si="11"/>
        <v>15.594708791570742</v>
      </c>
      <c r="O114" s="256">
        <f t="shared" si="11"/>
        <v>2.6104722214354923</v>
      </c>
      <c r="P114" s="256">
        <f t="shared" si="11"/>
        <v>0</v>
      </c>
      <c r="Q114" s="256">
        <f t="shared" si="11"/>
        <v>21.655074823597253</v>
      </c>
      <c r="R114" s="256">
        <f t="shared" si="11"/>
        <v>8.6494767059250268</v>
      </c>
      <c r="S114" s="256">
        <f t="shared" si="11"/>
        <v>5.5413009759155809</v>
      </c>
      <c r="T114" s="279"/>
      <c r="U114" s="279"/>
    </row>
    <row r="115" spans="2:24" x14ac:dyDescent="0.25">
      <c r="B115" s="82"/>
      <c r="E115" s="293" t="s">
        <v>127</v>
      </c>
      <c r="F115" s="14"/>
      <c r="G115" s="14" t="s">
        <v>913</v>
      </c>
      <c r="J115" s="256">
        <f t="shared" ref="J115:S115" si="12">J100</f>
        <v>10.831548272917219</v>
      </c>
      <c r="K115" s="256">
        <f t="shared" si="12"/>
        <v>0</v>
      </c>
      <c r="L115" s="256">
        <f t="shared" si="12"/>
        <v>11.957813161702257</v>
      </c>
      <c r="M115" s="256">
        <f t="shared" si="12"/>
        <v>1.0095503398072301</v>
      </c>
      <c r="N115" s="256">
        <f t="shared" si="12"/>
        <v>10.367305365126576</v>
      </c>
      <c r="O115" s="256">
        <f t="shared" si="12"/>
        <v>1.735432384696435</v>
      </c>
      <c r="P115" s="256">
        <f t="shared" si="12"/>
        <v>0</v>
      </c>
      <c r="Q115" s="256">
        <f t="shared" si="12"/>
        <v>14.396214536705338</v>
      </c>
      <c r="R115" s="256">
        <f t="shared" si="12"/>
        <v>5.7501404776050258</v>
      </c>
      <c r="S115" s="256">
        <f t="shared" si="12"/>
        <v>3.6838366208186422</v>
      </c>
      <c r="T115" s="279"/>
      <c r="U115" s="279"/>
    </row>
    <row r="116" spans="2:24" x14ac:dyDescent="0.25">
      <c r="B116" s="82"/>
    </row>
    <row r="117" spans="2:24" x14ac:dyDescent="0.25">
      <c r="C117" s="7" t="str">
        <f ca="1">INDEX('Version control'!$H$34:$H$60,MATCH($A$1,'Version control'!$F$34:$F$60,0),1)&amp;"-L: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25">
      <c r="B118" s="82"/>
    </row>
    <row r="119" spans="2:24" x14ac:dyDescent="0.25">
      <c r="B119" s="82"/>
      <c r="D119" s="82" t="s">
        <v>590</v>
      </c>
    </row>
    <row r="120" spans="2:24" x14ac:dyDescent="0.25">
      <c r="B120" s="82"/>
      <c r="D120" s="82"/>
    </row>
    <row r="121" spans="2:24" x14ac:dyDescent="0.25">
      <c r="B121" s="82"/>
      <c r="C121" s="96"/>
      <c r="E121" s="293" t="s">
        <v>97</v>
      </c>
      <c r="F121" s="14"/>
      <c r="G121" s="14" t="s">
        <v>94</v>
      </c>
      <c r="H121" s="110">
        <f>H25</f>
        <v>4.792270865014963E-2</v>
      </c>
    </row>
    <row r="122" spans="2:24" x14ac:dyDescent="0.25">
      <c r="B122" s="82"/>
      <c r="C122" s="96"/>
      <c r="E122" s="293" t="s">
        <v>131</v>
      </c>
      <c r="F122" s="14"/>
      <c r="G122" s="14" t="s">
        <v>506</v>
      </c>
      <c r="H122" s="256">
        <f>H90</f>
        <v>119372804.85685407</v>
      </c>
    </row>
    <row r="123" spans="2:24" x14ac:dyDescent="0.25">
      <c r="E123" s="293" t="s">
        <v>115</v>
      </c>
      <c r="F123" s="14"/>
      <c r="G123" s="14" t="s">
        <v>107</v>
      </c>
      <c r="H123" s="256">
        <f>SUM(K76:U76)</f>
        <v>3746928623.5084729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3" t="s">
        <v>416</v>
      </c>
      <c r="G127" s="122" t="s">
        <v>589</v>
      </c>
      <c r="H127" s="407">
        <f t="array" ref="H127">SUM(IF(ISERROR(H23:U123), 1))</f>
        <v>0</v>
      </c>
    </row>
    <row r="129" spans="2:23" x14ac:dyDescent="0.25">
      <c r="E129" s="293" t="s">
        <v>543</v>
      </c>
      <c r="G129" s="122" t="s">
        <v>589</v>
      </c>
      <c r="H129" s="407">
        <f>SUM(J129:U129)</f>
        <v>0</v>
      </c>
      <c r="J129" s="408"/>
      <c r="K129" s="408"/>
      <c r="L129" s="408"/>
      <c r="M129" s="408"/>
      <c r="N129" s="407">
        <f t="shared" ref="N129:U129" si="13">IFERROR(IF(OR(AND(N54&gt;0, N48=0), AND(N48&gt;0, N54=0)), 1, 0),1)</f>
        <v>0</v>
      </c>
      <c r="O129" s="407">
        <f t="shared" si="13"/>
        <v>0</v>
      </c>
      <c r="P129" s="407">
        <f t="shared" si="13"/>
        <v>0</v>
      </c>
      <c r="Q129" s="407">
        <f t="shared" si="13"/>
        <v>0</v>
      </c>
      <c r="R129" s="407">
        <f t="shared" si="13"/>
        <v>0</v>
      </c>
      <c r="S129" s="407">
        <f t="shared" si="13"/>
        <v>0</v>
      </c>
      <c r="T129" s="407">
        <f t="shared" si="13"/>
        <v>0</v>
      </c>
      <c r="U129" s="407">
        <f t="shared" si="13"/>
        <v>0</v>
      </c>
    </row>
    <row r="131" spans="2:23" x14ac:dyDescent="0.25">
      <c r="E131" s="293" t="s">
        <v>374</v>
      </c>
      <c r="G131" s="122" t="s">
        <v>589</v>
      </c>
      <c r="H131" s="310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00000000-0004-0000-18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84" width="24.5703125" style="293" hidden="1" customWidth="1"/>
    <col min="285" max="16384" width="8.7109375" style="293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516</v>
      </c>
      <c r="E9" s="14"/>
    </row>
    <row r="11" spans="1:27" x14ac:dyDescent="0.25">
      <c r="B11" s="95" t="s">
        <v>664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control'!$H$34:$H$60,MATCH($A$1,'Version control'!$F$34:$F$60,0),1)&amp;"-A: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377</v>
      </c>
    </row>
    <row r="17" spans="5:27" x14ac:dyDescent="0.25">
      <c r="E17" s="96" t="s">
        <v>531</v>
      </c>
      <c r="G17" s="14"/>
      <c r="H17" s="88"/>
      <c r="I17" s="88" t="s">
        <v>359</v>
      </c>
      <c r="AA17" s="293" t="s">
        <v>725</v>
      </c>
    </row>
    <row r="18" spans="5:27" x14ac:dyDescent="0.25">
      <c r="F18" s="409" t="s">
        <v>267</v>
      </c>
      <c r="G18" s="16" t="s">
        <v>108</v>
      </c>
      <c r="H18" s="238"/>
    </row>
    <row r="19" spans="5:27" x14ac:dyDescent="0.25">
      <c r="F19" s="410" t="s">
        <v>43</v>
      </c>
      <c r="G19" s="14" t="s">
        <v>108</v>
      </c>
      <c r="H19" s="279"/>
    </row>
    <row r="20" spans="5:27" x14ac:dyDescent="0.25">
      <c r="F20" s="410" t="s">
        <v>44</v>
      </c>
      <c r="G20" s="14" t="s">
        <v>108</v>
      </c>
      <c r="H20" s="411">
        <f t="array" ref="H20:H27">TRANSPOSE('Unit costs'!L114:S114)</f>
        <v>17.987182539064889</v>
      </c>
    </row>
    <row r="21" spans="5:27" x14ac:dyDescent="0.25">
      <c r="F21" s="410" t="s">
        <v>45</v>
      </c>
      <c r="G21" s="14" t="s">
        <v>108</v>
      </c>
      <c r="H21" s="411">
        <v>1.5185858817936753</v>
      </c>
    </row>
    <row r="22" spans="5:27" x14ac:dyDescent="0.25">
      <c r="F22" s="410" t="s">
        <v>46</v>
      </c>
      <c r="G22" s="14" t="s">
        <v>108</v>
      </c>
      <c r="H22" s="411">
        <v>15.594708791570742</v>
      </c>
    </row>
    <row r="23" spans="5:27" x14ac:dyDescent="0.25">
      <c r="F23" s="410" t="s">
        <v>47</v>
      </c>
      <c r="G23" s="14" t="s">
        <v>108</v>
      </c>
      <c r="H23" s="411">
        <v>2.6104722214354923</v>
      </c>
    </row>
    <row r="24" spans="5:27" x14ac:dyDescent="0.25">
      <c r="F24" s="410" t="s">
        <v>51</v>
      </c>
      <c r="G24" s="14" t="s">
        <v>108</v>
      </c>
      <c r="H24" s="411">
        <v>0</v>
      </c>
    </row>
    <row r="25" spans="5:27" x14ac:dyDescent="0.25">
      <c r="F25" s="410" t="s">
        <v>48</v>
      </c>
      <c r="G25" s="14" t="s">
        <v>108</v>
      </c>
      <c r="H25" s="411">
        <v>21.655074823597253</v>
      </c>
    </row>
    <row r="26" spans="5:27" x14ac:dyDescent="0.25">
      <c r="F26" s="410" t="s">
        <v>49</v>
      </c>
      <c r="G26" s="14" t="s">
        <v>108</v>
      </c>
      <c r="H26" s="411">
        <v>8.6494767059250268</v>
      </c>
    </row>
    <row r="27" spans="5:27" x14ac:dyDescent="0.25">
      <c r="F27" s="412" t="s">
        <v>50</v>
      </c>
      <c r="G27" s="15" t="s">
        <v>108</v>
      </c>
      <c r="H27" s="284">
        <v>5.5413009759155809</v>
      </c>
    </row>
    <row r="28" spans="5:27" x14ac:dyDescent="0.25">
      <c r="F28" s="410"/>
      <c r="G28" s="14"/>
      <c r="H28" s="273"/>
    </row>
    <row r="29" spans="5:27" x14ac:dyDescent="0.25">
      <c r="E29" s="96" t="s">
        <v>532</v>
      </c>
      <c r="G29" s="14"/>
      <c r="H29" s="252"/>
    </row>
    <row r="30" spans="5:27" x14ac:dyDescent="0.25">
      <c r="F30" s="409" t="s">
        <v>267</v>
      </c>
      <c r="G30" s="16" t="s">
        <v>913</v>
      </c>
      <c r="H30" s="283">
        <f t="array" ref="H30:H39">TRANSPOSE('Unit costs'!J115:S115)</f>
        <v>10.831548272917219</v>
      </c>
    </row>
    <row r="31" spans="5:27" x14ac:dyDescent="0.25">
      <c r="F31" s="410" t="s">
        <v>43</v>
      </c>
      <c r="G31" s="14" t="s">
        <v>913</v>
      </c>
      <c r="H31" s="411">
        <v>0</v>
      </c>
    </row>
    <row r="32" spans="5:27" x14ac:dyDescent="0.25">
      <c r="F32" s="410" t="s">
        <v>44</v>
      </c>
      <c r="G32" s="14" t="s">
        <v>913</v>
      </c>
      <c r="H32" s="411">
        <v>11.957813161702257</v>
      </c>
    </row>
    <row r="33" spans="5:16" x14ac:dyDescent="0.25">
      <c r="F33" s="410" t="s">
        <v>45</v>
      </c>
      <c r="G33" s="14" t="s">
        <v>913</v>
      </c>
      <c r="H33" s="411">
        <v>1.0095503398072301</v>
      </c>
      <c r="J33" s="90"/>
      <c r="K33" s="90"/>
      <c r="L33" s="90"/>
      <c r="M33" s="90"/>
      <c r="N33" s="90"/>
    </row>
    <row r="34" spans="5:16" x14ac:dyDescent="0.25">
      <c r="F34" s="410" t="s">
        <v>46</v>
      </c>
      <c r="G34" s="14" t="s">
        <v>913</v>
      </c>
      <c r="H34" s="411">
        <v>10.367305365126576</v>
      </c>
      <c r="J34" s="90"/>
      <c r="K34" s="90"/>
      <c r="L34" s="90"/>
      <c r="M34" s="90"/>
      <c r="N34" s="90"/>
    </row>
    <row r="35" spans="5:16" x14ac:dyDescent="0.25">
      <c r="F35" s="410" t="s">
        <v>47</v>
      </c>
      <c r="G35" s="14" t="s">
        <v>913</v>
      </c>
      <c r="H35" s="411">
        <v>1.735432384696435</v>
      </c>
      <c r="J35" s="90"/>
      <c r="K35" s="90"/>
      <c r="L35" s="90"/>
      <c r="M35" s="90"/>
      <c r="N35" s="90"/>
    </row>
    <row r="36" spans="5:16" x14ac:dyDescent="0.25">
      <c r="F36" s="410" t="s">
        <v>51</v>
      </c>
      <c r="G36" s="14" t="s">
        <v>913</v>
      </c>
      <c r="H36" s="411">
        <v>0</v>
      </c>
      <c r="J36" s="90"/>
      <c r="K36" s="90"/>
      <c r="L36" s="90"/>
      <c r="M36" s="90"/>
      <c r="N36" s="90"/>
    </row>
    <row r="37" spans="5:16" x14ac:dyDescent="0.25">
      <c r="F37" s="410" t="s">
        <v>48</v>
      </c>
      <c r="G37" s="14" t="s">
        <v>913</v>
      </c>
      <c r="H37" s="411">
        <v>14.396214536705338</v>
      </c>
      <c r="J37" s="90"/>
      <c r="K37" s="90"/>
      <c r="L37" s="90"/>
      <c r="M37" s="90"/>
      <c r="N37" s="90"/>
      <c r="O37" s="90"/>
    </row>
    <row r="38" spans="5:16" x14ac:dyDescent="0.25">
      <c r="F38" s="410" t="s">
        <v>49</v>
      </c>
      <c r="G38" s="14" t="s">
        <v>913</v>
      </c>
      <c r="H38" s="411">
        <v>5.7501404776050258</v>
      </c>
      <c r="J38" s="90"/>
      <c r="K38" s="90"/>
      <c r="L38" s="90"/>
      <c r="M38" s="90"/>
      <c r="N38" s="90"/>
      <c r="O38" s="90"/>
    </row>
    <row r="39" spans="5:16" x14ac:dyDescent="0.25">
      <c r="F39" s="412" t="s">
        <v>50</v>
      </c>
      <c r="G39" s="15" t="s">
        <v>913</v>
      </c>
      <c r="H39" s="284">
        <v>3.6838366208186422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2"/>
      <c r="J40" s="90"/>
      <c r="K40" s="90"/>
      <c r="L40" s="90"/>
      <c r="M40" s="90"/>
      <c r="N40" s="90"/>
      <c r="O40" s="90"/>
    </row>
    <row r="41" spans="5:16" x14ac:dyDescent="0.25">
      <c r="E41" s="96" t="s">
        <v>528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267</v>
      </c>
      <c r="G43" s="91" t="s">
        <v>428</v>
      </c>
      <c r="H43" s="272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3" t="s">
        <v>43</v>
      </c>
      <c r="G44" s="293" t="s">
        <v>428</v>
      </c>
      <c r="H44" s="273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3" t="s">
        <v>44</v>
      </c>
      <c r="G45" s="293" t="s">
        <v>428</v>
      </c>
      <c r="H45" s="273">
        <v>1.0049999999999999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3" t="s">
        <v>45</v>
      </c>
      <c r="G46" s="293" t="s">
        <v>428</v>
      </c>
      <c r="H46" s="273">
        <v>1.012</v>
      </c>
      <c r="J46" s="90"/>
      <c r="K46" s="90"/>
      <c r="L46" s="90"/>
      <c r="M46" s="90"/>
      <c r="N46" s="90"/>
      <c r="O46" s="90"/>
    </row>
    <row r="47" spans="5:16" x14ac:dyDescent="0.25">
      <c r="F47" s="293" t="s">
        <v>46</v>
      </c>
      <c r="G47" s="293" t="s">
        <v>428</v>
      </c>
      <c r="H47" s="273">
        <v>1.018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3" t="s">
        <v>47</v>
      </c>
      <c r="G48" s="293" t="s">
        <v>428</v>
      </c>
      <c r="H48" s="273">
        <v>1.026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3" t="s">
        <v>51</v>
      </c>
      <c r="G49" s="293" t="s">
        <v>428</v>
      </c>
      <c r="H49" s="273">
        <v>1.026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3" t="s">
        <v>48</v>
      </c>
      <c r="G50" s="293" t="s">
        <v>428</v>
      </c>
      <c r="H50" s="273">
        <v>1.0369999999999999</v>
      </c>
      <c r="J50" s="90"/>
      <c r="K50" s="90"/>
      <c r="L50" s="90"/>
      <c r="M50" s="90"/>
      <c r="N50" s="90"/>
      <c r="O50" s="90"/>
    </row>
    <row r="51" spans="4:25" x14ac:dyDescent="0.25">
      <c r="F51" s="293" t="s">
        <v>49</v>
      </c>
      <c r="G51" s="293" t="s">
        <v>428</v>
      </c>
      <c r="H51" s="273">
        <v>1.0589999999999999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428</v>
      </c>
      <c r="H52" s="274">
        <v>1.1080000000000001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334</v>
      </c>
      <c r="F54" s="96"/>
      <c r="J54" s="90"/>
      <c r="L54" s="90"/>
    </row>
    <row r="55" spans="4:25" x14ac:dyDescent="0.25">
      <c r="D55" s="96"/>
      <c r="E55" s="96"/>
      <c r="F55" s="409" t="s">
        <v>267</v>
      </c>
      <c r="G55" s="91" t="s">
        <v>428</v>
      </c>
      <c r="H55" s="91"/>
      <c r="I55" s="91"/>
      <c r="J55" s="283">
        <f t="array" ref="J55:Y64">TRANSPOSE('Load &amp; loss characteristics'!J145:S160)</f>
        <v>1.1080000000000001</v>
      </c>
      <c r="K55" s="283">
        <v>1.1080000000000001</v>
      </c>
      <c r="L55" s="283">
        <v>1.1080000000000001</v>
      </c>
      <c r="M55" s="283">
        <v>1.1080000000000001</v>
      </c>
      <c r="N55" s="283">
        <v>1.1080000000000001</v>
      </c>
      <c r="O55" s="283">
        <v>1.0589999999999999</v>
      </c>
      <c r="P55" s="283">
        <v>1.0369999999999999</v>
      </c>
      <c r="Q55" s="283">
        <v>1.1080000000000001</v>
      </c>
      <c r="R55" s="283">
        <v>-1.1080000000000001</v>
      </c>
      <c r="S55" s="283">
        <v>-1.0589999999999999</v>
      </c>
      <c r="T55" s="283">
        <v>-1.1080000000000001</v>
      </c>
      <c r="U55" s="283">
        <v>-1.1080000000000001</v>
      </c>
      <c r="V55" s="283">
        <v>-1.0589999999999999</v>
      </c>
      <c r="W55" s="283">
        <v>-1.0589999999999999</v>
      </c>
      <c r="X55" s="283">
        <v>-1.0369999999999999</v>
      </c>
      <c r="Y55" s="283">
        <v>-1.0369999999999999</v>
      </c>
    </row>
    <row r="56" spans="4:25" x14ac:dyDescent="0.25">
      <c r="D56" s="96"/>
      <c r="E56" s="96"/>
      <c r="F56" s="410" t="s">
        <v>43</v>
      </c>
      <c r="G56" s="293" t="s">
        <v>428</v>
      </c>
      <c r="J56" s="411">
        <v>1.1080000000000001</v>
      </c>
      <c r="K56" s="411">
        <v>1.1080000000000001</v>
      </c>
      <c r="L56" s="411">
        <v>1.1080000000000001</v>
      </c>
      <c r="M56" s="411">
        <v>1.1080000000000001</v>
      </c>
      <c r="N56" s="411">
        <v>1.1080000000000001</v>
      </c>
      <c r="O56" s="411">
        <v>1.0589999999999999</v>
      </c>
      <c r="P56" s="411">
        <v>1.0369999999999999</v>
      </c>
      <c r="Q56" s="411">
        <v>1.1080000000000001</v>
      </c>
      <c r="R56" s="411">
        <v>-1.1080000000000001</v>
      </c>
      <c r="S56" s="411">
        <v>-1.0589999999999999</v>
      </c>
      <c r="T56" s="411">
        <v>-1.1080000000000001</v>
      </c>
      <c r="U56" s="411">
        <v>-1.1080000000000001</v>
      </c>
      <c r="V56" s="411">
        <v>-1.0589999999999999</v>
      </c>
      <c r="W56" s="411">
        <v>-1.0589999999999999</v>
      </c>
      <c r="X56" s="411">
        <v>-1.0369999999999999</v>
      </c>
      <c r="Y56" s="411">
        <v>-1.0369999999999999</v>
      </c>
    </row>
    <row r="57" spans="4:25" x14ac:dyDescent="0.25">
      <c r="D57" s="96"/>
      <c r="E57" s="96"/>
      <c r="F57" s="410" t="s">
        <v>44</v>
      </c>
      <c r="G57" s="293" t="s">
        <v>428</v>
      </c>
      <c r="J57" s="411">
        <v>1.1080000000000001</v>
      </c>
      <c r="K57" s="411">
        <v>1.1080000000000001</v>
      </c>
      <c r="L57" s="411">
        <v>1.1080000000000001</v>
      </c>
      <c r="M57" s="411">
        <v>1.1080000000000001</v>
      </c>
      <c r="N57" s="411">
        <v>1.1080000000000001</v>
      </c>
      <c r="O57" s="411">
        <v>1.0589999999999999</v>
      </c>
      <c r="P57" s="411">
        <v>1.0369999999999999</v>
      </c>
      <c r="Q57" s="411">
        <v>1.1080000000000001</v>
      </c>
      <c r="R57" s="411">
        <v>-1.1080000000000001</v>
      </c>
      <c r="S57" s="411">
        <v>-1.0589999999999999</v>
      </c>
      <c r="T57" s="411">
        <v>-1.1080000000000001</v>
      </c>
      <c r="U57" s="411">
        <v>-1.1080000000000001</v>
      </c>
      <c r="V57" s="411">
        <v>-1.0589999999999999</v>
      </c>
      <c r="W57" s="411">
        <v>-1.0589999999999999</v>
      </c>
      <c r="X57" s="411">
        <v>-1.0369999999999999</v>
      </c>
      <c r="Y57" s="411">
        <v>-1.0369999999999999</v>
      </c>
    </row>
    <row r="58" spans="4:25" x14ac:dyDescent="0.25">
      <c r="D58" s="96"/>
      <c r="E58" s="96"/>
      <c r="F58" s="410" t="s">
        <v>45</v>
      </c>
      <c r="G58" s="293" t="s">
        <v>428</v>
      </c>
      <c r="J58" s="411">
        <v>1.1080000000000001</v>
      </c>
      <c r="K58" s="411">
        <v>1.1080000000000001</v>
      </c>
      <c r="L58" s="411">
        <v>1.1080000000000001</v>
      </c>
      <c r="M58" s="411">
        <v>1.1080000000000001</v>
      </c>
      <c r="N58" s="411">
        <v>1.1080000000000001</v>
      </c>
      <c r="O58" s="411">
        <v>1.0589999999999999</v>
      </c>
      <c r="P58" s="411">
        <v>1.0369999999999999</v>
      </c>
      <c r="Q58" s="411">
        <v>1.1080000000000001</v>
      </c>
      <c r="R58" s="411">
        <v>-1.1080000000000001</v>
      </c>
      <c r="S58" s="411">
        <v>-1.0589999999999999</v>
      </c>
      <c r="T58" s="411">
        <v>-1.1080000000000001</v>
      </c>
      <c r="U58" s="411">
        <v>-1.1080000000000001</v>
      </c>
      <c r="V58" s="411">
        <v>-1.0589999999999999</v>
      </c>
      <c r="W58" s="411">
        <v>-1.0589999999999999</v>
      </c>
      <c r="X58" s="411">
        <v>-1.0369999999999999</v>
      </c>
      <c r="Y58" s="411">
        <v>-1.0369999999999999</v>
      </c>
    </row>
    <row r="59" spans="4:25" x14ac:dyDescent="0.25">
      <c r="D59" s="96"/>
      <c r="E59" s="96"/>
      <c r="F59" s="410" t="s">
        <v>46</v>
      </c>
      <c r="G59" s="293" t="s">
        <v>428</v>
      </c>
      <c r="J59" s="411">
        <v>1.1080000000000001</v>
      </c>
      <c r="K59" s="411">
        <v>1.1080000000000001</v>
      </c>
      <c r="L59" s="411">
        <v>1.1080000000000001</v>
      </c>
      <c r="M59" s="411">
        <v>1.1080000000000001</v>
      </c>
      <c r="N59" s="411">
        <v>1.1080000000000001</v>
      </c>
      <c r="O59" s="411">
        <v>1.0589999999999999</v>
      </c>
      <c r="P59" s="411">
        <v>1.0369999999999999</v>
      </c>
      <c r="Q59" s="411">
        <v>1.1080000000000001</v>
      </c>
      <c r="R59" s="411">
        <v>-1.1080000000000001</v>
      </c>
      <c r="S59" s="411">
        <v>-1.0589999999999999</v>
      </c>
      <c r="T59" s="411">
        <v>-1.1080000000000001</v>
      </c>
      <c r="U59" s="411">
        <v>-1.1080000000000001</v>
      </c>
      <c r="V59" s="411">
        <v>-1.0589999999999999</v>
      </c>
      <c r="W59" s="411">
        <v>-1.0589999999999999</v>
      </c>
      <c r="X59" s="411">
        <v>-1.0369999999999999</v>
      </c>
      <c r="Y59" s="411">
        <v>-1.0369999999999999</v>
      </c>
    </row>
    <row r="60" spans="4:25" x14ac:dyDescent="0.25">
      <c r="D60" s="96"/>
      <c r="E60" s="96"/>
      <c r="F60" s="410" t="s">
        <v>47</v>
      </c>
      <c r="G60" s="293" t="s">
        <v>428</v>
      </c>
      <c r="J60" s="411">
        <v>1.1080000000000001</v>
      </c>
      <c r="K60" s="411">
        <v>1.1080000000000001</v>
      </c>
      <c r="L60" s="411">
        <v>1.1080000000000001</v>
      </c>
      <c r="M60" s="411">
        <v>1.1080000000000001</v>
      </c>
      <c r="N60" s="411">
        <v>1.1080000000000001</v>
      </c>
      <c r="O60" s="411">
        <v>1.0589999999999999</v>
      </c>
      <c r="P60" s="411">
        <v>1.0369999999999999</v>
      </c>
      <c r="Q60" s="411">
        <v>1.1080000000000001</v>
      </c>
      <c r="R60" s="411">
        <v>-1.1080000000000001</v>
      </c>
      <c r="S60" s="411">
        <v>-1.0589999999999999</v>
      </c>
      <c r="T60" s="411">
        <v>-1.1080000000000001</v>
      </c>
      <c r="U60" s="411">
        <v>-1.1080000000000001</v>
      </c>
      <c r="V60" s="411">
        <v>-1.0589999999999999</v>
      </c>
      <c r="W60" s="411">
        <v>-1.0589999999999999</v>
      </c>
      <c r="X60" s="411">
        <v>-1.0369999999999999</v>
      </c>
      <c r="Y60" s="411">
        <v>-1.0369999999999999</v>
      </c>
    </row>
    <row r="61" spans="4:25" x14ac:dyDescent="0.25">
      <c r="D61" s="96"/>
      <c r="E61" s="96"/>
      <c r="F61" s="410" t="s">
        <v>51</v>
      </c>
      <c r="G61" s="293" t="s">
        <v>428</v>
      </c>
      <c r="J61" s="411">
        <v>0</v>
      </c>
      <c r="K61" s="411">
        <v>0</v>
      </c>
      <c r="L61" s="411">
        <v>0</v>
      </c>
      <c r="M61" s="411">
        <v>0</v>
      </c>
      <c r="N61" s="411">
        <v>0</v>
      </c>
      <c r="O61" s="411">
        <v>0</v>
      </c>
      <c r="P61" s="411">
        <v>0</v>
      </c>
      <c r="Q61" s="411">
        <v>0</v>
      </c>
      <c r="R61" s="411">
        <v>0</v>
      </c>
      <c r="S61" s="411">
        <v>0</v>
      </c>
      <c r="T61" s="411">
        <v>0</v>
      </c>
      <c r="U61" s="411">
        <v>0</v>
      </c>
      <c r="V61" s="411">
        <v>0</v>
      </c>
      <c r="W61" s="411">
        <v>0</v>
      </c>
      <c r="X61" s="411">
        <v>0</v>
      </c>
      <c r="Y61" s="411">
        <v>0</v>
      </c>
    </row>
    <row r="62" spans="4:25" x14ac:dyDescent="0.25">
      <c r="D62" s="96"/>
      <c r="E62" s="96"/>
      <c r="F62" s="410" t="s">
        <v>48</v>
      </c>
      <c r="G62" s="293" t="s">
        <v>428</v>
      </c>
      <c r="J62" s="411">
        <v>1.1080000000000001</v>
      </c>
      <c r="K62" s="411">
        <v>1.1080000000000001</v>
      </c>
      <c r="L62" s="411">
        <v>1.1080000000000001</v>
      </c>
      <c r="M62" s="411">
        <v>1.1080000000000001</v>
      </c>
      <c r="N62" s="411">
        <v>1.1080000000000001</v>
      </c>
      <c r="O62" s="411">
        <v>1.0589999999999999</v>
      </c>
      <c r="P62" s="411">
        <v>1.0369999999999999</v>
      </c>
      <c r="Q62" s="411">
        <v>1.1080000000000001</v>
      </c>
      <c r="R62" s="411">
        <v>-1.1080000000000001</v>
      </c>
      <c r="S62" s="411">
        <v>-1.0589999999999999</v>
      </c>
      <c r="T62" s="411">
        <v>-1.1080000000000001</v>
      </c>
      <c r="U62" s="411">
        <v>-1.1080000000000001</v>
      </c>
      <c r="V62" s="411">
        <v>-1.0589999999999999</v>
      </c>
      <c r="W62" s="411">
        <v>-1.0589999999999999</v>
      </c>
      <c r="X62" s="411">
        <v>0</v>
      </c>
      <c r="Y62" s="411">
        <v>0</v>
      </c>
    </row>
    <row r="63" spans="4:25" x14ac:dyDescent="0.25">
      <c r="D63" s="96"/>
      <c r="E63" s="96"/>
      <c r="F63" s="410" t="s">
        <v>49</v>
      </c>
      <c r="G63" s="293" t="s">
        <v>428</v>
      </c>
      <c r="J63" s="411">
        <v>1.1080000000000001</v>
      </c>
      <c r="K63" s="411">
        <v>1.1080000000000001</v>
      </c>
      <c r="L63" s="411">
        <v>1.1080000000000001</v>
      </c>
      <c r="M63" s="411">
        <v>1.1080000000000001</v>
      </c>
      <c r="N63" s="411">
        <v>1.1080000000000001</v>
      </c>
      <c r="O63" s="411">
        <v>1.0589999999999999</v>
      </c>
      <c r="P63" s="411">
        <v>0</v>
      </c>
      <c r="Q63" s="411">
        <v>1.1080000000000001</v>
      </c>
      <c r="R63" s="411">
        <v>-1.1080000000000001</v>
      </c>
      <c r="S63" s="411">
        <v>0</v>
      </c>
      <c r="T63" s="411">
        <v>-1.1080000000000001</v>
      </c>
      <c r="U63" s="411">
        <v>-1.1080000000000001</v>
      </c>
      <c r="V63" s="411">
        <v>0</v>
      </c>
      <c r="W63" s="411">
        <v>0</v>
      </c>
      <c r="X63" s="411">
        <v>0</v>
      </c>
      <c r="Y63" s="411">
        <v>0</v>
      </c>
    </row>
    <row r="64" spans="4:25" x14ac:dyDescent="0.25">
      <c r="D64" s="96"/>
      <c r="E64" s="96"/>
      <c r="F64" s="412" t="s">
        <v>50</v>
      </c>
      <c r="G64" s="93" t="s">
        <v>428</v>
      </c>
      <c r="H64" s="93"/>
      <c r="I64" s="93"/>
      <c r="J64" s="284">
        <v>1.1080000000000001</v>
      </c>
      <c r="K64" s="284">
        <v>1.1080000000000001</v>
      </c>
      <c r="L64" s="284">
        <v>1.1080000000000001</v>
      </c>
      <c r="M64" s="284">
        <v>1.1080000000000001</v>
      </c>
      <c r="N64" s="284">
        <v>1.1080000000000001</v>
      </c>
      <c r="O64" s="284">
        <v>0</v>
      </c>
      <c r="P64" s="284">
        <v>0</v>
      </c>
      <c r="Q64" s="284">
        <v>1.1080000000000001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2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25">
      <c r="E66" s="96" t="s">
        <v>522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25">
      <c r="D67" s="96"/>
      <c r="E67" s="96"/>
      <c r="F67" s="409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25">
      <c r="D68" s="96"/>
      <c r="E68" s="96"/>
      <c r="F68" s="410" t="s">
        <v>43</v>
      </c>
      <c r="G68" s="14" t="s">
        <v>94</v>
      </c>
      <c r="J68" s="413"/>
      <c r="K68" s="413"/>
      <c r="L68" s="413"/>
      <c r="M68" s="413"/>
      <c r="N68" s="413"/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</row>
    <row r="69" spans="3:25" x14ac:dyDescent="0.25">
      <c r="D69" s="96"/>
      <c r="E69" s="96"/>
      <c r="F69" s="410" t="s">
        <v>44</v>
      </c>
      <c r="G69" s="14" t="s">
        <v>94</v>
      </c>
      <c r="J69" s="411">
        <f t="array" ref="J69:Y76">TRANSPOSE('Customer contributions'!L51:S66)</f>
        <v>0</v>
      </c>
      <c r="K69" s="411">
        <v>0</v>
      </c>
      <c r="L69" s="411">
        <v>0</v>
      </c>
      <c r="M69" s="411">
        <v>0</v>
      </c>
      <c r="N69" s="411">
        <v>0</v>
      </c>
      <c r="O69" s="411">
        <v>0</v>
      </c>
      <c r="P69" s="411">
        <v>0</v>
      </c>
      <c r="Q69" s="411">
        <v>0</v>
      </c>
      <c r="R69" s="411">
        <v>0</v>
      </c>
      <c r="S69" s="411">
        <v>0</v>
      </c>
      <c r="T69" s="411">
        <v>0</v>
      </c>
      <c r="U69" s="411">
        <v>0</v>
      </c>
      <c r="V69" s="411">
        <v>0</v>
      </c>
      <c r="W69" s="411">
        <v>0</v>
      </c>
      <c r="X69" s="411">
        <v>0</v>
      </c>
      <c r="Y69" s="411">
        <v>0</v>
      </c>
    </row>
    <row r="70" spans="3:25" x14ac:dyDescent="0.25">
      <c r="D70" s="96"/>
      <c r="E70" s="96"/>
      <c r="F70" s="410" t="s">
        <v>45</v>
      </c>
      <c r="G70" s="14" t="s">
        <v>94</v>
      </c>
      <c r="J70" s="411">
        <v>0</v>
      </c>
      <c r="K70" s="411">
        <v>0</v>
      </c>
      <c r="L70" s="411">
        <v>0</v>
      </c>
      <c r="M70" s="411">
        <v>0</v>
      </c>
      <c r="N70" s="411">
        <v>0</v>
      </c>
      <c r="O70" s="411">
        <v>0</v>
      </c>
      <c r="P70" s="411">
        <v>0</v>
      </c>
      <c r="Q70" s="411">
        <v>0</v>
      </c>
      <c r="R70" s="411">
        <v>0</v>
      </c>
      <c r="S70" s="411">
        <v>0</v>
      </c>
      <c r="T70" s="411">
        <v>0</v>
      </c>
      <c r="U70" s="411">
        <v>0</v>
      </c>
      <c r="V70" s="411">
        <v>0</v>
      </c>
      <c r="W70" s="411">
        <v>0</v>
      </c>
      <c r="X70" s="411">
        <v>0</v>
      </c>
      <c r="Y70" s="411">
        <v>0</v>
      </c>
    </row>
    <row r="71" spans="3:25" x14ac:dyDescent="0.25">
      <c r="D71" s="96"/>
      <c r="E71" s="96"/>
      <c r="F71" s="410" t="s">
        <v>46</v>
      </c>
      <c r="G71" s="14" t="s">
        <v>94</v>
      </c>
      <c r="J71" s="411">
        <v>0</v>
      </c>
      <c r="K71" s="411">
        <v>0</v>
      </c>
      <c r="L71" s="411">
        <v>0</v>
      </c>
      <c r="M71" s="411">
        <v>0</v>
      </c>
      <c r="N71" s="411">
        <v>0</v>
      </c>
      <c r="O71" s="411">
        <v>0</v>
      </c>
      <c r="P71" s="411">
        <v>0.29443019943019899</v>
      </c>
      <c r="Q71" s="411">
        <v>0</v>
      </c>
      <c r="R71" s="411">
        <v>0</v>
      </c>
      <c r="S71" s="411">
        <v>0</v>
      </c>
      <c r="T71" s="411">
        <v>0</v>
      </c>
      <c r="U71" s="411">
        <v>0</v>
      </c>
      <c r="V71" s="411">
        <v>0</v>
      </c>
      <c r="W71" s="411">
        <v>0</v>
      </c>
      <c r="X71" s="411">
        <v>0.29443019943019899</v>
      </c>
      <c r="Y71" s="411">
        <v>0.29443019943019899</v>
      </c>
    </row>
    <row r="72" spans="3:25" x14ac:dyDescent="0.25">
      <c r="D72" s="96"/>
      <c r="E72" s="96"/>
      <c r="F72" s="410" t="s">
        <v>47</v>
      </c>
      <c r="G72" s="14" t="s">
        <v>94</v>
      </c>
      <c r="J72" s="411">
        <v>0</v>
      </c>
      <c r="K72" s="411">
        <v>0</v>
      </c>
      <c r="L72" s="411">
        <v>0</v>
      </c>
      <c r="M72" s="411">
        <v>0</v>
      </c>
      <c r="N72" s="411">
        <v>0</v>
      </c>
      <c r="O72" s="411">
        <v>0</v>
      </c>
      <c r="P72" s="411">
        <v>0.14317058823529399</v>
      </c>
      <c r="Q72" s="411">
        <v>0</v>
      </c>
      <c r="R72" s="411">
        <v>0</v>
      </c>
      <c r="S72" s="411">
        <v>0</v>
      </c>
      <c r="T72" s="411">
        <v>0</v>
      </c>
      <c r="U72" s="411">
        <v>0</v>
      </c>
      <c r="V72" s="411">
        <v>0</v>
      </c>
      <c r="W72" s="411">
        <v>0</v>
      </c>
      <c r="X72" s="411">
        <v>0.14317058823529399</v>
      </c>
      <c r="Y72" s="411">
        <v>0.14317058823529399</v>
      </c>
    </row>
    <row r="73" spans="3:25" x14ac:dyDescent="0.25">
      <c r="D73" s="96"/>
      <c r="E73" s="96"/>
      <c r="F73" s="410" t="s">
        <v>51</v>
      </c>
      <c r="G73" s="14" t="s">
        <v>94</v>
      </c>
      <c r="J73" s="411">
        <v>0</v>
      </c>
      <c r="K73" s="411">
        <v>0</v>
      </c>
      <c r="L73" s="411">
        <v>0</v>
      </c>
      <c r="M73" s="411">
        <v>0</v>
      </c>
      <c r="N73" s="411">
        <v>0</v>
      </c>
      <c r="O73" s="411">
        <v>0</v>
      </c>
      <c r="P73" s="411">
        <v>0</v>
      </c>
      <c r="Q73" s="411">
        <v>0</v>
      </c>
      <c r="R73" s="411">
        <v>0</v>
      </c>
      <c r="S73" s="411">
        <v>0</v>
      </c>
      <c r="T73" s="411">
        <v>0</v>
      </c>
      <c r="U73" s="411">
        <v>0</v>
      </c>
      <c r="V73" s="411">
        <v>0</v>
      </c>
      <c r="W73" s="411">
        <v>0</v>
      </c>
      <c r="X73" s="411">
        <v>0</v>
      </c>
      <c r="Y73" s="411">
        <v>0</v>
      </c>
    </row>
    <row r="74" spans="3:25" x14ac:dyDescent="0.25">
      <c r="D74" s="96"/>
      <c r="E74" s="96"/>
      <c r="F74" s="410" t="s">
        <v>48</v>
      </c>
      <c r="G74" s="14" t="s">
        <v>94</v>
      </c>
      <c r="J74" s="411">
        <v>0.32635129017655001</v>
      </c>
      <c r="K74" s="411">
        <v>0.32635129017655001</v>
      </c>
      <c r="L74" s="411">
        <v>0.32635129017655001</v>
      </c>
      <c r="M74" s="411">
        <v>0.32635129017655001</v>
      </c>
      <c r="N74" s="411">
        <v>0.32635129017655001</v>
      </c>
      <c r="O74" s="411">
        <v>0.32635129017655001</v>
      </c>
      <c r="P74" s="411">
        <v>0.73429040289723801</v>
      </c>
      <c r="Q74" s="411">
        <v>0.32635129017655001</v>
      </c>
      <c r="R74" s="411">
        <v>0.32635129017655001</v>
      </c>
      <c r="S74" s="411">
        <v>0.32635129017655001</v>
      </c>
      <c r="T74" s="411">
        <v>0.32635129017655001</v>
      </c>
      <c r="U74" s="411">
        <v>0.32635129017655001</v>
      </c>
      <c r="V74" s="411">
        <v>0.32635129017655001</v>
      </c>
      <c r="W74" s="411">
        <v>0.32635129017655001</v>
      </c>
      <c r="X74" s="411">
        <v>0.73429040289723801</v>
      </c>
      <c r="Y74" s="411">
        <v>0.73429040289723801</v>
      </c>
    </row>
    <row r="75" spans="3:25" x14ac:dyDescent="0.25">
      <c r="D75" s="96"/>
      <c r="E75" s="96"/>
      <c r="F75" s="410" t="s">
        <v>49</v>
      </c>
      <c r="G75" s="14" t="s">
        <v>94</v>
      </c>
      <c r="J75" s="411">
        <v>0.71097285067873295</v>
      </c>
      <c r="K75" s="411">
        <v>0.71097285067873295</v>
      </c>
      <c r="L75" s="411">
        <v>0.71097285067873295</v>
      </c>
      <c r="M75" s="411">
        <v>0.71097285067873295</v>
      </c>
      <c r="N75" s="411">
        <v>0.71097285067873295</v>
      </c>
      <c r="O75" s="411">
        <v>0.71097285067873295</v>
      </c>
      <c r="P75" s="411">
        <v>0</v>
      </c>
      <c r="Q75" s="411">
        <v>0.71097285067873295</v>
      </c>
      <c r="R75" s="411">
        <v>0.71097285067873295</v>
      </c>
      <c r="S75" s="411">
        <v>0.71097285067873295</v>
      </c>
      <c r="T75" s="411">
        <v>0.71097285067873295</v>
      </c>
      <c r="U75" s="411">
        <v>0.71097285067873295</v>
      </c>
      <c r="V75" s="411">
        <v>0.71097285067873295</v>
      </c>
      <c r="W75" s="411">
        <v>0.71097285067873295</v>
      </c>
      <c r="X75" s="411">
        <v>0</v>
      </c>
      <c r="Y75" s="411">
        <v>0</v>
      </c>
    </row>
    <row r="76" spans="3:25" x14ac:dyDescent="0.25">
      <c r="D76" s="96"/>
      <c r="E76" s="96"/>
      <c r="F76" s="412" t="s">
        <v>50</v>
      </c>
      <c r="G76" s="15" t="s">
        <v>94</v>
      </c>
      <c r="H76" s="93"/>
      <c r="I76" s="93"/>
      <c r="J76" s="284">
        <v>0.93094869075781095</v>
      </c>
      <c r="K76" s="284">
        <v>0.93094869075781095</v>
      </c>
      <c r="L76" s="284">
        <v>0.93094869075781095</v>
      </c>
      <c r="M76" s="284">
        <v>0.93094869075781095</v>
      </c>
      <c r="N76" s="284">
        <v>0.93094869075781095</v>
      </c>
      <c r="O76" s="284">
        <v>0</v>
      </c>
      <c r="P76" s="284">
        <v>0</v>
      </c>
      <c r="Q76" s="284">
        <v>0.93094869075781095</v>
      </c>
      <c r="R76" s="284">
        <v>0.93094869075781095</v>
      </c>
      <c r="S76" s="284">
        <v>0</v>
      </c>
      <c r="T76" s="284">
        <v>0.93094869075781095</v>
      </c>
      <c r="U76" s="284">
        <v>0.93094869075781095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2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25">
      <c r="E78" s="14" t="s">
        <v>143</v>
      </c>
      <c r="F78" s="14"/>
      <c r="G78" s="14" t="s">
        <v>428</v>
      </c>
      <c r="J78" s="411">
        <f>'Pseudo-load coefficients'!J267</f>
        <v>1.8896138897056127</v>
      </c>
      <c r="K78" s="411">
        <f>'Pseudo-load coefficients'!K267</f>
        <v>1.8896138897056127</v>
      </c>
      <c r="L78" s="411">
        <f>'Pseudo-load coefficients'!L267</f>
        <v>1.597649859175319</v>
      </c>
      <c r="M78" s="411">
        <f>'Pseudo-load coefficients'!M267</f>
        <v>1.597649859175319</v>
      </c>
      <c r="N78" s="411">
        <f>'Pseudo-load coefficients'!N267</f>
        <v>1.4008027522935782</v>
      </c>
      <c r="O78" s="411">
        <f>'Pseudo-load coefficients'!O267</f>
        <v>1.3229777256740911</v>
      </c>
      <c r="P78" s="411">
        <f>'Pseudo-load coefficients'!P267</f>
        <v>1.123706702654071</v>
      </c>
      <c r="Q78" s="411">
        <f>'Pseudo-load coefficients'!Q267</f>
        <v>1.8729446935724963</v>
      </c>
      <c r="R78" s="411">
        <f>'Pseudo-load coefficients'!R267</f>
        <v>1</v>
      </c>
      <c r="S78" s="411">
        <f>'Pseudo-load coefficients'!S267</f>
        <v>1</v>
      </c>
      <c r="T78" s="411">
        <f>'Pseudo-load coefficients'!T267</f>
        <v>1</v>
      </c>
      <c r="U78" s="411">
        <f>'Pseudo-load coefficients'!U267</f>
        <v>1</v>
      </c>
      <c r="V78" s="411">
        <f>'Pseudo-load coefficients'!V267</f>
        <v>1</v>
      </c>
      <c r="W78" s="411">
        <f>'Pseudo-load coefficients'!W267</f>
        <v>1</v>
      </c>
      <c r="X78" s="411">
        <f>'Pseudo-load coefficients'!X267</f>
        <v>1</v>
      </c>
      <c r="Y78" s="411">
        <f>'Pseudo-load coefficients'!Y267</f>
        <v>1</v>
      </c>
    </row>
    <row r="79" spans="3:25" x14ac:dyDescent="0.2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2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25">
      <c r="E81" s="96"/>
      <c r="F81" s="409" t="s">
        <v>267</v>
      </c>
      <c r="G81" s="16" t="s">
        <v>428</v>
      </c>
      <c r="H81" s="91"/>
      <c r="I81" s="91"/>
      <c r="J81" s="529">
        <f>'Pseudo-load coefficients'!J272</f>
        <v>10.33137392056847</v>
      </c>
      <c r="K81" s="529">
        <f>'Pseudo-load coefficients'!K272</f>
        <v>10.33137392056847</v>
      </c>
      <c r="L81" s="529">
        <f>'Pseudo-load coefficients'!L272</f>
        <v>12.599233643049031</v>
      </c>
      <c r="M81" s="529">
        <f>'Pseudo-load coefficients'!M272</f>
        <v>12.599233643049031</v>
      </c>
      <c r="N81" s="529">
        <f>'Pseudo-load coefficients'!N272</f>
        <v>9.1739781710397406</v>
      </c>
      <c r="O81" s="529">
        <f>'Pseudo-load coefficients'!O272</f>
        <v>9.2688409346764917</v>
      </c>
      <c r="P81" s="529">
        <f>'Pseudo-load coefficients'!P272</f>
        <v>8.2205346128364543</v>
      </c>
      <c r="Q81" s="529">
        <f>'Pseudo-load coefficients'!Q272</f>
        <v>18.227975342383129</v>
      </c>
      <c r="R81" s="529">
        <f>'Pseudo-load coefficients'!R272</f>
        <v>7.7533124014775545</v>
      </c>
      <c r="S81" s="529">
        <f>'Pseudo-load coefficients'!S272</f>
        <v>7.7533124014775545</v>
      </c>
      <c r="T81" s="529">
        <f>'Pseudo-load coefficients'!T272</f>
        <v>7.7533124014775545</v>
      </c>
      <c r="U81" s="529">
        <f>'Pseudo-load coefficients'!U272</f>
        <v>7.7533124014775545</v>
      </c>
      <c r="V81" s="529">
        <f>'Pseudo-load coefficients'!V272</f>
        <v>7.7533124014775545</v>
      </c>
      <c r="W81" s="529">
        <f>'Pseudo-load coefficients'!W272</f>
        <v>7.7533124014775545</v>
      </c>
      <c r="X81" s="529">
        <f>'Pseudo-load coefficients'!X272</f>
        <v>7.7533124014775545</v>
      </c>
      <c r="Y81" s="529">
        <f>'Pseudo-load coefficients'!Y272</f>
        <v>7.7533124014775545</v>
      </c>
    </row>
    <row r="82" spans="5:25" x14ac:dyDescent="0.25">
      <c r="E82" s="96"/>
      <c r="F82" s="410" t="s">
        <v>43</v>
      </c>
      <c r="G82" s="14" t="s">
        <v>428</v>
      </c>
      <c r="J82" s="411">
        <f>'Pseudo-load coefficients'!J272</f>
        <v>10.33137392056847</v>
      </c>
      <c r="K82" s="411">
        <f>'Pseudo-load coefficients'!K272</f>
        <v>10.33137392056847</v>
      </c>
      <c r="L82" s="411">
        <f>'Pseudo-load coefficients'!L272</f>
        <v>12.599233643049031</v>
      </c>
      <c r="M82" s="411">
        <f>'Pseudo-load coefficients'!M272</f>
        <v>12.599233643049031</v>
      </c>
      <c r="N82" s="411">
        <f>'Pseudo-load coefficients'!N272</f>
        <v>9.1739781710397406</v>
      </c>
      <c r="O82" s="411">
        <f>'Pseudo-load coefficients'!O272</f>
        <v>9.2688409346764917</v>
      </c>
      <c r="P82" s="411">
        <f>'Pseudo-load coefficients'!P272</f>
        <v>8.2205346128364543</v>
      </c>
      <c r="Q82" s="411">
        <f>'Pseudo-load coefficients'!Q272</f>
        <v>18.227975342383129</v>
      </c>
      <c r="R82" s="411">
        <f>'Pseudo-load coefficients'!R272</f>
        <v>7.7533124014775545</v>
      </c>
      <c r="S82" s="411">
        <f>'Pseudo-load coefficients'!S272</f>
        <v>7.7533124014775545</v>
      </c>
      <c r="T82" s="411">
        <f>'Pseudo-load coefficients'!T272</f>
        <v>7.7533124014775545</v>
      </c>
      <c r="U82" s="411">
        <f>'Pseudo-load coefficients'!U272</f>
        <v>7.7533124014775545</v>
      </c>
      <c r="V82" s="411">
        <f>'Pseudo-load coefficients'!V272</f>
        <v>7.7533124014775545</v>
      </c>
      <c r="W82" s="411">
        <f>'Pseudo-load coefficients'!W272</f>
        <v>7.7533124014775545</v>
      </c>
      <c r="X82" s="411">
        <f>'Pseudo-load coefficients'!X272</f>
        <v>7.7533124014775545</v>
      </c>
      <c r="Y82" s="411">
        <f>'Pseudo-load coefficients'!Y272</f>
        <v>7.7533124014775545</v>
      </c>
    </row>
    <row r="83" spans="5:25" x14ac:dyDescent="0.25">
      <c r="E83" s="96"/>
      <c r="F83" s="410" t="s">
        <v>44</v>
      </c>
      <c r="G83" s="14" t="s">
        <v>428</v>
      </c>
      <c r="J83" s="411">
        <f>'Pseudo-load coefficients'!J273</f>
        <v>10.33137392056847</v>
      </c>
      <c r="K83" s="411">
        <f>'Pseudo-load coefficients'!K273</f>
        <v>10.33137392056847</v>
      </c>
      <c r="L83" s="411">
        <f>'Pseudo-load coefficients'!L273</f>
        <v>12.599233643049031</v>
      </c>
      <c r="M83" s="411">
        <f>'Pseudo-load coefficients'!M273</f>
        <v>12.599233643049031</v>
      </c>
      <c r="N83" s="411">
        <f>'Pseudo-load coefficients'!N273</f>
        <v>9.1739781710397406</v>
      </c>
      <c r="O83" s="411">
        <f>'Pseudo-load coefficients'!O273</f>
        <v>9.2688409346764917</v>
      </c>
      <c r="P83" s="411">
        <f>'Pseudo-load coefficients'!P273</f>
        <v>8.2205346128364543</v>
      </c>
      <c r="Q83" s="411">
        <f>'Pseudo-load coefficients'!Q273</f>
        <v>18.227975342383129</v>
      </c>
      <c r="R83" s="411">
        <f>'Pseudo-load coefficients'!R273</f>
        <v>7.7533124014775545</v>
      </c>
      <c r="S83" s="411">
        <f>'Pseudo-load coefficients'!S273</f>
        <v>7.7533124014775545</v>
      </c>
      <c r="T83" s="411">
        <f>'Pseudo-load coefficients'!T273</f>
        <v>7.7533124014775545</v>
      </c>
      <c r="U83" s="411">
        <f>'Pseudo-load coefficients'!U273</f>
        <v>7.7533124014775545</v>
      </c>
      <c r="V83" s="411">
        <f>'Pseudo-load coefficients'!V273</f>
        <v>7.7533124014775545</v>
      </c>
      <c r="W83" s="411">
        <f>'Pseudo-load coefficients'!W273</f>
        <v>7.7533124014775545</v>
      </c>
      <c r="X83" s="411">
        <f>'Pseudo-load coefficients'!X273</f>
        <v>7.7533124014775545</v>
      </c>
      <c r="Y83" s="411">
        <f>'Pseudo-load coefficients'!Y273</f>
        <v>7.7533124014775545</v>
      </c>
    </row>
    <row r="84" spans="5:25" x14ac:dyDescent="0.25">
      <c r="E84" s="96"/>
      <c r="F84" s="410" t="s">
        <v>45</v>
      </c>
      <c r="G84" s="14" t="s">
        <v>428</v>
      </c>
      <c r="J84" s="411">
        <f>'Pseudo-load coefficients'!J274</f>
        <v>6.9971608783263184</v>
      </c>
      <c r="K84" s="411">
        <f>'Pseudo-load coefficients'!K274</f>
        <v>6.9971608783263184</v>
      </c>
      <c r="L84" s="411">
        <f>'Pseudo-load coefficients'!L274</f>
        <v>8.5331210952032457</v>
      </c>
      <c r="M84" s="411">
        <f>'Pseudo-load coefficients'!M274</f>
        <v>8.5331210952032457</v>
      </c>
      <c r="N84" s="411">
        <f>'Pseudo-load coefficients'!N274</f>
        <v>6.2132879567180401</v>
      </c>
      <c r="O84" s="411">
        <f>'Pseudo-load coefficients'!O274</f>
        <v>6.277535947704747</v>
      </c>
      <c r="P84" s="411">
        <f>'Pseudo-load coefficients'!P274</f>
        <v>5.5675463528960769</v>
      </c>
      <c r="Q84" s="411">
        <f>'Pseudo-load coefficients'!Q274</f>
        <v>9.423862670610573</v>
      </c>
      <c r="R84" s="411">
        <f>'Pseudo-load coefficients'!R274</f>
        <v>5.2511093519762886</v>
      </c>
      <c r="S84" s="411">
        <f>'Pseudo-load coefficients'!S274</f>
        <v>5.2511093519762886</v>
      </c>
      <c r="T84" s="411">
        <f>'Pseudo-load coefficients'!T274</f>
        <v>5.2511093519762886</v>
      </c>
      <c r="U84" s="411">
        <f>'Pseudo-load coefficients'!U274</f>
        <v>5.2511093519762886</v>
      </c>
      <c r="V84" s="411">
        <f>'Pseudo-load coefficients'!V274</f>
        <v>5.2511093519762886</v>
      </c>
      <c r="W84" s="411">
        <f>'Pseudo-load coefficients'!W274</f>
        <v>5.2511093519762886</v>
      </c>
      <c r="X84" s="411">
        <f>'Pseudo-load coefficients'!X274</f>
        <v>5.2511093519762886</v>
      </c>
      <c r="Y84" s="411">
        <f>'Pseudo-load coefficients'!Y274</f>
        <v>5.2511093519762886</v>
      </c>
    </row>
    <row r="85" spans="5:25" x14ac:dyDescent="0.25">
      <c r="E85" s="96"/>
      <c r="F85" s="410" t="s">
        <v>46</v>
      </c>
      <c r="G85" s="14" t="s">
        <v>428</v>
      </c>
      <c r="J85" s="411">
        <f>'Pseudo-load coefficients'!J275</f>
        <v>6.9971608783263184</v>
      </c>
      <c r="K85" s="411">
        <f>'Pseudo-load coefficients'!K275</f>
        <v>6.9971608783263184</v>
      </c>
      <c r="L85" s="411">
        <f>'Pseudo-load coefficients'!L275</f>
        <v>8.5331210952032457</v>
      </c>
      <c r="M85" s="411">
        <f>'Pseudo-load coefficients'!M275</f>
        <v>8.5331210952032457</v>
      </c>
      <c r="N85" s="411">
        <f>'Pseudo-load coefficients'!N275</f>
        <v>6.2132879567180401</v>
      </c>
      <c r="O85" s="411">
        <f>'Pseudo-load coefficients'!O275</f>
        <v>6.277535947704747</v>
      </c>
      <c r="P85" s="411">
        <f>'Pseudo-load coefficients'!P275</f>
        <v>5.5675463528960769</v>
      </c>
      <c r="Q85" s="411">
        <f>'Pseudo-load coefficients'!Q275</f>
        <v>9.423862670610573</v>
      </c>
      <c r="R85" s="411">
        <f>'Pseudo-load coefficients'!R275</f>
        <v>5.2511093519762886</v>
      </c>
      <c r="S85" s="411">
        <f>'Pseudo-load coefficients'!S275</f>
        <v>5.2511093519762886</v>
      </c>
      <c r="T85" s="411">
        <f>'Pseudo-load coefficients'!T275</f>
        <v>5.2511093519762886</v>
      </c>
      <c r="U85" s="411">
        <f>'Pseudo-load coefficients'!U275</f>
        <v>5.2511093519762886</v>
      </c>
      <c r="V85" s="411">
        <f>'Pseudo-load coefficients'!V275</f>
        <v>5.2511093519762886</v>
      </c>
      <c r="W85" s="411">
        <f>'Pseudo-load coefficients'!W275</f>
        <v>5.2511093519762886</v>
      </c>
      <c r="X85" s="411">
        <f>'Pseudo-load coefficients'!X275</f>
        <v>5.2511093519762886</v>
      </c>
      <c r="Y85" s="411">
        <f>'Pseudo-load coefficients'!Y275</f>
        <v>5.2511093519762886</v>
      </c>
    </row>
    <row r="86" spans="5:25" x14ac:dyDescent="0.25">
      <c r="E86" s="96"/>
      <c r="F86" s="410" t="s">
        <v>47</v>
      </c>
      <c r="G86" s="14" t="s">
        <v>428</v>
      </c>
      <c r="J86" s="411">
        <f>'Pseudo-load coefficients'!J276</f>
        <v>5.9017945728385559</v>
      </c>
      <c r="K86" s="411">
        <f>'Pseudo-load coefficients'!K276</f>
        <v>5.9017945728385559</v>
      </c>
      <c r="L86" s="411">
        <f>'Pseudo-load coefficients'!L276</f>
        <v>7.1973088292191312</v>
      </c>
      <c r="M86" s="411">
        <f>'Pseudo-load coefficients'!M276</f>
        <v>7.1973088292191312</v>
      </c>
      <c r="N86" s="411">
        <f>'Pseudo-load coefficients'!N276</f>
        <v>5.2406325622761489</v>
      </c>
      <c r="O86" s="411">
        <f>'Pseudo-load coefficients'!O276</f>
        <v>5.2948228904842134</v>
      </c>
      <c r="P86" s="411">
        <f>'Pseudo-load coefficients'!P276</f>
        <v>4.6959781861423675</v>
      </c>
      <c r="Q86" s="411">
        <f>'Pseudo-load coefficients'!Q276</f>
        <v>10.264972028303236</v>
      </c>
      <c r="R86" s="411">
        <f>'Pseudo-load coefficients'!R276</f>
        <v>4.4290776235930007</v>
      </c>
      <c r="S86" s="411">
        <f>'Pseudo-load coefficients'!S276</f>
        <v>4.4290776235930007</v>
      </c>
      <c r="T86" s="411">
        <f>'Pseudo-load coefficients'!T276</f>
        <v>4.4290776235930007</v>
      </c>
      <c r="U86" s="411">
        <f>'Pseudo-load coefficients'!U276</f>
        <v>4.4290776235930007</v>
      </c>
      <c r="V86" s="411">
        <f>'Pseudo-load coefficients'!V276</f>
        <v>4.4290776235930007</v>
      </c>
      <c r="W86" s="411">
        <f>'Pseudo-load coefficients'!W276</f>
        <v>4.4290776235930007</v>
      </c>
      <c r="X86" s="411">
        <f>'Pseudo-load coefficients'!X276</f>
        <v>4.4290776235930007</v>
      </c>
      <c r="Y86" s="411">
        <f>'Pseudo-load coefficients'!Y276</f>
        <v>4.4290776235930007</v>
      </c>
    </row>
    <row r="87" spans="5:25" x14ac:dyDescent="0.25">
      <c r="E87" s="96"/>
      <c r="F87" s="410" t="s">
        <v>51</v>
      </c>
      <c r="G87" s="14" t="s">
        <v>428</v>
      </c>
      <c r="J87" s="411">
        <f>'Pseudo-load coefficients'!J277</f>
        <v>0</v>
      </c>
      <c r="K87" s="411">
        <f>'Pseudo-load coefficients'!K277</f>
        <v>0</v>
      </c>
      <c r="L87" s="411">
        <f>'Pseudo-load coefficients'!L277</f>
        <v>0</v>
      </c>
      <c r="M87" s="411">
        <f>'Pseudo-load coefficients'!M277</f>
        <v>0</v>
      </c>
      <c r="N87" s="411">
        <f>'Pseudo-load coefficients'!N277</f>
        <v>0</v>
      </c>
      <c r="O87" s="411">
        <f>'Pseudo-load coefficients'!O277</f>
        <v>0</v>
      </c>
      <c r="P87" s="411">
        <f>'Pseudo-load coefficients'!P277</f>
        <v>0</v>
      </c>
      <c r="Q87" s="411">
        <f>'Pseudo-load coefficients'!Q277</f>
        <v>0</v>
      </c>
      <c r="R87" s="411">
        <f>'Pseudo-load coefficients'!R277</f>
        <v>0</v>
      </c>
      <c r="S87" s="411">
        <f>'Pseudo-load coefficients'!S277</f>
        <v>0</v>
      </c>
      <c r="T87" s="411">
        <f>'Pseudo-load coefficients'!T277</f>
        <v>0</v>
      </c>
      <c r="U87" s="411">
        <f>'Pseudo-load coefficients'!U277</f>
        <v>0</v>
      </c>
      <c r="V87" s="411">
        <f>'Pseudo-load coefficients'!V277</f>
        <v>0</v>
      </c>
      <c r="W87" s="411">
        <f>'Pseudo-load coefficients'!W277</f>
        <v>0</v>
      </c>
      <c r="X87" s="411">
        <f>'Pseudo-load coefficients'!X277</f>
        <v>0</v>
      </c>
      <c r="Y87" s="411">
        <f>'Pseudo-load coefficients'!Y277</f>
        <v>0</v>
      </c>
    </row>
    <row r="88" spans="5:25" x14ac:dyDescent="0.25">
      <c r="E88" s="96"/>
      <c r="F88" s="410" t="s">
        <v>48</v>
      </c>
      <c r="G88" s="14" t="s">
        <v>428</v>
      </c>
      <c r="J88" s="411">
        <f>'Pseudo-load coefficients'!J278</f>
        <v>5.9017945728385559</v>
      </c>
      <c r="K88" s="411">
        <f>'Pseudo-load coefficients'!K278</f>
        <v>5.9017945728385559</v>
      </c>
      <c r="L88" s="411">
        <f>'Pseudo-load coefficients'!L278</f>
        <v>7.1973088292191312</v>
      </c>
      <c r="M88" s="411">
        <f>'Pseudo-load coefficients'!M278</f>
        <v>7.1973088292191312</v>
      </c>
      <c r="N88" s="411">
        <f>'Pseudo-load coefficients'!N278</f>
        <v>5.2406325622761489</v>
      </c>
      <c r="O88" s="411">
        <f>'Pseudo-load coefficients'!O278</f>
        <v>5.2948228904842134</v>
      </c>
      <c r="P88" s="411">
        <f>'Pseudo-load coefficients'!P278</f>
        <v>4.6959781861423675</v>
      </c>
      <c r="Q88" s="411">
        <f>'Pseudo-load coefficients'!Q278</f>
        <v>10.264972028303236</v>
      </c>
      <c r="R88" s="411">
        <f>'Pseudo-load coefficients'!R278</f>
        <v>4.4290776235930007</v>
      </c>
      <c r="S88" s="411">
        <f>'Pseudo-load coefficients'!S278</f>
        <v>4.4290776235930007</v>
      </c>
      <c r="T88" s="411">
        <f>'Pseudo-load coefficients'!T278</f>
        <v>4.4290776235930007</v>
      </c>
      <c r="U88" s="411">
        <f>'Pseudo-load coefficients'!U278</f>
        <v>4.4290776235930007</v>
      </c>
      <c r="V88" s="411">
        <f>'Pseudo-load coefficients'!V278</f>
        <v>4.4290776235930007</v>
      </c>
      <c r="W88" s="411">
        <f>'Pseudo-load coefficients'!W278</f>
        <v>4.4290776235930007</v>
      </c>
      <c r="X88" s="411">
        <f>'Pseudo-load coefficients'!X278</f>
        <v>4.4290776235930007</v>
      </c>
      <c r="Y88" s="411">
        <f>'Pseudo-load coefficients'!Y278</f>
        <v>4.4290776235930007</v>
      </c>
    </row>
    <row r="89" spans="5:25" x14ac:dyDescent="0.25">
      <c r="E89" s="96"/>
      <c r="F89" s="410" t="s">
        <v>49</v>
      </c>
      <c r="G89" s="14" t="s">
        <v>428</v>
      </c>
      <c r="J89" s="411">
        <f>'Pseudo-load coefficients'!J279</f>
        <v>5.9017945728385559</v>
      </c>
      <c r="K89" s="411">
        <f>'Pseudo-load coefficients'!K279</f>
        <v>5.9017945728385559</v>
      </c>
      <c r="L89" s="411">
        <f>'Pseudo-load coefficients'!L279</f>
        <v>7.1973088292191312</v>
      </c>
      <c r="M89" s="411">
        <f>'Pseudo-load coefficients'!M279</f>
        <v>7.1973088292191312</v>
      </c>
      <c r="N89" s="411">
        <f>'Pseudo-load coefficients'!N279</f>
        <v>5.2406325622761489</v>
      </c>
      <c r="O89" s="411">
        <f>'Pseudo-load coefficients'!O279</f>
        <v>5.2948228904842134</v>
      </c>
      <c r="P89" s="411">
        <f>'Pseudo-load coefficients'!P279</f>
        <v>4.6959781861423675</v>
      </c>
      <c r="Q89" s="411">
        <f>'Pseudo-load coefficients'!Q279</f>
        <v>10.264972028303236</v>
      </c>
      <c r="R89" s="411">
        <f>'Pseudo-load coefficients'!R279</f>
        <v>4.4290776235930007</v>
      </c>
      <c r="S89" s="411">
        <f>'Pseudo-load coefficients'!S279</f>
        <v>4.4290776235930007</v>
      </c>
      <c r="T89" s="411">
        <f>'Pseudo-load coefficients'!T279</f>
        <v>4.4290776235930007</v>
      </c>
      <c r="U89" s="411">
        <f>'Pseudo-load coefficients'!U279</f>
        <v>4.4290776235930007</v>
      </c>
      <c r="V89" s="411">
        <f>'Pseudo-load coefficients'!V279</f>
        <v>4.4290776235930007</v>
      </c>
      <c r="W89" s="411">
        <f>'Pseudo-load coefficients'!W279</f>
        <v>4.4290776235930007</v>
      </c>
      <c r="X89" s="411">
        <f>'Pseudo-load coefficients'!X279</f>
        <v>4.4290776235930007</v>
      </c>
      <c r="Y89" s="411">
        <f>'Pseudo-load coefficients'!Y279</f>
        <v>4.4290776235930007</v>
      </c>
    </row>
    <row r="90" spans="5:25" x14ac:dyDescent="0.25">
      <c r="E90" s="96"/>
      <c r="F90" s="412" t="s">
        <v>50</v>
      </c>
      <c r="G90" s="15" t="s">
        <v>428</v>
      </c>
      <c r="H90" s="93"/>
      <c r="I90" s="93"/>
      <c r="J90" s="284">
        <f>'Pseudo-load coefficients'!J280</f>
        <v>5.9017945728385559</v>
      </c>
      <c r="K90" s="284">
        <f>'Pseudo-load coefficients'!K280</f>
        <v>5.9017945728385559</v>
      </c>
      <c r="L90" s="284">
        <f>'Pseudo-load coefficients'!L280</f>
        <v>7.1973088292191312</v>
      </c>
      <c r="M90" s="284">
        <f>'Pseudo-load coefficients'!M280</f>
        <v>7.1973088292191312</v>
      </c>
      <c r="N90" s="284">
        <f>'Pseudo-load coefficients'!N280</f>
        <v>5.2406325622761489</v>
      </c>
      <c r="O90" s="284">
        <f>'Pseudo-load coefficients'!O280</f>
        <v>5.2948228904842134</v>
      </c>
      <c r="P90" s="284">
        <f>'Pseudo-load coefficients'!P280</f>
        <v>4.6959781861423675</v>
      </c>
      <c r="Q90" s="284">
        <f>'Pseudo-load coefficients'!Q280</f>
        <v>10.264972028303236</v>
      </c>
      <c r="R90" s="284">
        <f>'Pseudo-load coefficients'!R280</f>
        <v>4.4290776235930007</v>
      </c>
      <c r="S90" s="284">
        <f>'Pseudo-load coefficients'!S280</f>
        <v>4.4290776235930007</v>
      </c>
      <c r="T90" s="284">
        <f>'Pseudo-load coefficients'!T280</f>
        <v>4.4290776235930007</v>
      </c>
      <c r="U90" s="284">
        <f>'Pseudo-load coefficients'!U280</f>
        <v>4.4290776235930007</v>
      </c>
      <c r="V90" s="284">
        <f>'Pseudo-load coefficients'!V280</f>
        <v>4.4290776235930007</v>
      </c>
      <c r="W90" s="284">
        <f>'Pseudo-load coefficients'!W280</f>
        <v>4.4290776235930007</v>
      </c>
      <c r="X90" s="284">
        <f>'Pseudo-load coefficients'!X280</f>
        <v>4.4290776235930007</v>
      </c>
      <c r="Y90" s="284">
        <f>'Pseudo-load coefficients'!Y280</f>
        <v>4.4290776235930007</v>
      </c>
    </row>
    <row r="91" spans="5:25" x14ac:dyDescent="0.2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2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25">
      <c r="E93" s="96"/>
      <c r="F93" s="409" t="s">
        <v>267</v>
      </c>
      <c r="G93" s="16" t="s">
        <v>428</v>
      </c>
      <c r="H93" s="91"/>
      <c r="I93" s="91"/>
      <c r="J93" s="529">
        <f>'Pseudo-load coefficients'!J283</f>
        <v>0.91669931133443194</v>
      </c>
      <c r="K93" s="529">
        <f>'Pseudo-load coefficients'!K283</f>
        <v>0.91669931133443194</v>
      </c>
      <c r="L93" s="529">
        <f>'Pseudo-load coefficients'!L283</f>
        <v>1.1179257369564981</v>
      </c>
      <c r="M93" s="529">
        <f>'Pseudo-load coefficients'!M283</f>
        <v>1.1179257369564981</v>
      </c>
      <c r="N93" s="529">
        <f>'Pseudo-load coefficients'!N283</f>
        <v>0.81400397819755865</v>
      </c>
      <c r="O93" s="529">
        <f>'Pseudo-load coefficients'!O283</f>
        <v>0.82242111910889104</v>
      </c>
      <c r="P93" s="529">
        <f>'Pseudo-load coefficients'!P283</f>
        <v>0.72940525396968625</v>
      </c>
      <c r="Q93" s="529">
        <f>'Pseudo-load coefficients'!Q283</f>
        <v>1.5101210033774299</v>
      </c>
      <c r="R93" s="529">
        <f>'Pseudo-load coefficients'!R283</f>
        <v>0.68794878528644976</v>
      </c>
      <c r="S93" s="529">
        <f>'Pseudo-load coefficients'!S283</f>
        <v>0.68794878528644976</v>
      </c>
      <c r="T93" s="529">
        <f>'Pseudo-load coefficients'!T283</f>
        <v>0.68794878528644976</v>
      </c>
      <c r="U93" s="529">
        <f>'Pseudo-load coefficients'!U283</f>
        <v>0.68794878528644976</v>
      </c>
      <c r="V93" s="529">
        <f>'Pseudo-load coefficients'!V283</f>
        <v>0.68794878528644976</v>
      </c>
      <c r="W93" s="529">
        <f>'Pseudo-load coefficients'!W283</f>
        <v>0.68794878528644976</v>
      </c>
      <c r="X93" s="529">
        <f>'Pseudo-load coefficients'!X283</f>
        <v>0.68794878528644976</v>
      </c>
      <c r="Y93" s="529">
        <f>'Pseudo-load coefficients'!Y283</f>
        <v>0.68794878528644976</v>
      </c>
    </row>
    <row r="94" spans="5:25" x14ac:dyDescent="0.25">
      <c r="E94" s="96"/>
      <c r="F94" s="410" t="s">
        <v>43</v>
      </c>
      <c r="G94" s="14" t="s">
        <v>428</v>
      </c>
      <c r="J94" s="411">
        <f>'Pseudo-load coefficients'!J283</f>
        <v>0.91669931133443194</v>
      </c>
      <c r="K94" s="411">
        <f>'Pseudo-load coefficients'!K283</f>
        <v>0.91669931133443194</v>
      </c>
      <c r="L94" s="411">
        <f>'Pseudo-load coefficients'!L283</f>
        <v>1.1179257369564981</v>
      </c>
      <c r="M94" s="411">
        <f>'Pseudo-load coefficients'!M283</f>
        <v>1.1179257369564981</v>
      </c>
      <c r="N94" s="411">
        <f>'Pseudo-load coefficients'!N283</f>
        <v>0.81400397819755865</v>
      </c>
      <c r="O94" s="411">
        <f>'Pseudo-load coefficients'!O283</f>
        <v>0.82242111910889104</v>
      </c>
      <c r="P94" s="411">
        <f>'Pseudo-load coefficients'!P283</f>
        <v>0.72940525396968625</v>
      </c>
      <c r="Q94" s="411">
        <f>'Pseudo-load coefficients'!Q283</f>
        <v>1.5101210033774299</v>
      </c>
      <c r="R94" s="411">
        <f>'Pseudo-load coefficients'!R283</f>
        <v>0.68794878528644976</v>
      </c>
      <c r="S94" s="411">
        <f>'Pseudo-load coefficients'!S283</f>
        <v>0.68794878528644976</v>
      </c>
      <c r="T94" s="411">
        <f>'Pseudo-load coefficients'!T283</f>
        <v>0.68794878528644976</v>
      </c>
      <c r="U94" s="411">
        <f>'Pseudo-load coefficients'!U283</f>
        <v>0.68794878528644976</v>
      </c>
      <c r="V94" s="411">
        <f>'Pseudo-load coefficients'!V283</f>
        <v>0.68794878528644976</v>
      </c>
      <c r="W94" s="411">
        <f>'Pseudo-load coefficients'!W283</f>
        <v>0.68794878528644976</v>
      </c>
      <c r="X94" s="411">
        <f>'Pseudo-load coefficients'!X283</f>
        <v>0.68794878528644976</v>
      </c>
      <c r="Y94" s="411">
        <f>'Pseudo-load coefficients'!Y283</f>
        <v>0.68794878528644976</v>
      </c>
    </row>
    <row r="95" spans="5:25" x14ac:dyDescent="0.25">
      <c r="E95" s="96"/>
      <c r="F95" s="410" t="s">
        <v>44</v>
      </c>
      <c r="G95" s="14" t="s">
        <v>428</v>
      </c>
      <c r="J95" s="411">
        <f>'Pseudo-load coefficients'!J284</f>
        <v>0.91669931133443194</v>
      </c>
      <c r="K95" s="411">
        <f>'Pseudo-load coefficients'!K284</f>
        <v>0.91669931133443194</v>
      </c>
      <c r="L95" s="411">
        <f>'Pseudo-load coefficients'!L284</f>
        <v>1.1179257369564981</v>
      </c>
      <c r="M95" s="411">
        <f>'Pseudo-load coefficients'!M284</f>
        <v>1.1179257369564981</v>
      </c>
      <c r="N95" s="411">
        <f>'Pseudo-load coefficients'!N284</f>
        <v>0.81400397819755865</v>
      </c>
      <c r="O95" s="411">
        <f>'Pseudo-load coefficients'!O284</f>
        <v>0.82242111910889104</v>
      </c>
      <c r="P95" s="411">
        <f>'Pseudo-load coefficients'!P284</f>
        <v>0.72940525396968625</v>
      </c>
      <c r="Q95" s="411">
        <f>'Pseudo-load coefficients'!Q284</f>
        <v>1.5101210033774299</v>
      </c>
      <c r="R95" s="411">
        <f>'Pseudo-load coefficients'!R284</f>
        <v>0.68794878528644976</v>
      </c>
      <c r="S95" s="411">
        <f>'Pseudo-load coefficients'!S284</f>
        <v>0.68794878528644976</v>
      </c>
      <c r="T95" s="411">
        <f>'Pseudo-load coefficients'!T284</f>
        <v>0.68794878528644976</v>
      </c>
      <c r="U95" s="411">
        <f>'Pseudo-load coefficients'!U284</f>
        <v>0.68794878528644976</v>
      </c>
      <c r="V95" s="411">
        <f>'Pseudo-load coefficients'!V284</f>
        <v>0.68794878528644976</v>
      </c>
      <c r="W95" s="411">
        <f>'Pseudo-load coefficients'!W284</f>
        <v>0.68794878528644976</v>
      </c>
      <c r="X95" s="411">
        <f>'Pseudo-load coefficients'!X284</f>
        <v>0.68794878528644976</v>
      </c>
      <c r="Y95" s="411">
        <f>'Pseudo-load coefficients'!Y284</f>
        <v>0.68794878528644976</v>
      </c>
    </row>
    <row r="96" spans="5:25" x14ac:dyDescent="0.25">
      <c r="E96" s="96"/>
      <c r="F96" s="410" t="s">
        <v>45</v>
      </c>
      <c r="G96" s="14" t="s">
        <v>428</v>
      </c>
      <c r="J96" s="411">
        <f>'Pseudo-load coefficients'!J285</f>
        <v>1.5031084491267626</v>
      </c>
      <c r="K96" s="411">
        <f>'Pseudo-load coefficients'!K285</f>
        <v>1.5031084491267626</v>
      </c>
      <c r="L96" s="411">
        <f>'Pseudo-load coefficients'!L285</f>
        <v>1.8330586703174057</v>
      </c>
      <c r="M96" s="411">
        <f>'Pseudo-load coefficients'!M285</f>
        <v>1.8330586703174057</v>
      </c>
      <c r="N96" s="411">
        <f>'Pseudo-load coefficients'!N285</f>
        <v>1.3347192935821621</v>
      </c>
      <c r="O96" s="411">
        <f>'Pseudo-load coefficients'!O285</f>
        <v>1.3485208482085065</v>
      </c>
      <c r="P96" s="411">
        <f>'Pseudo-load coefficients'!P285</f>
        <v>1.1960030803157284</v>
      </c>
      <c r="Q96" s="411">
        <f>'Pseudo-load coefficients'!Q285</f>
        <v>1.9401556061394341</v>
      </c>
      <c r="R96" s="411">
        <f>'Pseudo-load coefficients'!R285</f>
        <v>1.128027062903844</v>
      </c>
      <c r="S96" s="411">
        <f>'Pseudo-load coefficients'!S285</f>
        <v>1.128027062903844</v>
      </c>
      <c r="T96" s="411">
        <f>'Pseudo-load coefficients'!T285</f>
        <v>1.128027062903844</v>
      </c>
      <c r="U96" s="411">
        <f>'Pseudo-load coefficients'!U285</f>
        <v>1.128027062903844</v>
      </c>
      <c r="V96" s="411">
        <f>'Pseudo-load coefficients'!V285</f>
        <v>1.128027062903844</v>
      </c>
      <c r="W96" s="411">
        <f>'Pseudo-load coefficients'!W285</f>
        <v>1.128027062903844</v>
      </c>
      <c r="X96" s="411">
        <f>'Pseudo-load coefficients'!X285</f>
        <v>1.128027062903844</v>
      </c>
      <c r="Y96" s="411">
        <f>'Pseudo-load coefficients'!Y285</f>
        <v>1.128027062903844</v>
      </c>
    </row>
    <row r="97" spans="3:25" x14ac:dyDescent="0.25">
      <c r="E97" s="96"/>
      <c r="F97" s="410" t="s">
        <v>46</v>
      </c>
      <c r="G97" s="14" t="s">
        <v>428</v>
      </c>
      <c r="J97" s="411">
        <f>'Pseudo-load coefficients'!J286</f>
        <v>1.5031084491267626</v>
      </c>
      <c r="K97" s="411">
        <f>'Pseudo-load coefficients'!K286</f>
        <v>1.5031084491267626</v>
      </c>
      <c r="L97" s="411">
        <f>'Pseudo-load coefficients'!L286</f>
        <v>1.8330586703174057</v>
      </c>
      <c r="M97" s="411">
        <f>'Pseudo-load coefficients'!M286</f>
        <v>1.8330586703174057</v>
      </c>
      <c r="N97" s="411">
        <f>'Pseudo-load coefficients'!N286</f>
        <v>1.3347192935821621</v>
      </c>
      <c r="O97" s="411">
        <f>'Pseudo-load coefficients'!O286</f>
        <v>1.3485208482085065</v>
      </c>
      <c r="P97" s="411">
        <f>'Pseudo-load coefficients'!P286</f>
        <v>1.1960030803157284</v>
      </c>
      <c r="Q97" s="411">
        <f>'Pseudo-load coefficients'!Q286</f>
        <v>1.9401556061394341</v>
      </c>
      <c r="R97" s="411">
        <f>'Pseudo-load coefficients'!R286</f>
        <v>1.128027062903844</v>
      </c>
      <c r="S97" s="411">
        <f>'Pseudo-load coefficients'!S286</f>
        <v>1.128027062903844</v>
      </c>
      <c r="T97" s="411">
        <f>'Pseudo-load coefficients'!T286</f>
        <v>1.128027062903844</v>
      </c>
      <c r="U97" s="411">
        <f>'Pseudo-load coefficients'!U286</f>
        <v>1.128027062903844</v>
      </c>
      <c r="V97" s="411">
        <f>'Pseudo-load coefficients'!V286</f>
        <v>1.128027062903844</v>
      </c>
      <c r="W97" s="411">
        <f>'Pseudo-load coefficients'!W286</f>
        <v>1.128027062903844</v>
      </c>
      <c r="X97" s="411">
        <f>'Pseudo-load coefficients'!X286</f>
        <v>1.128027062903844</v>
      </c>
      <c r="Y97" s="411">
        <f>'Pseudo-load coefficients'!Y286</f>
        <v>1.128027062903844</v>
      </c>
    </row>
    <row r="98" spans="3:25" x14ac:dyDescent="0.25">
      <c r="E98" s="96"/>
      <c r="F98" s="410" t="s">
        <v>47</v>
      </c>
      <c r="G98" s="14" t="s">
        <v>428</v>
      </c>
      <c r="J98" s="411">
        <f>'Pseudo-load coefficients'!J287</f>
        <v>1.8480046320209771</v>
      </c>
      <c r="K98" s="411">
        <f>'Pseudo-load coefficients'!K287</f>
        <v>1.8480046320209771</v>
      </c>
      <c r="L98" s="411">
        <f>'Pseudo-load coefficients'!L287</f>
        <v>2.2536636764172022</v>
      </c>
      <c r="M98" s="411">
        <f>'Pseudo-load coefficients'!M287</f>
        <v>2.2536636764172022</v>
      </c>
      <c r="N98" s="411">
        <f>'Pseudo-load coefficients'!N287</f>
        <v>1.6409776942046763</v>
      </c>
      <c r="O98" s="411">
        <f>'Pseudo-load coefficients'!O287</f>
        <v>1.6579460885300441</v>
      </c>
      <c r="P98" s="411">
        <f>'Pseudo-load coefficients'!P287</f>
        <v>1.4704323121986702</v>
      </c>
      <c r="Q98" s="411">
        <f>'Pseudo-load coefficients'!Q287</f>
        <v>1.9624307204509874</v>
      </c>
      <c r="R98" s="411">
        <f>'Pseudo-load coefficients'!R287</f>
        <v>1.386858838098062</v>
      </c>
      <c r="S98" s="411">
        <f>'Pseudo-load coefficients'!S287</f>
        <v>1.386858838098062</v>
      </c>
      <c r="T98" s="411">
        <f>'Pseudo-load coefficients'!T287</f>
        <v>1.386858838098062</v>
      </c>
      <c r="U98" s="411">
        <f>'Pseudo-load coefficients'!U287</f>
        <v>1.386858838098062</v>
      </c>
      <c r="V98" s="411">
        <f>'Pseudo-load coefficients'!V287</f>
        <v>1.386858838098062</v>
      </c>
      <c r="W98" s="411">
        <f>'Pseudo-load coefficients'!W287</f>
        <v>1.386858838098062</v>
      </c>
      <c r="X98" s="411">
        <f>'Pseudo-load coefficients'!X287</f>
        <v>1.386858838098062</v>
      </c>
      <c r="Y98" s="411">
        <f>'Pseudo-load coefficients'!Y287</f>
        <v>1.386858838098062</v>
      </c>
    </row>
    <row r="99" spans="3:25" x14ac:dyDescent="0.25">
      <c r="E99" s="96"/>
      <c r="F99" s="410" t="s">
        <v>51</v>
      </c>
      <c r="G99" s="14" t="s">
        <v>428</v>
      </c>
      <c r="J99" s="411">
        <f>'Pseudo-load coefficients'!J288</f>
        <v>0</v>
      </c>
      <c r="K99" s="411">
        <f>'Pseudo-load coefficients'!K288</f>
        <v>0</v>
      </c>
      <c r="L99" s="411">
        <f>'Pseudo-load coefficients'!L288</f>
        <v>0</v>
      </c>
      <c r="M99" s="411">
        <f>'Pseudo-load coefficients'!M288</f>
        <v>0</v>
      </c>
      <c r="N99" s="411">
        <f>'Pseudo-load coefficients'!N288</f>
        <v>0</v>
      </c>
      <c r="O99" s="411">
        <f>'Pseudo-load coefficients'!O288</f>
        <v>0</v>
      </c>
      <c r="P99" s="411">
        <f>'Pseudo-load coefficients'!P288</f>
        <v>0</v>
      </c>
      <c r="Q99" s="411">
        <f>'Pseudo-load coefficients'!Q288</f>
        <v>0</v>
      </c>
      <c r="R99" s="411">
        <f>'Pseudo-load coefficients'!R288</f>
        <v>0</v>
      </c>
      <c r="S99" s="411">
        <f>'Pseudo-load coefficients'!S288</f>
        <v>0</v>
      </c>
      <c r="T99" s="411">
        <f>'Pseudo-load coefficients'!T288</f>
        <v>0</v>
      </c>
      <c r="U99" s="411">
        <f>'Pseudo-load coefficients'!U288</f>
        <v>0</v>
      </c>
      <c r="V99" s="411">
        <f>'Pseudo-load coefficients'!V288</f>
        <v>0</v>
      </c>
      <c r="W99" s="411">
        <f>'Pseudo-load coefficients'!W288</f>
        <v>0</v>
      </c>
      <c r="X99" s="411">
        <f>'Pseudo-load coefficients'!X288</f>
        <v>0</v>
      </c>
      <c r="Y99" s="411">
        <f>'Pseudo-load coefficients'!Y288</f>
        <v>0</v>
      </c>
    </row>
    <row r="100" spans="3:25" x14ac:dyDescent="0.25">
      <c r="E100" s="96"/>
      <c r="F100" s="410" t="s">
        <v>48</v>
      </c>
      <c r="G100" s="14" t="s">
        <v>428</v>
      </c>
      <c r="J100" s="411">
        <f>'Pseudo-load coefficients'!J289</f>
        <v>1.8480046320209771</v>
      </c>
      <c r="K100" s="411">
        <f>'Pseudo-load coefficients'!K289</f>
        <v>1.8480046320209771</v>
      </c>
      <c r="L100" s="411">
        <f>'Pseudo-load coefficients'!L289</f>
        <v>2.2536636764172022</v>
      </c>
      <c r="M100" s="411">
        <f>'Pseudo-load coefficients'!M289</f>
        <v>2.2536636764172022</v>
      </c>
      <c r="N100" s="411">
        <f>'Pseudo-load coefficients'!N289</f>
        <v>1.6409776942046763</v>
      </c>
      <c r="O100" s="411">
        <f>'Pseudo-load coefficients'!O289</f>
        <v>1.6579460885300441</v>
      </c>
      <c r="P100" s="411">
        <f>'Pseudo-load coefficients'!P289</f>
        <v>1.4704323121986702</v>
      </c>
      <c r="Q100" s="411">
        <f>'Pseudo-load coefficients'!Q289</f>
        <v>1.9624307204509874</v>
      </c>
      <c r="R100" s="411">
        <f>'Pseudo-load coefficients'!R289</f>
        <v>1.386858838098062</v>
      </c>
      <c r="S100" s="411">
        <f>'Pseudo-load coefficients'!S289</f>
        <v>1.386858838098062</v>
      </c>
      <c r="T100" s="411">
        <f>'Pseudo-load coefficients'!T289</f>
        <v>1.386858838098062</v>
      </c>
      <c r="U100" s="411">
        <f>'Pseudo-load coefficients'!U289</f>
        <v>1.386858838098062</v>
      </c>
      <c r="V100" s="411">
        <f>'Pseudo-load coefficients'!V289</f>
        <v>1.386858838098062</v>
      </c>
      <c r="W100" s="411">
        <f>'Pseudo-load coefficients'!W289</f>
        <v>1.386858838098062</v>
      </c>
      <c r="X100" s="411">
        <f>'Pseudo-load coefficients'!X289</f>
        <v>1.386858838098062</v>
      </c>
      <c r="Y100" s="411">
        <f>'Pseudo-load coefficients'!Y289</f>
        <v>1.386858838098062</v>
      </c>
    </row>
    <row r="101" spans="3:25" x14ac:dyDescent="0.25">
      <c r="E101" s="96"/>
      <c r="F101" s="410" t="s">
        <v>49</v>
      </c>
      <c r="G101" s="14" t="s">
        <v>428</v>
      </c>
      <c r="J101" s="411">
        <f>'Pseudo-load coefficients'!J290</f>
        <v>1.8480046320209771</v>
      </c>
      <c r="K101" s="411">
        <f>'Pseudo-load coefficients'!K290</f>
        <v>1.8480046320209771</v>
      </c>
      <c r="L101" s="411">
        <f>'Pseudo-load coefficients'!L290</f>
        <v>2.2536636764172022</v>
      </c>
      <c r="M101" s="411">
        <f>'Pseudo-load coefficients'!M290</f>
        <v>2.2536636764172022</v>
      </c>
      <c r="N101" s="411">
        <f>'Pseudo-load coefficients'!N290</f>
        <v>1.6409776942046763</v>
      </c>
      <c r="O101" s="411">
        <f>'Pseudo-load coefficients'!O290</f>
        <v>1.6579460885300441</v>
      </c>
      <c r="P101" s="411">
        <f>'Pseudo-load coefficients'!P290</f>
        <v>1.4704323121986702</v>
      </c>
      <c r="Q101" s="411">
        <f>'Pseudo-load coefficients'!Q290</f>
        <v>1.9624307204509874</v>
      </c>
      <c r="R101" s="411">
        <f>'Pseudo-load coefficients'!R290</f>
        <v>1.386858838098062</v>
      </c>
      <c r="S101" s="411">
        <f>'Pseudo-load coefficients'!S290</f>
        <v>1.386858838098062</v>
      </c>
      <c r="T101" s="411">
        <f>'Pseudo-load coefficients'!T290</f>
        <v>1.386858838098062</v>
      </c>
      <c r="U101" s="411">
        <f>'Pseudo-load coefficients'!U290</f>
        <v>1.386858838098062</v>
      </c>
      <c r="V101" s="411">
        <f>'Pseudo-load coefficients'!V290</f>
        <v>1.386858838098062</v>
      </c>
      <c r="W101" s="411">
        <f>'Pseudo-load coefficients'!W290</f>
        <v>1.386858838098062</v>
      </c>
      <c r="X101" s="411">
        <f>'Pseudo-load coefficients'!X290</f>
        <v>1.386858838098062</v>
      </c>
      <c r="Y101" s="411">
        <f>'Pseudo-load coefficients'!Y290</f>
        <v>1.386858838098062</v>
      </c>
    </row>
    <row r="102" spans="3:25" x14ac:dyDescent="0.25">
      <c r="E102" s="96"/>
      <c r="F102" s="412" t="s">
        <v>50</v>
      </c>
      <c r="G102" s="15" t="s">
        <v>428</v>
      </c>
      <c r="H102" s="93"/>
      <c r="I102" s="93"/>
      <c r="J102" s="284">
        <f>'Pseudo-load coefficients'!J291</f>
        <v>1.8480046320209771</v>
      </c>
      <c r="K102" s="284">
        <f>'Pseudo-load coefficients'!K291</f>
        <v>1.8480046320209771</v>
      </c>
      <c r="L102" s="284">
        <f>'Pseudo-load coefficients'!L291</f>
        <v>2.2536636764172022</v>
      </c>
      <c r="M102" s="284">
        <f>'Pseudo-load coefficients'!M291</f>
        <v>2.2536636764172022</v>
      </c>
      <c r="N102" s="284">
        <f>'Pseudo-load coefficients'!N291</f>
        <v>1.6409776942046763</v>
      </c>
      <c r="O102" s="284">
        <f>'Pseudo-load coefficients'!O291</f>
        <v>1.6579460885300441</v>
      </c>
      <c r="P102" s="284">
        <f>'Pseudo-load coefficients'!P291</f>
        <v>1.4704323121986702</v>
      </c>
      <c r="Q102" s="284">
        <f>'Pseudo-load coefficients'!Q291</f>
        <v>1.9624307204509874</v>
      </c>
      <c r="R102" s="284">
        <f>'Pseudo-load coefficients'!R291</f>
        <v>1.386858838098062</v>
      </c>
      <c r="S102" s="284">
        <f>'Pseudo-load coefficients'!S291</f>
        <v>1.386858838098062</v>
      </c>
      <c r="T102" s="284">
        <f>'Pseudo-load coefficients'!T291</f>
        <v>1.386858838098062</v>
      </c>
      <c r="U102" s="284">
        <f>'Pseudo-load coefficients'!U291</f>
        <v>1.386858838098062</v>
      </c>
      <c r="V102" s="284">
        <f>'Pseudo-load coefficients'!V291</f>
        <v>1.386858838098062</v>
      </c>
      <c r="W102" s="284">
        <f>'Pseudo-load coefficients'!W291</f>
        <v>1.386858838098062</v>
      </c>
      <c r="X102" s="284">
        <f>'Pseudo-load coefficients'!X291</f>
        <v>1.386858838098062</v>
      </c>
      <c r="Y102" s="284">
        <f>'Pseudo-load coefficients'!Y291</f>
        <v>1.386858838098062</v>
      </c>
    </row>
    <row r="103" spans="3:25" x14ac:dyDescent="0.2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2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25">
      <c r="C105" s="96"/>
      <c r="E105" s="96"/>
      <c r="F105" s="409" t="s">
        <v>267</v>
      </c>
      <c r="G105" s="16" t="s">
        <v>428</v>
      </c>
      <c r="H105" s="91"/>
      <c r="I105" s="91"/>
      <c r="J105" s="529">
        <f>'Pseudo-load coefficients'!J294</f>
        <v>9.8807001773545164E-2</v>
      </c>
      <c r="K105" s="529">
        <f>'Pseudo-load coefficients'!K294</f>
        <v>9.8807001773545164E-2</v>
      </c>
      <c r="L105" s="529">
        <f>'Pseudo-load coefficients'!L294</f>
        <v>0.12049631641302137</v>
      </c>
      <c r="M105" s="529">
        <f>'Pseudo-load coefficients'!M294</f>
        <v>0.12049631641302137</v>
      </c>
      <c r="N105" s="529">
        <f>'Pseudo-load coefficients'!N294</f>
        <v>8.7737921827778731E-2</v>
      </c>
      <c r="O105" s="529">
        <f>'Pseudo-load coefficients'!O294</f>
        <v>8.8645168562527063E-2</v>
      </c>
      <c r="P105" s="529">
        <f>'Pseudo-load coefficients'!P294</f>
        <v>7.861939605660194E-2</v>
      </c>
      <c r="Q105" s="529">
        <f>'Pseudo-load coefficients'!Q294</f>
        <v>9.3825255419597117E-2</v>
      </c>
      <c r="R105" s="529">
        <f>'Pseudo-load coefficients'!R294</f>
        <v>7.4150984960332345E-2</v>
      </c>
      <c r="S105" s="529">
        <f>'Pseudo-load coefficients'!S294</f>
        <v>7.4150984960332345E-2</v>
      </c>
      <c r="T105" s="529">
        <f>'Pseudo-load coefficients'!T294</f>
        <v>7.4150984960332345E-2</v>
      </c>
      <c r="U105" s="529">
        <f>'Pseudo-load coefficients'!U294</f>
        <v>7.4150984960332345E-2</v>
      </c>
      <c r="V105" s="529">
        <f>'Pseudo-load coefficients'!V294</f>
        <v>7.4150984960332345E-2</v>
      </c>
      <c r="W105" s="529">
        <f>'Pseudo-load coefficients'!W294</f>
        <v>7.4150984960332345E-2</v>
      </c>
      <c r="X105" s="529">
        <f>'Pseudo-load coefficients'!X294</f>
        <v>7.4150984960332345E-2</v>
      </c>
      <c r="Y105" s="529">
        <f>'Pseudo-load coefficients'!Y294</f>
        <v>7.4150984960332345E-2</v>
      </c>
    </row>
    <row r="106" spans="3:25" x14ac:dyDescent="0.25">
      <c r="C106" s="96"/>
      <c r="E106" s="96"/>
      <c r="F106" s="410" t="s">
        <v>43</v>
      </c>
      <c r="G106" s="14" t="s">
        <v>428</v>
      </c>
      <c r="J106" s="411">
        <f>'Pseudo-load coefficients'!J294</f>
        <v>9.8807001773545164E-2</v>
      </c>
      <c r="K106" s="411">
        <f>'Pseudo-load coefficients'!K294</f>
        <v>9.8807001773545164E-2</v>
      </c>
      <c r="L106" s="411">
        <f>'Pseudo-load coefficients'!L294</f>
        <v>0.12049631641302137</v>
      </c>
      <c r="M106" s="411">
        <f>'Pseudo-load coefficients'!M294</f>
        <v>0.12049631641302137</v>
      </c>
      <c r="N106" s="411">
        <f>'Pseudo-load coefficients'!N294</f>
        <v>8.7737921827778731E-2</v>
      </c>
      <c r="O106" s="411">
        <f>'Pseudo-load coefficients'!O294</f>
        <v>8.8645168562527063E-2</v>
      </c>
      <c r="P106" s="411">
        <f>'Pseudo-load coefficients'!P294</f>
        <v>7.861939605660194E-2</v>
      </c>
      <c r="Q106" s="411">
        <f>'Pseudo-load coefficients'!Q294</f>
        <v>9.3825255419597117E-2</v>
      </c>
      <c r="R106" s="411">
        <f>'Pseudo-load coefficients'!R294</f>
        <v>7.4150984960332345E-2</v>
      </c>
      <c r="S106" s="411">
        <f>'Pseudo-load coefficients'!S294</f>
        <v>7.4150984960332345E-2</v>
      </c>
      <c r="T106" s="411">
        <f>'Pseudo-load coefficients'!T294</f>
        <v>7.4150984960332345E-2</v>
      </c>
      <c r="U106" s="411">
        <f>'Pseudo-load coefficients'!U294</f>
        <v>7.4150984960332345E-2</v>
      </c>
      <c r="V106" s="411">
        <f>'Pseudo-load coefficients'!V294</f>
        <v>7.4150984960332345E-2</v>
      </c>
      <c r="W106" s="411">
        <f>'Pseudo-load coefficients'!W294</f>
        <v>7.4150984960332345E-2</v>
      </c>
      <c r="X106" s="411">
        <f>'Pseudo-load coefficients'!X294</f>
        <v>7.4150984960332345E-2</v>
      </c>
      <c r="Y106" s="411">
        <f>'Pseudo-load coefficients'!Y294</f>
        <v>7.4150984960332345E-2</v>
      </c>
    </row>
    <row r="107" spans="3:25" x14ac:dyDescent="0.25">
      <c r="C107" s="96"/>
      <c r="E107" s="96"/>
      <c r="F107" s="410" t="s">
        <v>44</v>
      </c>
      <c r="G107" s="14" t="s">
        <v>428</v>
      </c>
      <c r="J107" s="411">
        <f>'Pseudo-load coefficients'!J295</f>
        <v>9.8807001773545164E-2</v>
      </c>
      <c r="K107" s="411">
        <f>'Pseudo-load coefficients'!K295</f>
        <v>9.8807001773545164E-2</v>
      </c>
      <c r="L107" s="411">
        <f>'Pseudo-load coefficients'!L295</f>
        <v>0.12049631641302137</v>
      </c>
      <c r="M107" s="411">
        <f>'Pseudo-load coefficients'!M295</f>
        <v>0.12049631641302137</v>
      </c>
      <c r="N107" s="411">
        <f>'Pseudo-load coefficients'!N295</f>
        <v>8.7737921827778731E-2</v>
      </c>
      <c r="O107" s="411">
        <f>'Pseudo-load coefficients'!O295</f>
        <v>8.8645168562527063E-2</v>
      </c>
      <c r="P107" s="411">
        <f>'Pseudo-load coefficients'!P295</f>
        <v>7.861939605660194E-2</v>
      </c>
      <c r="Q107" s="411">
        <f>'Pseudo-load coefficients'!Q295</f>
        <v>9.3825255419597117E-2</v>
      </c>
      <c r="R107" s="411">
        <f>'Pseudo-load coefficients'!R295</f>
        <v>7.4150984960332345E-2</v>
      </c>
      <c r="S107" s="411">
        <f>'Pseudo-load coefficients'!S295</f>
        <v>7.4150984960332345E-2</v>
      </c>
      <c r="T107" s="411">
        <f>'Pseudo-load coefficients'!T295</f>
        <v>7.4150984960332345E-2</v>
      </c>
      <c r="U107" s="411">
        <f>'Pseudo-load coefficients'!U295</f>
        <v>7.4150984960332345E-2</v>
      </c>
      <c r="V107" s="411">
        <f>'Pseudo-load coefficients'!V295</f>
        <v>7.4150984960332345E-2</v>
      </c>
      <c r="W107" s="411">
        <f>'Pseudo-load coefficients'!W295</f>
        <v>7.4150984960332345E-2</v>
      </c>
      <c r="X107" s="411">
        <f>'Pseudo-load coefficients'!X295</f>
        <v>7.4150984960332345E-2</v>
      </c>
      <c r="Y107" s="411">
        <f>'Pseudo-load coefficients'!Y295</f>
        <v>7.4150984960332345E-2</v>
      </c>
    </row>
    <row r="108" spans="3:25" x14ac:dyDescent="0.25">
      <c r="C108" s="96"/>
      <c r="E108" s="96"/>
      <c r="F108" s="410" t="s">
        <v>45</v>
      </c>
      <c r="G108" s="14" t="s">
        <v>428</v>
      </c>
      <c r="J108" s="411">
        <f>'Pseudo-load coefficients'!J296</f>
        <v>0.23185570967360311</v>
      </c>
      <c r="K108" s="411">
        <f>'Pseudo-load coefficients'!K296</f>
        <v>0.23185570967360311</v>
      </c>
      <c r="L108" s="411">
        <f>'Pseudo-load coefficients'!L296</f>
        <v>0.28275080159831578</v>
      </c>
      <c r="M108" s="411">
        <f>'Pseudo-load coefficients'!M296</f>
        <v>0.28275080159831578</v>
      </c>
      <c r="N108" s="411">
        <f>'Pseudo-load coefficients'!N296</f>
        <v>0.20588154448092277</v>
      </c>
      <c r="O108" s="411">
        <f>'Pseudo-load coefficients'!O296</f>
        <v>0.20801044558872314</v>
      </c>
      <c r="P108" s="411">
        <f>'Pseudo-load coefficients'!P296</f>
        <v>0.18448445494369836</v>
      </c>
      <c r="Q108" s="411">
        <f>'Pseudo-load coefficients'!Q296</f>
        <v>0.22016578572513895</v>
      </c>
      <c r="R108" s="411">
        <f>'Pseudo-load coefficients'!R296</f>
        <v>0.17399909856972956</v>
      </c>
      <c r="S108" s="411">
        <f>'Pseudo-load coefficients'!S296</f>
        <v>0.17399909856972956</v>
      </c>
      <c r="T108" s="411">
        <f>'Pseudo-load coefficients'!T296</f>
        <v>0.17399909856972956</v>
      </c>
      <c r="U108" s="411">
        <f>'Pseudo-load coefficients'!U296</f>
        <v>0.17399909856972956</v>
      </c>
      <c r="V108" s="411">
        <f>'Pseudo-load coefficients'!V296</f>
        <v>0.17399909856972956</v>
      </c>
      <c r="W108" s="411">
        <f>'Pseudo-load coefficients'!W296</f>
        <v>0.17399909856972956</v>
      </c>
      <c r="X108" s="411">
        <f>'Pseudo-load coefficients'!X296</f>
        <v>0.17399909856972956</v>
      </c>
      <c r="Y108" s="411">
        <f>'Pseudo-load coefficients'!Y296</f>
        <v>0.17399909856972956</v>
      </c>
    </row>
    <row r="109" spans="3:25" x14ac:dyDescent="0.25">
      <c r="C109" s="96"/>
      <c r="E109" s="96"/>
      <c r="F109" s="410" t="s">
        <v>46</v>
      </c>
      <c r="G109" s="14" t="s">
        <v>428</v>
      </c>
      <c r="J109" s="411">
        <f>'Pseudo-load coefficients'!J297</f>
        <v>0.23185570967360311</v>
      </c>
      <c r="K109" s="411">
        <f>'Pseudo-load coefficients'!K297</f>
        <v>0.23185570967360311</v>
      </c>
      <c r="L109" s="411">
        <f>'Pseudo-load coefficients'!L297</f>
        <v>0.28275080159831578</v>
      </c>
      <c r="M109" s="411">
        <f>'Pseudo-load coefficients'!M297</f>
        <v>0.28275080159831578</v>
      </c>
      <c r="N109" s="411">
        <f>'Pseudo-load coefficients'!N297</f>
        <v>0.20588154448092277</v>
      </c>
      <c r="O109" s="411">
        <f>'Pseudo-load coefficients'!O297</f>
        <v>0.20801044558872314</v>
      </c>
      <c r="P109" s="411">
        <f>'Pseudo-load coefficients'!P297</f>
        <v>0.18448445494369836</v>
      </c>
      <c r="Q109" s="411">
        <f>'Pseudo-load coefficients'!Q297</f>
        <v>0.22016578572513895</v>
      </c>
      <c r="R109" s="411">
        <f>'Pseudo-load coefficients'!R297</f>
        <v>0.17399909856972956</v>
      </c>
      <c r="S109" s="411">
        <f>'Pseudo-load coefficients'!S297</f>
        <v>0.17399909856972956</v>
      </c>
      <c r="T109" s="411">
        <f>'Pseudo-load coefficients'!T297</f>
        <v>0.17399909856972956</v>
      </c>
      <c r="U109" s="411">
        <f>'Pseudo-load coefficients'!U297</f>
        <v>0.17399909856972956</v>
      </c>
      <c r="V109" s="411">
        <f>'Pseudo-load coefficients'!V297</f>
        <v>0.17399909856972956</v>
      </c>
      <c r="W109" s="411">
        <f>'Pseudo-load coefficients'!W297</f>
        <v>0.17399909856972956</v>
      </c>
      <c r="X109" s="411">
        <f>'Pseudo-load coefficients'!X297</f>
        <v>0.17399909856972956</v>
      </c>
      <c r="Y109" s="411">
        <f>'Pseudo-load coefficients'!Y297</f>
        <v>0.17399909856972956</v>
      </c>
    </row>
    <row r="110" spans="3:25" x14ac:dyDescent="0.25">
      <c r="C110" s="96"/>
      <c r="E110" s="96"/>
      <c r="F110" s="410" t="s">
        <v>47</v>
      </c>
      <c r="G110" s="14" t="s">
        <v>428</v>
      </c>
      <c r="J110" s="411">
        <f>'Pseudo-load coefficients'!J298</f>
        <v>0.16145086531697106</v>
      </c>
      <c r="K110" s="411">
        <f>'Pseudo-load coefficients'!K298</f>
        <v>0.16145086531697106</v>
      </c>
      <c r="L110" s="411">
        <f>'Pseudo-load coefficients'!L298</f>
        <v>0.19689125470052032</v>
      </c>
      <c r="M110" s="411">
        <f>'Pseudo-load coefficients'!M298</f>
        <v>0.19689125470052032</v>
      </c>
      <c r="N110" s="411">
        <f>'Pseudo-load coefficients'!N298</f>
        <v>0.14336396354453809</v>
      </c>
      <c r="O110" s="411">
        <f>'Pseudo-load coefficients'!O298</f>
        <v>0.14484640676973404</v>
      </c>
      <c r="P110" s="411">
        <f>'Pseudo-load coefficients'!P298</f>
        <v>0.12846427172365174</v>
      </c>
      <c r="Q110" s="411">
        <f>'Pseudo-load coefficients'!Q298</f>
        <v>0.15331068045964727</v>
      </c>
      <c r="R110" s="411">
        <f>'Pseudo-load coefficients'!R298</f>
        <v>0.12116287784330593</v>
      </c>
      <c r="S110" s="411">
        <f>'Pseudo-load coefficients'!S298</f>
        <v>0.12116287784330593</v>
      </c>
      <c r="T110" s="411">
        <f>'Pseudo-load coefficients'!T298</f>
        <v>0.12116287784330593</v>
      </c>
      <c r="U110" s="411">
        <f>'Pseudo-load coefficients'!U298</f>
        <v>0.12116287784330593</v>
      </c>
      <c r="V110" s="411">
        <f>'Pseudo-load coefficients'!V298</f>
        <v>0.12116287784330593</v>
      </c>
      <c r="W110" s="411">
        <f>'Pseudo-load coefficients'!W298</f>
        <v>0.12116287784330593</v>
      </c>
      <c r="X110" s="411">
        <f>'Pseudo-load coefficients'!X298</f>
        <v>0.12116287784330593</v>
      </c>
      <c r="Y110" s="411">
        <f>'Pseudo-load coefficients'!Y298</f>
        <v>0.12116287784330593</v>
      </c>
    </row>
    <row r="111" spans="3:25" x14ac:dyDescent="0.25">
      <c r="C111" s="96"/>
      <c r="E111" s="96"/>
      <c r="F111" s="410" t="s">
        <v>51</v>
      </c>
      <c r="G111" s="14" t="s">
        <v>428</v>
      </c>
      <c r="J111" s="411">
        <f>'Pseudo-load coefficients'!J299</f>
        <v>0</v>
      </c>
      <c r="K111" s="411">
        <f>'Pseudo-load coefficients'!K299</f>
        <v>0</v>
      </c>
      <c r="L111" s="411">
        <f>'Pseudo-load coefficients'!L299</f>
        <v>0</v>
      </c>
      <c r="M111" s="411">
        <f>'Pseudo-load coefficients'!M299</f>
        <v>0</v>
      </c>
      <c r="N111" s="411">
        <f>'Pseudo-load coefficients'!N299</f>
        <v>0</v>
      </c>
      <c r="O111" s="411">
        <f>'Pseudo-load coefficients'!O299</f>
        <v>0</v>
      </c>
      <c r="P111" s="411">
        <f>'Pseudo-load coefficients'!P299</f>
        <v>0</v>
      </c>
      <c r="Q111" s="411">
        <f>'Pseudo-load coefficients'!Q299</f>
        <v>0</v>
      </c>
      <c r="R111" s="411">
        <f>'Pseudo-load coefficients'!R299</f>
        <v>0</v>
      </c>
      <c r="S111" s="411">
        <f>'Pseudo-load coefficients'!S299</f>
        <v>0</v>
      </c>
      <c r="T111" s="411">
        <f>'Pseudo-load coefficients'!T299</f>
        <v>0</v>
      </c>
      <c r="U111" s="411">
        <f>'Pseudo-load coefficients'!U299</f>
        <v>0</v>
      </c>
      <c r="V111" s="411">
        <f>'Pseudo-load coefficients'!V299</f>
        <v>0</v>
      </c>
      <c r="W111" s="411">
        <f>'Pseudo-load coefficients'!W299</f>
        <v>0</v>
      </c>
      <c r="X111" s="411">
        <f>'Pseudo-load coefficients'!X299</f>
        <v>0</v>
      </c>
      <c r="Y111" s="411">
        <f>'Pseudo-load coefficients'!Y299</f>
        <v>0</v>
      </c>
    </row>
    <row r="112" spans="3:25" x14ac:dyDescent="0.25">
      <c r="C112" s="96"/>
      <c r="E112" s="96"/>
      <c r="F112" s="410" t="s">
        <v>48</v>
      </c>
      <c r="G112" s="14" t="s">
        <v>428</v>
      </c>
      <c r="J112" s="411">
        <f>'Pseudo-load coefficients'!J300</f>
        <v>0.16145086531697106</v>
      </c>
      <c r="K112" s="411">
        <f>'Pseudo-load coefficients'!K300</f>
        <v>0.16145086531697106</v>
      </c>
      <c r="L112" s="411">
        <f>'Pseudo-load coefficients'!L300</f>
        <v>0.19689125470052032</v>
      </c>
      <c r="M112" s="411">
        <f>'Pseudo-load coefficients'!M300</f>
        <v>0.19689125470052032</v>
      </c>
      <c r="N112" s="411">
        <f>'Pseudo-load coefficients'!N300</f>
        <v>0.14336396354453809</v>
      </c>
      <c r="O112" s="411">
        <f>'Pseudo-load coefficients'!O300</f>
        <v>0.14484640676973404</v>
      </c>
      <c r="P112" s="411">
        <f>'Pseudo-load coefficients'!P300</f>
        <v>0.12846427172365174</v>
      </c>
      <c r="Q112" s="411">
        <f>'Pseudo-load coefficients'!Q300</f>
        <v>0.15331068045964727</v>
      </c>
      <c r="R112" s="411">
        <f>'Pseudo-load coefficients'!R300</f>
        <v>0.12116287784330593</v>
      </c>
      <c r="S112" s="411">
        <f>'Pseudo-load coefficients'!S300</f>
        <v>0.12116287784330593</v>
      </c>
      <c r="T112" s="411">
        <f>'Pseudo-load coefficients'!T300</f>
        <v>0.12116287784330593</v>
      </c>
      <c r="U112" s="411">
        <f>'Pseudo-load coefficients'!U300</f>
        <v>0.12116287784330593</v>
      </c>
      <c r="V112" s="411">
        <f>'Pseudo-load coefficients'!V300</f>
        <v>0.12116287784330593</v>
      </c>
      <c r="W112" s="411">
        <f>'Pseudo-load coefficients'!W300</f>
        <v>0.12116287784330593</v>
      </c>
      <c r="X112" s="411">
        <f>'Pseudo-load coefficients'!X300</f>
        <v>0.12116287784330593</v>
      </c>
      <c r="Y112" s="411">
        <f>'Pseudo-load coefficients'!Y300</f>
        <v>0.12116287784330593</v>
      </c>
    </row>
    <row r="113" spans="2:27" x14ac:dyDescent="0.25">
      <c r="C113" s="96"/>
      <c r="E113" s="96"/>
      <c r="F113" s="410" t="s">
        <v>49</v>
      </c>
      <c r="G113" s="14" t="s">
        <v>428</v>
      </c>
      <c r="J113" s="411">
        <f>'Pseudo-load coefficients'!J301</f>
        <v>0.16145086531697106</v>
      </c>
      <c r="K113" s="411">
        <f>'Pseudo-load coefficients'!K301</f>
        <v>0.16145086531697106</v>
      </c>
      <c r="L113" s="411">
        <f>'Pseudo-load coefficients'!L301</f>
        <v>0.19689125470052032</v>
      </c>
      <c r="M113" s="411">
        <f>'Pseudo-load coefficients'!M301</f>
        <v>0.19689125470052032</v>
      </c>
      <c r="N113" s="411">
        <f>'Pseudo-load coefficients'!N301</f>
        <v>0.14336396354453809</v>
      </c>
      <c r="O113" s="411">
        <f>'Pseudo-load coefficients'!O301</f>
        <v>0.14484640676973404</v>
      </c>
      <c r="P113" s="411">
        <f>'Pseudo-load coefficients'!P301</f>
        <v>0.12846427172365174</v>
      </c>
      <c r="Q113" s="411">
        <f>'Pseudo-load coefficients'!Q301</f>
        <v>0.15331068045964727</v>
      </c>
      <c r="R113" s="411">
        <f>'Pseudo-load coefficients'!R301</f>
        <v>0.12116287784330593</v>
      </c>
      <c r="S113" s="411">
        <f>'Pseudo-load coefficients'!S301</f>
        <v>0.12116287784330593</v>
      </c>
      <c r="T113" s="411">
        <f>'Pseudo-load coefficients'!T301</f>
        <v>0.12116287784330593</v>
      </c>
      <c r="U113" s="411">
        <f>'Pseudo-load coefficients'!U301</f>
        <v>0.12116287784330593</v>
      </c>
      <c r="V113" s="411">
        <f>'Pseudo-load coefficients'!V301</f>
        <v>0.12116287784330593</v>
      </c>
      <c r="W113" s="411">
        <f>'Pseudo-load coefficients'!W301</f>
        <v>0.12116287784330593</v>
      </c>
      <c r="X113" s="411">
        <f>'Pseudo-load coefficients'!X301</f>
        <v>0.12116287784330593</v>
      </c>
      <c r="Y113" s="411">
        <f>'Pseudo-load coefficients'!Y301</f>
        <v>0.12116287784330593</v>
      </c>
    </row>
    <row r="114" spans="2:27" x14ac:dyDescent="0.25">
      <c r="C114" s="96"/>
      <c r="E114" s="96"/>
      <c r="F114" s="412" t="s">
        <v>50</v>
      </c>
      <c r="G114" s="15" t="s">
        <v>428</v>
      </c>
      <c r="H114" s="93"/>
      <c r="I114" s="93"/>
      <c r="J114" s="284">
        <f>'Pseudo-load coefficients'!J302</f>
        <v>0.16145086531697106</v>
      </c>
      <c r="K114" s="284">
        <f>'Pseudo-load coefficients'!K302</f>
        <v>0.16145086531697106</v>
      </c>
      <c r="L114" s="284">
        <f>'Pseudo-load coefficients'!L302</f>
        <v>0.19689125470052032</v>
      </c>
      <c r="M114" s="284">
        <f>'Pseudo-load coefficients'!M302</f>
        <v>0.19689125470052032</v>
      </c>
      <c r="N114" s="284">
        <f>'Pseudo-load coefficients'!N302</f>
        <v>0.14336396354453809</v>
      </c>
      <c r="O114" s="284">
        <f>'Pseudo-load coefficients'!O302</f>
        <v>0.14484640676973404</v>
      </c>
      <c r="P114" s="284">
        <f>'Pseudo-load coefficients'!P302</f>
        <v>0.12846427172365174</v>
      </c>
      <c r="Q114" s="284">
        <f>'Pseudo-load coefficients'!Q302</f>
        <v>0.15331068045964727</v>
      </c>
      <c r="R114" s="284">
        <f>'Pseudo-load coefficients'!R302</f>
        <v>0.12116287784330593</v>
      </c>
      <c r="S114" s="284">
        <f>'Pseudo-load coefficients'!S302</f>
        <v>0.12116287784330593</v>
      </c>
      <c r="T114" s="284">
        <f>'Pseudo-load coefficients'!T302</f>
        <v>0.12116287784330593</v>
      </c>
      <c r="U114" s="284">
        <f>'Pseudo-load coefficients'!U302</f>
        <v>0.12116287784330593</v>
      </c>
      <c r="V114" s="284">
        <f>'Pseudo-load coefficients'!V302</f>
        <v>0.12116287784330593</v>
      </c>
      <c r="W114" s="284">
        <f>'Pseudo-load coefficients'!W302</f>
        <v>0.12116287784330593</v>
      </c>
      <c r="X114" s="284">
        <f>'Pseudo-load coefficients'!X302</f>
        <v>0.12116287784330593</v>
      </c>
      <c r="Y114" s="284">
        <f>'Pseudo-load coefficients'!Y302</f>
        <v>0.12116287784330593</v>
      </c>
    </row>
    <row r="115" spans="2:27" x14ac:dyDescent="0.2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25">
      <c r="B116" s="95" t="s">
        <v>665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2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25">
      <c r="C118" s="7" t="str">
        <f ca="1">INDEX('Version control'!$H$34:$H$60,MATCH($A$1,'Version control'!$F$34:$F$60,0),1)&amp;"-B: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2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25">
      <c r="D120" s="82" t="s">
        <v>726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2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725</v>
      </c>
    </row>
    <row r="122" spans="2:27" x14ac:dyDescent="0.2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25">
      <c r="E123" s="96"/>
      <c r="F123" s="409" t="s">
        <v>267</v>
      </c>
      <c r="G123" s="91" t="s">
        <v>183</v>
      </c>
      <c r="H123" s="346"/>
      <c r="I123" s="346"/>
      <c r="J123" s="352">
        <f t="shared" ref="J123:Y123" si="0">hundred * $H18 * J55 / $H43 * J$78 * (1 - J67) / hours_in_year</f>
        <v>0</v>
      </c>
      <c r="K123" s="352">
        <f t="shared" si="0"/>
        <v>0</v>
      </c>
      <c r="L123" s="352">
        <f t="shared" si="0"/>
        <v>0</v>
      </c>
      <c r="M123" s="352">
        <f t="shared" si="0"/>
        <v>0</v>
      </c>
      <c r="N123" s="352">
        <f t="shared" si="0"/>
        <v>0</v>
      </c>
      <c r="O123" s="352">
        <f t="shared" si="0"/>
        <v>0</v>
      </c>
      <c r="P123" s="352">
        <f t="shared" si="0"/>
        <v>0</v>
      </c>
      <c r="Q123" s="352">
        <f t="shared" si="0"/>
        <v>0</v>
      </c>
      <c r="R123" s="352">
        <f t="shared" si="0"/>
        <v>0</v>
      </c>
      <c r="S123" s="352">
        <f t="shared" si="0"/>
        <v>0</v>
      </c>
      <c r="T123" s="352">
        <f t="shared" si="0"/>
        <v>0</v>
      </c>
      <c r="U123" s="352">
        <f t="shared" si="0"/>
        <v>0</v>
      </c>
      <c r="V123" s="352">
        <f t="shared" si="0"/>
        <v>0</v>
      </c>
      <c r="W123" s="352">
        <f t="shared" si="0"/>
        <v>0</v>
      </c>
      <c r="X123" s="352">
        <f t="shared" si="0"/>
        <v>0</v>
      </c>
      <c r="Y123" s="352">
        <f t="shared" si="0"/>
        <v>0</v>
      </c>
      <c r="Z123" s="348"/>
      <c r="AA123" s="348"/>
    </row>
    <row r="124" spans="2:27" x14ac:dyDescent="0.25">
      <c r="E124" s="96"/>
      <c r="F124" s="410" t="s">
        <v>43</v>
      </c>
      <c r="G124" s="293" t="s">
        <v>183</v>
      </c>
      <c r="H124" s="348"/>
      <c r="I124" s="348"/>
      <c r="J124" s="353">
        <f t="shared" ref="J124:Y124" si="1">hundred * $H19 * J56 / $H44 * J$78 * (1 - J68) / hours_in_year</f>
        <v>0</v>
      </c>
      <c r="K124" s="353">
        <f t="shared" si="1"/>
        <v>0</v>
      </c>
      <c r="L124" s="353">
        <f t="shared" si="1"/>
        <v>0</v>
      </c>
      <c r="M124" s="353">
        <f t="shared" si="1"/>
        <v>0</v>
      </c>
      <c r="N124" s="353">
        <f t="shared" si="1"/>
        <v>0</v>
      </c>
      <c r="O124" s="353">
        <f t="shared" si="1"/>
        <v>0</v>
      </c>
      <c r="P124" s="353">
        <f t="shared" si="1"/>
        <v>0</v>
      </c>
      <c r="Q124" s="353">
        <f t="shared" si="1"/>
        <v>0</v>
      </c>
      <c r="R124" s="353">
        <f t="shared" si="1"/>
        <v>0</v>
      </c>
      <c r="S124" s="353">
        <f t="shared" si="1"/>
        <v>0</v>
      </c>
      <c r="T124" s="353">
        <f t="shared" si="1"/>
        <v>0</v>
      </c>
      <c r="U124" s="353">
        <f t="shared" si="1"/>
        <v>0</v>
      </c>
      <c r="V124" s="353">
        <f t="shared" si="1"/>
        <v>0</v>
      </c>
      <c r="W124" s="353">
        <f t="shared" si="1"/>
        <v>0</v>
      </c>
      <c r="X124" s="353">
        <f t="shared" si="1"/>
        <v>0</v>
      </c>
      <c r="Y124" s="353">
        <f t="shared" si="1"/>
        <v>0</v>
      </c>
      <c r="Z124" s="348"/>
      <c r="AA124" s="348"/>
    </row>
    <row r="125" spans="2:27" x14ac:dyDescent="0.25">
      <c r="E125" s="96"/>
      <c r="F125" s="410" t="s">
        <v>44</v>
      </c>
      <c r="G125" s="293" t="s">
        <v>183</v>
      </c>
      <c r="H125" s="348"/>
      <c r="I125" s="348"/>
      <c r="J125" s="353">
        <f t="shared" ref="J125:Y125" si="2">hundred * $H20 * J57 / $H45 * J$78 * (1 - J69) / hours_in_year</f>
        <v>0.42776555122147153</v>
      </c>
      <c r="K125" s="353">
        <f t="shared" si="2"/>
        <v>0.42776555122147153</v>
      </c>
      <c r="L125" s="353">
        <f t="shared" si="2"/>
        <v>0.36167154379644628</v>
      </c>
      <c r="M125" s="353">
        <f t="shared" si="2"/>
        <v>0.36167154379644628</v>
      </c>
      <c r="N125" s="353">
        <f t="shared" si="2"/>
        <v>0.31710984172579837</v>
      </c>
      <c r="O125" s="353">
        <f t="shared" si="2"/>
        <v>0.28624734450781458</v>
      </c>
      <c r="P125" s="353">
        <f t="shared" si="2"/>
        <v>0.23808098016205317</v>
      </c>
      <c r="Q125" s="353">
        <f t="shared" si="2"/>
        <v>0.42399202483539472</v>
      </c>
      <c r="R125" s="353">
        <f t="shared" si="2"/>
        <v>-0.22637722634866647</v>
      </c>
      <c r="S125" s="353">
        <f t="shared" si="2"/>
        <v>-0.21636595911844564</v>
      </c>
      <c r="T125" s="353">
        <f t="shared" si="2"/>
        <v>-0.22637722634866647</v>
      </c>
      <c r="U125" s="353">
        <f t="shared" si="2"/>
        <v>-0.22637722634866647</v>
      </c>
      <c r="V125" s="353">
        <f t="shared" si="2"/>
        <v>-0.21636595911844564</v>
      </c>
      <c r="W125" s="353">
        <f t="shared" si="2"/>
        <v>-0.21636595911844564</v>
      </c>
      <c r="X125" s="353">
        <f t="shared" si="2"/>
        <v>-0.21187110444365262</v>
      </c>
      <c r="Y125" s="353">
        <f t="shared" si="2"/>
        <v>-0.21187110444365262</v>
      </c>
      <c r="Z125" s="348"/>
      <c r="AA125" s="348"/>
    </row>
    <row r="126" spans="2:27" x14ac:dyDescent="0.25">
      <c r="E126" s="96"/>
      <c r="F126" s="410" t="s">
        <v>45</v>
      </c>
      <c r="G126" s="293" t="s">
        <v>183</v>
      </c>
      <c r="H126" s="348"/>
      <c r="I126" s="348"/>
      <c r="J126" s="353">
        <f t="shared" ref="J126:Y126" si="3">hundred * $H21 * J58 / $H46 * J$78 * (1 - J70) / hours_in_year</f>
        <v>3.5864730542198832E-2</v>
      </c>
      <c r="K126" s="353">
        <f t="shared" si="3"/>
        <v>3.5864730542198832E-2</v>
      </c>
      <c r="L126" s="353">
        <f t="shared" si="3"/>
        <v>3.0323275041670827E-2</v>
      </c>
      <c r="M126" s="353">
        <f t="shared" si="3"/>
        <v>3.0323275041670827E-2</v>
      </c>
      <c r="N126" s="353">
        <f t="shared" si="3"/>
        <v>2.6587131650268828E-2</v>
      </c>
      <c r="O126" s="353">
        <f t="shared" si="3"/>
        <v>2.3999557350698187E-2</v>
      </c>
      <c r="P126" s="353">
        <f t="shared" si="3"/>
        <v>1.9961191770474732E-2</v>
      </c>
      <c r="Q126" s="353">
        <f t="shared" si="3"/>
        <v>3.5548350444165995E-2</v>
      </c>
      <c r="R126" s="353">
        <f t="shared" si="3"/>
        <v>-1.8979925336909058E-2</v>
      </c>
      <c r="S126" s="353">
        <f t="shared" si="3"/>
        <v>-1.8140560407749719E-2</v>
      </c>
      <c r="T126" s="353">
        <f t="shared" si="3"/>
        <v>-1.8979925336909058E-2</v>
      </c>
      <c r="U126" s="353">
        <f t="shared" si="3"/>
        <v>-1.8979925336909058E-2</v>
      </c>
      <c r="V126" s="353">
        <f t="shared" si="3"/>
        <v>-1.8140560407749719E-2</v>
      </c>
      <c r="W126" s="353">
        <f t="shared" si="3"/>
        <v>-1.8140560407749719E-2</v>
      </c>
      <c r="X126" s="353">
        <f t="shared" si="3"/>
        <v>-1.7763702684453694E-2</v>
      </c>
      <c r="Y126" s="353">
        <f t="shared" si="3"/>
        <v>-1.7763702684453694E-2</v>
      </c>
      <c r="Z126" s="348"/>
      <c r="AA126" s="348"/>
    </row>
    <row r="127" spans="2:27" x14ac:dyDescent="0.25">
      <c r="E127" s="96"/>
      <c r="F127" s="410" t="s">
        <v>46</v>
      </c>
      <c r="G127" s="293" t="s">
        <v>183</v>
      </c>
      <c r="H127" s="348"/>
      <c r="I127" s="348"/>
      <c r="J127" s="353">
        <f t="shared" ref="J127:Y127" si="4">hundred * $H22 * J59 / $H47 * J$78 * (1 - J71) / hours_in_year</f>
        <v>0.36613244699317166</v>
      </c>
      <c r="K127" s="353">
        <f t="shared" si="4"/>
        <v>0.36613244699317166</v>
      </c>
      <c r="L127" s="353">
        <f t="shared" si="4"/>
        <v>0.30956136360179198</v>
      </c>
      <c r="M127" s="353">
        <f t="shared" si="4"/>
        <v>0.30956136360179198</v>
      </c>
      <c r="N127" s="353">
        <f t="shared" si="4"/>
        <v>0.27142017861221379</v>
      </c>
      <c r="O127" s="353">
        <f t="shared" si="4"/>
        <v>0.24500439642855215</v>
      </c>
      <c r="P127" s="353">
        <f t="shared" si="4"/>
        <v>0.14377954237291476</v>
      </c>
      <c r="Q127" s="353">
        <f t="shared" si="4"/>
        <v>0.36290261596638035</v>
      </c>
      <c r="R127" s="353">
        <f t="shared" si="4"/>
        <v>-0.19376045497327091</v>
      </c>
      <c r="S127" s="353">
        <f t="shared" si="4"/>
        <v>-0.18519162618835183</v>
      </c>
      <c r="T127" s="353">
        <f t="shared" si="4"/>
        <v>-0.19376045497327091</v>
      </c>
      <c r="U127" s="353">
        <f t="shared" si="4"/>
        <v>-0.19376045497327091</v>
      </c>
      <c r="V127" s="353">
        <f t="shared" si="4"/>
        <v>-0.18519162618835183</v>
      </c>
      <c r="W127" s="353">
        <f t="shared" si="4"/>
        <v>-0.18519162618835183</v>
      </c>
      <c r="X127" s="353">
        <f t="shared" si="4"/>
        <v>-0.12795112998198141</v>
      </c>
      <c r="Y127" s="353">
        <f t="shared" si="4"/>
        <v>-0.12795112998198141</v>
      </c>
      <c r="Z127" s="348"/>
      <c r="AA127" s="348"/>
    </row>
    <row r="128" spans="2:27" x14ac:dyDescent="0.25">
      <c r="E128" s="96"/>
      <c r="F128" s="410" t="s">
        <v>47</v>
      </c>
      <c r="G128" s="293" t="s">
        <v>183</v>
      </c>
      <c r="H128" s="348"/>
      <c r="I128" s="348"/>
      <c r="J128" s="353">
        <f t="shared" ref="J128:Y128" si="5">hundred * $H23 * J60 / $H48 * J$78 * (1 - J72) / hours_in_year</f>
        <v>6.0810761543401363E-2</v>
      </c>
      <c r="K128" s="353">
        <f t="shared" si="5"/>
        <v>6.0810761543401363E-2</v>
      </c>
      <c r="L128" s="353">
        <f t="shared" si="5"/>
        <v>5.1414897585926926E-2</v>
      </c>
      <c r="M128" s="353">
        <f t="shared" si="5"/>
        <v>5.1414897585926926E-2</v>
      </c>
      <c r="N128" s="353">
        <f t="shared" si="5"/>
        <v>4.5080046565669614E-2</v>
      </c>
      <c r="O128" s="353">
        <f t="shared" si="5"/>
        <v>4.0692662042540927E-2</v>
      </c>
      <c r="P128" s="353">
        <f t="shared" si="5"/>
        <v>2.8999713191834982E-2</v>
      </c>
      <c r="Q128" s="353">
        <f t="shared" si="5"/>
        <v>6.0274320465838666E-2</v>
      </c>
      <c r="R128" s="353">
        <f t="shared" si="5"/>
        <v>-3.2181580520068691E-2</v>
      </c>
      <c r="S128" s="353">
        <f t="shared" si="5"/>
        <v>-3.0758387879740737E-2</v>
      </c>
      <c r="T128" s="353">
        <f t="shared" si="5"/>
        <v>-3.2181580520068691E-2</v>
      </c>
      <c r="U128" s="353">
        <f t="shared" si="5"/>
        <v>-3.2181580520068691E-2</v>
      </c>
      <c r="V128" s="353">
        <f t="shared" si="5"/>
        <v>-3.0758387879740737E-2</v>
      </c>
      <c r="W128" s="353">
        <f t="shared" si="5"/>
        <v>-3.0758387879740737E-2</v>
      </c>
      <c r="X128" s="353">
        <f t="shared" si="5"/>
        <v>-2.5807190722757872E-2</v>
      </c>
      <c r="Y128" s="353">
        <f t="shared" si="5"/>
        <v>-2.5807190722757872E-2</v>
      </c>
      <c r="Z128" s="348"/>
      <c r="AA128" s="348"/>
    </row>
    <row r="129" spans="4:27" x14ac:dyDescent="0.25">
      <c r="E129" s="96"/>
      <c r="F129" s="410" t="s">
        <v>51</v>
      </c>
      <c r="G129" s="293" t="s">
        <v>183</v>
      </c>
      <c r="H129" s="348"/>
      <c r="I129" s="348"/>
      <c r="J129" s="353">
        <f t="shared" ref="J129:Y129" si="6">hundred * $H24 * J61 / $H49 * J$78 * (1 - J73) / hours_in_year</f>
        <v>0</v>
      </c>
      <c r="K129" s="353">
        <f t="shared" si="6"/>
        <v>0</v>
      </c>
      <c r="L129" s="353">
        <f t="shared" si="6"/>
        <v>0</v>
      </c>
      <c r="M129" s="353">
        <f t="shared" si="6"/>
        <v>0</v>
      </c>
      <c r="N129" s="353">
        <f t="shared" si="6"/>
        <v>0</v>
      </c>
      <c r="O129" s="353">
        <f t="shared" si="6"/>
        <v>0</v>
      </c>
      <c r="P129" s="353">
        <f t="shared" si="6"/>
        <v>0</v>
      </c>
      <c r="Q129" s="353">
        <f t="shared" si="6"/>
        <v>0</v>
      </c>
      <c r="R129" s="353">
        <f t="shared" si="6"/>
        <v>0</v>
      </c>
      <c r="S129" s="353">
        <f t="shared" si="6"/>
        <v>0</v>
      </c>
      <c r="T129" s="353">
        <f t="shared" si="6"/>
        <v>0</v>
      </c>
      <c r="U129" s="353">
        <f t="shared" si="6"/>
        <v>0</v>
      </c>
      <c r="V129" s="353">
        <f t="shared" si="6"/>
        <v>0</v>
      </c>
      <c r="W129" s="353">
        <f t="shared" si="6"/>
        <v>0</v>
      </c>
      <c r="X129" s="353">
        <f t="shared" si="6"/>
        <v>0</v>
      </c>
      <c r="Y129" s="353">
        <f t="shared" si="6"/>
        <v>0</v>
      </c>
      <c r="Z129" s="348"/>
      <c r="AA129" s="348"/>
    </row>
    <row r="130" spans="4:27" x14ac:dyDescent="0.25">
      <c r="E130" s="96"/>
      <c r="F130" s="410" t="s">
        <v>48</v>
      </c>
      <c r="G130" s="293" t="s">
        <v>183</v>
      </c>
      <c r="H130" s="348"/>
      <c r="I130" s="348"/>
      <c r="J130" s="353">
        <f t="shared" ref="J130:Y130" si="7">hundred * $H25 * J62 / $H50 * J$78 * (1 - J74) / hours_in_year</f>
        <v>0.33621968848745631</v>
      </c>
      <c r="K130" s="353">
        <f t="shared" si="7"/>
        <v>0.33621968848745631</v>
      </c>
      <c r="L130" s="353">
        <f t="shared" si="7"/>
        <v>0.28427042206365227</v>
      </c>
      <c r="M130" s="353">
        <f t="shared" si="7"/>
        <v>0.28427042206365227</v>
      </c>
      <c r="N130" s="353">
        <f t="shared" si="7"/>
        <v>0.24924534455125805</v>
      </c>
      <c r="O130" s="353">
        <f t="shared" si="7"/>
        <v>0.22498771283934141</v>
      </c>
      <c r="P130" s="353">
        <f t="shared" si="7"/>
        <v>7.3810100167547146E-2</v>
      </c>
      <c r="Q130" s="353">
        <f t="shared" si="7"/>
        <v>0.33325373234067662</v>
      </c>
      <c r="R130" s="353">
        <f t="shared" si="7"/>
        <v>-0.1779303646735137</v>
      </c>
      <c r="S130" s="353">
        <f t="shared" si="7"/>
        <v>-0.17006160305889081</v>
      </c>
      <c r="T130" s="353">
        <f t="shared" si="7"/>
        <v>-0.1779303646735137</v>
      </c>
      <c r="U130" s="353">
        <f t="shared" si="7"/>
        <v>-0.1779303646735137</v>
      </c>
      <c r="V130" s="353">
        <f t="shared" si="7"/>
        <v>-0.17006160305889081</v>
      </c>
      <c r="W130" s="353">
        <f t="shared" si="7"/>
        <v>-0.17006160305889081</v>
      </c>
      <c r="X130" s="353">
        <f t="shared" si="7"/>
        <v>0</v>
      </c>
      <c r="Y130" s="353">
        <f t="shared" si="7"/>
        <v>0</v>
      </c>
      <c r="Z130" s="348"/>
      <c r="AA130" s="348"/>
    </row>
    <row r="131" spans="4:27" x14ac:dyDescent="0.25">
      <c r="E131" s="96"/>
      <c r="F131" s="410" t="s">
        <v>49</v>
      </c>
      <c r="G131" s="293" t="s">
        <v>183</v>
      </c>
      <c r="H131" s="348"/>
      <c r="I131" s="348"/>
      <c r="J131" s="353">
        <f t="shared" ref="J131:Y131" si="8">hundred * $H26 * J63 / $H51 * J$78 * (1 - J75) / hours_in_year</f>
        <v>5.6421059797989351E-2</v>
      </c>
      <c r="K131" s="353">
        <f t="shared" si="8"/>
        <v>5.6421059797989351E-2</v>
      </c>
      <c r="L131" s="353">
        <f t="shared" si="8"/>
        <v>4.7703448165711364E-2</v>
      </c>
      <c r="M131" s="353">
        <f t="shared" si="8"/>
        <v>4.7703448165711364E-2</v>
      </c>
      <c r="N131" s="353">
        <f t="shared" si="8"/>
        <v>4.1825886379707473E-2</v>
      </c>
      <c r="O131" s="353">
        <f t="shared" si="8"/>
        <v>3.7755210758262672E-2</v>
      </c>
      <c r="P131" s="353">
        <f t="shared" si="8"/>
        <v>0</v>
      </c>
      <c r="Q131" s="353">
        <f t="shared" si="8"/>
        <v>5.5923342398188962E-2</v>
      </c>
      <c r="R131" s="353">
        <f t="shared" si="8"/>
        <v>-2.9858512421698655E-2</v>
      </c>
      <c r="S131" s="353">
        <f t="shared" si="8"/>
        <v>0</v>
      </c>
      <c r="T131" s="353">
        <f t="shared" si="8"/>
        <v>-2.9858512421698655E-2</v>
      </c>
      <c r="U131" s="353">
        <f t="shared" si="8"/>
        <v>-2.9858512421698655E-2</v>
      </c>
      <c r="V131" s="353">
        <f t="shared" si="8"/>
        <v>0</v>
      </c>
      <c r="W131" s="353">
        <f t="shared" si="8"/>
        <v>0</v>
      </c>
      <c r="X131" s="353">
        <f t="shared" si="8"/>
        <v>0</v>
      </c>
      <c r="Y131" s="353">
        <f t="shared" si="8"/>
        <v>0</v>
      </c>
      <c r="Z131" s="348"/>
      <c r="AA131" s="348"/>
    </row>
    <row r="132" spans="4:27" x14ac:dyDescent="0.25">
      <c r="E132" s="96"/>
      <c r="F132" s="412" t="s">
        <v>50</v>
      </c>
      <c r="G132" s="93" t="s">
        <v>183</v>
      </c>
      <c r="H132" s="350"/>
      <c r="I132" s="350"/>
      <c r="J132" s="354">
        <f t="shared" ref="J132:Y132" si="9">hundred * $H27 * J64 / $H52 * J$78 * (1 - J76) / hours_in_year</f>
        <v>8.2537749545864795E-3</v>
      </c>
      <c r="K132" s="354">
        <f t="shared" si="9"/>
        <v>8.2537749545864795E-3</v>
      </c>
      <c r="L132" s="354">
        <f t="shared" si="9"/>
        <v>6.9784851104763203E-3</v>
      </c>
      <c r="M132" s="354">
        <f t="shared" si="9"/>
        <v>6.9784851104763203E-3</v>
      </c>
      <c r="N132" s="354">
        <f t="shared" si="9"/>
        <v>6.1186630433785602E-3</v>
      </c>
      <c r="O132" s="354">
        <f t="shared" si="9"/>
        <v>0</v>
      </c>
      <c r="P132" s="354">
        <f t="shared" si="9"/>
        <v>0</v>
      </c>
      <c r="Q132" s="354">
        <f t="shared" si="9"/>
        <v>8.1809644220717966E-3</v>
      </c>
      <c r="R132" s="354">
        <f t="shared" si="9"/>
        <v>0</v>
      </c>
      <c r="S132" s="354">
        <f t="shared" si="9"/>
        <v>0</v>
      </c>
      <c r="T132" s="354">
        <f t="shared" si="9"/>
        <v>0</v>
      </c>
      <c r="U132" s="354">
        <f t="shared" si="9"/>
        <v>0</v>
      </c>
      <c r="V132" s="354">
        <f t="shared" si="9"/>
        <v>0</v>
      </c>
      <c r="W132" s="354">
        <f t="shared" si="9"/>
        <v>0</v>
      </c>
      <c r="X132" s="354">
        <f t="shared" si="9"/>
        <v>0</v>
      </c>
      <c r="Y132" s="354">
        <f t="shared" si="9"/>
        <v>0</v>
      </c>
      <c r="Z132" s="348"/>
      <c r="AA132" s="348"/>
    </row>
    <row r="133" spans="4:27" x14ac:dyDescent="0.25">
      <c r="E133" s="96"/>
      <c r="F133" s="410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2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25">
      <c r="D135" s="96"/>
      <c r="E135" s="96"/>
      <c r="F135" s="409" t="s">
        <v>267</v>
      </c>
      <c r="G135" s="91" t="s">
        <v>183</v>
      </c>
      <c r="H135" s="346"/>
      <c r="I135" s="346"/>
      <c r="J135" s="352">
        <f t="shared" ref="J135:Y135" si="10">hundred * $H30 * J55 / $H43 * J$78 / hours_in_year</f>
        <v>0.2588804568765013</v>
      </c>
      <c r="K135" s="352">
        <f t="shared" si="10"/>
        <v>0.2588804568765013</v>
      </c>
      <c r="L135" s="352">
        <f t="shared" si="10"/>
        <v>0.21888086646972107</v>
      </c>
      <c r="M135" s="352">
        <f t="shared" si="10"/>
        <v>0.21888086646972107</v>
      </c>
      <c r="N135" s="352">
        <f t="shared" si="10"/>
        <v>0.19191246343141483</v>
      </c>
      <c r="O135" s="352">
        <f t="shared" si="10"/>
        <v>0.17323471493734596</v>
      </c>
      <c r="P135" s="352">
        <f t="shared" si="10"/>
        <v>0.14408479771679153</v>
      </c>
      <c r="Q135" s="352">
        <f t="shared" si="10"/>
        <v>0.25659674741912769</v>
      </c>
      <c r="R135" s="352">
        <f t="shared" si="10"/>
        <v>-0.13700177495881596</v>
      </c>
      <c r="S135" s="352">
        <f t="shared" si="10"/>
        <v>-0.13094303220341705</v>
      </c>
      <c r="T135" s="352">
        <f t="shared" si="10"/>
        <v>-0.13700177495881596</v>
      </c>
      <c r="U135" s="352">
        <f t="shared" si="10"/>
        <v>-0.13700177495881596</v>
      </c>
      <c r="V135" s="352">
        <f t="shared" si="10"/>
        <v>-0.13094303220341705</v>
      </c>
      <c r="W135" s="352">
        <f t="shared" si="10"/>
        <v>-0.13094303220341705</v>
      </c>
      <c r="X135" s="352">
        <f t="shared" si="10"/>
        <v>-0.12822278035405429</v>
      </c>
      <c r="Y135" s="352">
        <f t="shared" si="10"/>
        <v>-0.12822278035405429</v>
      </c>
      <c r="Z135" s="348"/>
      <c r="AA135" s="348"/>
    </row>
    <row r="136" spans="4:27" x14ac:dyDescent="0.25">
      <c r="D136" s="96"/>
      <c r="E136" s="96"/>
      <c r="F136" s="410" t="s">
        <v>43</v>
      </c>
      <c r="G136" s="293" t="s">
        <v>183</v>
      </c>
      <c r="H136" s="348"/>
      <c r="I136" s="348"/>
      <c r="J136" s="353">
        <f t="shared" ref="J136:Y136" si="11">hundred * $H31 * J56 / $H44 * J$78 / hours_in_year</f>
        <v>0</v>
      </c>
      <c r="K136" s="353">
        <f t="shared" si="11"/>
        <v>0</v>
      </c>
      <c r="L136" s="353">
        <f t="shared" si="11"/>
        <v>0</v>
      </c>
      <c r="M136" s="353">
        <f t="shared" si="11"/>
        <v>0</v>
      </c>
      <c r="N136" s="353">
        <f t="shared" si="11"/>
        <v>0</v>
      </c>
      <c r="O136" s="353">
        <f t="shared" si="11"/>
        <v>0</v>
      </c>
      <c r="P136" s="353">
        <f t="shared" si="11"/>
        <v>0</v>
      </c>
      <c r="Q136" s="353">
        <f t="shared" si="11"/>
        <v>0</v>
      </c>
      <c r="R136" s="353">
        <f t="shared" si="11"/>
        <v>0</v>
      </c>
      <c r="S136" s="353">
        <f t="shared" si="11"/>
        <v>0</v>
      </c>
      <c r="T136" s="353">
        <f t="shared" si="11"/>
        <v>0</v>
      </c>
      <c r="U136" s="353">
        <f t="shared" si="11"/>
        <v>0</v>
      </c>
      <c r="V136" s="353">
        <f t="shared" si="11"/>
        <v>0</v>
      </c>
      <c r="W136" s="353">
        <f t="shared" si="11"/>
        <v>0</v>
      </c>
      <c r="X136" s="353">
        <f t="shared" si="11"/>
        <v>0</v>
      </c>
      <c r="Y136" s="353">
        <f t="shared" si="11"/>
        <v>0</v>
      </c>
      <c r="Z136" s="348"/>
      <c r="AA136" s="348"/>
    </row>
    <row r="137" spans="4:27" x14ac:dyDescent="0.25">
      <c r="D137" s="96"/>
      <c r="E137" s="96"/>
      <c r="F137" s="410" t="s">
        <v>44</v>
      </c>
      <c r="G137" s="293" t="s">
        <v>183</v>
      </c>
      <c r="H137" s="348"/>
      <c r="I137" s="348"/>
      <c r="J137" s="353">
        <f t="shared" ref="J137:Y137" si="12">hundred * $H32 * J57 / $H45 * J$78 / hours_in_year</f>
        <v>0.28437697384844896</v>
      </c>
      <c r="K137" s="353">
        <f t="shared" si="12"/>
        <v>0.28437697384844896</v>
      </c>
      <c r="L137" s="353">
        <f t="shared" si="12"/>
        <v>0.24043791945901699</v>
      </c>
      <c r="M137" s="353">
        <f t="shared" si="12"/>
        <v>0.24043791945901699</v>
      </c>
      <c r="N137" s="353">
        <f t="shared" si="12"/>
        <v>0.21081346291219688</v>
      </c>
      <c r="O137" s="353">
        <f t="shared" si="12"/>
        <v>0.19029618764495027</v>
      </c>
      <c r="P137" s="353">
        <f t="shared" si="12"/>
        <v>0.15827536480211751</v>
      </c>
      <c r="Q137" s="353">
        <f t="shared" si="12"/>
        <v>0.28186834730910848</v>
      </c>
      <c r="R137" s="353">
        <f t="shared" si="12"/>
        <v>-0.15049475207485521</v>
      </c>
      <c r="S137" s="353">
        <f t="shared" si="12"/>
        <v>-0.14383929823760977</v>
      </c>
      <c r="T137" s="353">
        <f t="shared" si="12"/>
        <v>-0.15049475207485521</v>
      </c>
      <c r="U137" s="353">
        <f t="shared" si="12"/>
        <v>-0.15049475207485521</v>
      </c>
      <c r="V137" s="353">
        <f t="shared" si="12"/>
        <v>-0.14383929823760977</v>
      </c>
      <c r="W137" s="353">
        <f t="shared" si="12"/>
        <v>-0.14383929823760977</v>
      </c>
      <c r="X137" s="353">
        <f t="shared" si="12"/>
        <v>-0.14085113529027513</v>
      </c>
      <c r="Y137" s="353">
        <f t="shared" si="12"/>
        <v>-0.14085113529027513</v>
      </c>
      <c r="Z137" s="348"/>
      <c r="AA137" s="348"/>
    </row>
    <row r="138" spans="4:27" x14ac:dyDescent="0.25">
      <c r="D138" s="96"/>
      <c r="E138" s="96"/>
      <c r="F138" s="410" t="s">
        <v>45</v>
      </c>
      <c r="G138" s="293" t="s">
        <v>183</v>
      </c>
      <c r="H138" s="348"/>
      <c r="I138" s="348"/>
      <c r="J138" s="353">
        <f t="shared" ref="J138:Y138" si="13">hundred * $H33 * J58 / $H46 * J$78 / hours_in_year</f>
        <v>2.3842741684919025E-2</v>
      </c>
      <c r="K138" s="353">
        <f t="shared" si="13"/>
        <v>2.3842741684919025E-2</v>
      </c>
      <c r="L138" s="353">
        <f t="shared" si="13"/>
        <v>2.0158802336703235E-2</v>
      </c>
      <c r="M138" s="353">
        <f t="shared" si="13"/>
        <v>2.0158802336703235E-2</v>
      </c>
      <c r="N138" s="353">
        <f t="shared" si="13"/>
        <v>1.7675027875489791E-2</v>
      </c>
      <c r="O138" s="353">
        <f t="shared" si="13"/>
        <v>1.5954817945497225E-2</v>
      </c>
      <c r="P138" s="353">
        <f t="shared" si="13"/>
        <v>1.3270127278569025E-2</v>
      </c>
      <c r="Q138" s="353">
        <f t="shared" si="13"/>
        <v>2.3632413352944782E-2</v>
      </c>
      <c r="R138" s="353">
        <f t="shared" si="13"/>
        <v>-1.2617784942633726E-2</v>
      </c>
      <c r="S138" s="353">
        <f t="shared" si="13"/>
        <v>-1.2059778207806059E-2</v>
      </c>
      <c r="T138" s="353">
        <f t="shared" si="13"/>
        <v>-1.2617784942633726E-2</v>
      </c>
      <c r="U138" s="353">
        <f t="shared" si="13"/>
        <v>-1.2617784942633726E-2</v>
      </c>
      <c r="V138" s="353">
        <f t="shared" si="13"/>
        <v>-1.2059778207806059E-2</v>
      </c>
      <c r="W138" s="353">
        <f t="shared" si="13"/>
        <v>-1.2059778207806059E-2</v>
      </c>
      <c r="X138" s="353">
        <f t="shared" si="13"/>
        <v>-1.1809244571760986E-2</v>
      </c>
      <c r="Y138" s="353">
        <f t="shared" si="13"/>
        <v>-1.1809244571760986E-2</v>
      </c>
      <c r="Z138" s="348"/>
      <c r="AA138" s="348"/>
    </row>
    <row r="139" spans="4:27" x14ac:dyDescent="0.25">
      <c r="D139" s="96"/>
      <c r="E139" s="96"/>
      <c r="F139" s="410" t="s">
        <v>46</v>
      </c>
      <c r="G139" s="293" t="s">
        <v>183</v>
      </c>
      <c r="H139" s="348"/>
      <c r="I139" s="348"/>
      <c r="J139" s="353">
        <f t="shared" ref="J139:Y139" si="14">hundred * $H34 * J59 / $H47 * J$78 / hours_in_year</f>
        <v>0.24340351158791373</v>
      </c>
      <c r="K139" s="353">
        <f t="shared" si="14"/>
        <v>0.24340351158791373</v>
      </c>
      <c r="L139" s="353">
        <f t="shared" si="14"/>
        <v>0.20579526226481751</v>
      </c>
      <c r="M139" s="353">
        <f t="shared" si="14"/>
        <v>0.20579526226481751</v>
      </c>
      <c r="N139" s="353">
        <f t="shared" si="14"/>
        <v>0.18043914198968469</v>
      </c>
      <c r="O139" s="353">
        <f t="shared" si="14"/>
        <v>0.16287802661286427</v>
      </c>
      <c r="P139" s="353">
        <f t="shared" si="14"/>
        <v>0.1354708121031776</v>
      </c>
      <c r="Q139" s="353">
        <f t="shared" si="14"/>
        <v>0.24125633173479558</v>
      </c>
      <c r="R139" s="353">
        <f t="shared" si="14"/>
        <v>-0.12881124176422842</v>
      </c>
      <c r="S139" s="353">
        <f t="shared" si="14"/>
        <v>-0.12311471572952881</v>
      </c>
      <c r="T139" s="353">
        <f t="shared" si="14"/>
        <v>-0.12881124176422842</v>
      </c>
      <c r="U139" s="353">
        <f t="shared" si="14"/>
        <v>-0.12881124176422842</v>
      </c>
      <c r="V139" s="353">
        <f t="shared" si="14"/>
        <v>-0.12311471572952881</v>
      </c>
      <c r="W139" s="353">
        <f t="shared" si="14"/>
        <v>-0.12311471572952881</v>
      </c>
      <c r="X139" s="353">
        <f t="shared" si="14"/>
        <v>-0.12055709179558201</v>
      </c>
      <c r="Y139" s="353">
        <f t="shared" si="14"/>
        <v>-0.12055709179558201</v>
      </c>
      <c r="Z139" s="348"/>
      <c r="AA139" s="348"/>
    </row>
    <row r="140" spans="4:27" x14ac:dyDescent="0.25">
      <c r="D140" s="96"/>
      <c r="E140" s="96"/>
      <c r="F140" s="410" t="s">
        <v>47</v>
      </c>
      <c r="G140" s="293" t="s">
        <v>183</v>
      </c>
      <c r="H140" s="348"/>
      <c r="I140" s="348"/>
      <c r="J140" s="353">
        <f t="shared" ref="J140:Y140" si="15">hundred * $H35 * J60 / $H48 * J$78 / hours_in_year</f>
        <v>4.0426771851431155E-2</v>
      </c>
      <c r="K140" s="353">
        <f t="shared" si="15"/>
        <v>4.0426771851431155E-2</v>
      </c>
      <c r="L140" s="353">
        <f t="shared" si="15"/>
        <v>3.4180435858996577E-2</v>
      </c>
      <c r="M140" s="353">
        <f t="shared" si="15"/>
        <v>3.4180435858996577E-2</v>
      </c>
      <c r="N140" s="353">
        <f t="shared" si="15"/>
        <v>2.9969050071203606E-2</v>
      </c>
      <c r="O140" s="353">
        <f t="shared" si="15"/>
        <v>2.7052332887610463E-2</v>
      </c>
      <c r="P140" s="353">
        <f t="shared" si="15"/>
        <v>2.2500281847598471E-2</v>
      </c>
      <c r="Q140" s="353">
        <f t="shared" si="15"/>
        <v>4.0070147785164767E-2</v>
      </c>
      <c r="R140" s="353">
        <f t="shared" si="15"/>
        <v>-2.1394197021767942E-2</v>
      </c>
      <c r="S140" s="353">
        <f t="shared" si="15"/>
        <v>-2.044806375997495E-2</v>
      </c>
      <c r="T140" s="353">
        <f t="shared" si="15"/>
        <v>-2.1394197021767942E-2</v>
      </c>
      <c r="U140" s="353">
        <f t="shared" si="15"/>
        <v>-2.1394197021767942E-2</v>
      </c>
      <c r="V140" s="353">
        <f t="shared" si="15"/>
        <v>-2.044806375997495E-2</v>
      </c>
      <c r="W140" s="353">
        <f t="shared" si="15"/>
        <v>-2.044806375997495E-2</v>
      </c>
      <c r="X140" s="353">
        <f t="shared" si="15"/>
        <v>-2.0023269234271977E-2</v>
      </c>
      <c r="Y140" s="353">
        <f t="shared" si="15"/>
        <v>-2.0023269234271977E-2</v>
      </c>
      <c r="Z140" s="348"/>
      <c r="AA140" s="348"/>
    </row>
    <row r="141" spans="4:27" x14ac:dyDescent="0.25">
      <c r="D141" s="96"/>
      <c r="E141" s="96"/>
      <c r="F141" s="410" t="s">
        <v>51</v>
      </c>
      <c r="G141" s="293" t="s">
        <v>183</v>
      </c>
      <c r="H141" s="348"/>
      <c r="I141" s="348"/>
      <c r="J141" s="353">
        <f t="shared" ref="J141:Y141" si="16">hundred * $H36 * J61 / $H49 * J$78 / hours_in_year</f>
        <v>0</v>
      </c>
      <c r="K141" s="353">
        <f t="shared" si="16"/>
        <v>0</v>
      </c>
      <c r="L141" s="353">
        <f t="shared" si="16"/>
        <v>0</v>
      </c>
      <c r="M141" s="353">
        <f t="shared" si="16"/>
        <v>0</v>
      </c>
      <c r="N141" s="353">
        <f t="shared" si="16"/>
        <v>0</v>
      </c>
      <c r="O141" s="353">
        <f t="shared" si="16"/>
        <v>0</v>
      </c>
      <c r="P141" s="353">
        <f t="shared" si="16"/>
        <v>0</v>
      </c>
      <c r="Q141" s="353">
        <f t="shared" si="16"/>
        <v>0</v>
      </c>
      <c r="R141" s="353">
        <f t="shared" si="16"/>
        <v>0</v>
      </c>
      <c r="S141" s="353">
        <f t="shared" si="16"/>
        <v>0</v>
      </c>
      <c r="T141" s="353">
        <f t="shared" si="16"/>
        <v>0</v>
      </c>
      <c r="U141" s="353">
        <f t="shared" si="16"/>
        <v>0</v>
      </c>
      <c r="V141" s="353">
        <f t="shared" si="16"/>
        <v>0</v>
      </c>
      <c r="W141" s="353">
        <f t="shared" si="16"/>
        <v>0</v>
      </c>
      <c r="X141" s="353">
        <f t="shared" si="16"/>
        <v>0</v>
      </c>
      <c r="Y141" s="353">
        <f t="shared" si="16"/>
        <v>0</v>
      </c>
      <c r="Z141" s="348"/>
      <c r="AA141" s="348"/>
    </row>
    <row r="142" spans="4:27" x14ac:dyDescent="0.25">
      <c r="D142" s="96"/>
      <c r="E142" s="96"/>
      <c r="F142" s="410" t="s">
        <v>48</v>
      </c>
      <c r="G142" s="293" t="s">
        <v>183</v>
      </c>
      <c r="H142" s="348"/>
      <c r="I142" s="348"/>
      <c r="J142" s="353">
        <f t="shared" ref="J142:Y142" si="17">hundred * $H37 * J62 / $H50 * J$78 / hours_in_year</f>
        <v>0.33180145064239808</v>
      </c>
      <c r="K142" s="353">
        <f t="shared" si="17"/>
        <v>0.33180145064239808</v>
      </c>
      <c r="L142" s="353">
        <f t="shared" si="17"/>
        <v>0.28053484565335185</v>
      </c>
      <c r="M142" s="353">
        <f t="shared" si="17"/>
        <v>0.28053484565335185</v>
      </c>
      <c r="N142" s="353">
        <f t="shared" si="17"/>
        <v>0.24597003007174317</v>
      </c>
      <c r="O142" s="353">
        <f t="shared" si="17"/>
        <v>0.22203116608857912</v>
      </c>
      <c r="P142" s="353">
        <f t="shared" si="17"/>
        <v>0.18467035122992875</v>
      </c>
      <c r="Q142" s="353">
        <f t="shared" si="17"/>
        <v>0.32887446990408847</v>
      </c>
      <c r="R142" s="353">
        <f t="shared" si="17"/>
        <v>-0.17559219502460907</v>
      </c>
      <c r="S142" s="353">
        <f t="shared" si="17"/>
        <v>-0.16782683621936911</v>
      </c>
      <c r="T142" s="353">
        <f t="shared" si="17"/>
        <v>-0.17559219502460907</v>
      </c>
      <c r="U142" s="353">
        <f t="shared" si="17"/>
        <v>-0.17559219502460907</v>
      </c>
      <c r="V142" s="353">
        <f t="shared" si="17"/>
        <v>-0.16782683621936911</v>
      </c>
      <c r="W142" s="353">
        <f t="shared" si="17"/>
        <v>-0.16782683621936911</v>
      </c>
      <c r="X142" s="353">
        <f t="shared" si="17"/>
        <v>0</v>
      </c>
      <c r="Y142" s="353">
        <f t="shared" si="17"/>
        <v>0</v>
      </c>
      <c r="Z142" s="348"/>
      <c r="AA142" s="348"/>
    </row>
    <row r="143" spans="4:27" x14ac:dyDescent="0.25">
      <c r="D143" s="96"/>
      <c r="E143" s="96"/>
      <c r="F143" s="410" t="s">
        <v>49</v>
      </c>
      <c r="G143" s="293" t="s">
        <v>183</v>
      </c>
      <c r="H143" s="348"/>
      <c r="I143" s="348"/>
      <c r="J143" s="353">
        <f t="shared" ref="J143:Y143" si="18">hundred * $H38 * J63 / $H51 * J$78 / hours_in_year</f>
        <v>0.12977505495598657</v>
      </c>
      <c r="K143" s="353">
        <f t="shared" si="18"/>
        <v>0.12977505495598657</v>
      </c>
      <c r="L143" s="353">
        <f t="shared" si="18"/>
        <v>0.10972352574482951</v>
      </c>
      <c r="M143" s="353">
        <f t="shared" si="18"/>
        <v>0.10972352574482951</v>
      </c>
      <c r="N143" s="353">
        <f t="shared" si="18"/>
        <v>9.6204444279205478E-2</v>
      </c>
      <c r="O143" s="353">
        <f t="shared" si="18"/>
        <v>8.6841412915164715E-2</v>
      </c>
      <c r="P143" s="353">
        <f t="shared" si="18"/>
        <v>0</v>
      </c>
      <c r="Q143" s="353">
        <f t="shared" si="18"/>
        <v>0.1286302465609846</v>
      </c>
      <c r="R143" s="353">
        <f t="shared" si="18"/>
        <v>-6.8678080566080366E-2</v>
      </c>
      <c r="S143" s="353">
        <f t="shared" si="18"/>
        <v>0</v>
      </c>
      <c r="T143" s="353">
        <f t="shared" si="18"/>
        <v>-6.8678080566080366E-2</v>
      </c>
      <c r="U143" s="353">
        <f t="shared" si="18"/>
        <v>-6.8678080566080366E-2</v>
      </c>
      <c r="V143" s="353">
        <f t="shared" si="18"/>
        <v>0</v>
      </c>
      <c r="W143" s="353">
        <f t="shared" si="18"/>
        <v>0</v>
      </c>
      <c r="X143" s="353">
        <f t="shared" si="18"/>
        <v>0</v>
      </c>
      <c r="Y143" s="353">
        <f t="shared" si="18"/>
        <v>0</v>
      </c>
      <c r="Z143" s="348"/>
      <c r="AA143" s="348"/>
    </row>
    <row r="144" spans="4:27" x14ac:dyDescent="0.25">
      <c r="D144" s="96"/>
      <c r="E144" s="96"/>
      <c r="F144" s="412" t="s">
        <v>50</v>
      </c>
      <c r="G144" s="93" t="s">
        <v>183</v>
      </c>
      <c r="H144" s="350"/>
      <c r="I144" s="350"/>
      <c r="J144" s="354">
        <f t="shared" ref="J144:Y144" si="19">hundred * $H39 * J64 / $H52 * J$78 / hours_in_year</f>
        <v>7.9463799613071859E-2</v>
      </c>
      <c r="K144" s="354">
        <f t="shared" si="19"/>
        <v>7.9463799613071859E-2</v>
      </c>
      <c r="L144" s="354">
        <f t="shared" si="19"/>
        <v>6.7185856831915372E-2</v>
      </c>
      <c r="M144" s="354">
        <f t="shared" si="19"/>
        <v>6.7185856831915372E-2</v>
      </c>
      <c r="N144" s="354">
        <f t="shared" si="19"/>
        <v>5.890785933153686E-2</v>
      </c>
      <c r="O144" s="354">
        <f t="shared" si="19"/>
        <v>0</v>
      </c>
      <c r="P144" s="354">
        <f t="shared" si="19"/>
        <v>0</v>
      </c>
      <c r="Q144" s="354">
        <f t="shared" si="19"/>
        <v>7.8762811083907661E-2</v>
      </c>
      <c r="R144" s="354">
        <f t="shared" si="19"/>
        <v>0</v>
      </c>
      <c r="S144" s="354">
        <f t="shared" si="19"/>
        <v>0</v>
      </c>
      <c r="T144" s="354">
        <f t="shared" si="19"/>
        <v>0</v>
      </c>
      <c r="U144" s="354">
        <f t="shared" si="19"/>
        <v>0</v>
      </c>
      <c r="V144" s="354">
        <f t="shared" si="19"/>
        <v>0</v>
      </c>
      <c r="W144" s="354">
        <f t="shared" si="19"/>
        <v>0</v>
      </c>
      <c r="X144" s="354">
        <f t="shared" si="19"/>
        <v>0</v>
      </c>
      <c r="Y144" s="354">
        <f t="shared" si="19"/>
        <v>0</v>
      </c>
      <c r="Z144" s="348"/>
      <c r="AA144" s="348"/>
    </row>
    <row r="145" spans="3:27" x14ac:dyDescent="0.2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25">
      <c r="C146" s="7" t="str">
        <f ca="1">INDEX('Version control'!$H$34:$H$60,MATCH($A$1,'Version control'!$F$34:$F$60,0),1)&amp;"-C: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2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25">
      <c r="D148" s="82" t="s">
        <v>819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2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2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727</v>
      </c>
    </row>
    <row r="151" spans="3:27" x14ac:dyDescent="0.2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25">
      <c r="E152" s="96"/>
      <c r="F152" s="409" t="s">
        <v>267</v>
      </c>
      <c r="G152" s="91" t="s">
        <v>183</v>
      </c>
      <c r="H152" s="346"/>
      <c r="I152" s="346"/>
      <c r="J152" s="352">
        <f t="shared" ref="J152:Y152" si="20">hundred * $H18 * J55 / $H43 * J81 * (1 - J67) / hours_in_year</f>
        <v>0</v>
      </c>
      <c r="K152" s="352">
        <f t="shared" si="20"/>
        <v>0</v>
      </c>
      <c r="L152" s="352">
        <f t="shared" si="20"/>
        <v>0</v>
      </c>
      <c r="M152" s="352">
        <f t="shared" si="20"/>
        <v>0</v>
      </c>
      <c r="N152" s="352">
        <f t="shared" si="20"/>
        <v>0</v>
      </c>
      <c r="O152" s="352">
        <f t="shared" si="20"/>
        <v>0</v>
      </c>
      <c r="P152" s="352">
        <f t="shared" si="20"/>
        <v>0</v>
      </c>
      <c r="Q152" s="352">
        <f t="shared" si="20"/>
        <v>0</v>
      </c>
      <c r="R152" s="352">
        <f t="shared" si="20"/>
        <v>0</v>
      </c>
      <c r="S152" s="352">
        <f t="shared" si="20"/>
        <v>0</v>
      </c>
      <c r="T152" s="352">
        <f t="shared" si="20"/>
        <v>0</v>
      </c>
      <c r="U152" s="352">
        <f t="shared" si="20"/>
        <v>0</v>
      </c>
      <c r="V152" s="352">
        <f t="shared" si="20"/>
        <v>0</v>
      </c>
      <c r="W152" s="352">
        <f t="shared" si="20"/>
        <v>0</v>
      </c>
      <c r="X152" s="352">
        <f t="shared" si="20"/>
        <v>0</v>
      </c>
      <c r="Y152" s="352">
        <f t="shared" si="20"/>
        <v>0</v>
      </c>
      <c r="Z152" s="348"/>
      <c r="AA152" s="348"/>
    </row>
    <row r="153" spans="3:27" x14ac:dyDescent="0.25">
      <c r="E153" s="96"/>
      <c r="F153" s="410" t="s">
        <v>43</v>
      </c>
      <c r="G153" s="293" t="s">
        <v>183</v>
      </c>
      <c r="H153" s="348"/>
      <c r="I153" s="348"/>
      <c r="J153" s="353">
        <f t="shared" ref="J153:Y153" si="21">hundred * $H19 * J56 / $H44 * J82 * (1 - J68) / hours_in_year</f>
        <v>0</v>
      </c>
      <c r="K153" s="353">
        <f t="shared" si="21"/>
        <v>0</v>
      </c>
      <c r="L153" s="353">
        <f t="shared" si="21"/>
        <v>0</v>
      </c>
      <c r="M153" s="353">
        <f t="shared" si="21"/>
        <v>0</v>
      </c>
      <c r="N153" s="353">
        <f t="shared" si="21"/>
        <v>0</v>
      </c>
      <c r="O153" s="353">
        <f t="shared" si="21"/>
        <v>0</v>
      </c>
      <c r="P153" s="353">
        <f t="shared" si="21"/>
        <v>0</v>
      </c>
      <c r="Q153" s="353">
        <f t="shared" si="21"/>
        <v>0</v>
      </c>
      <c r="R153" s="353">
        <f t="shared" si="21"/>
        <v>0</v>
      </c>
      <c r="S153" s="353">
        <f t="shared" si="21"/>
        <v>0</v>
      </c>
      <c r="T153" s="353">
        <f t="shared" si="21"/>
        <v>0</v>
      </c>
      <c r="U153" s="353">
        <f t="shared" si="21"/>
        <v>0</v>
      </c>
      <c r="V153" s="353">
        <f t="shared" si="21"/>
        <v>0</v>
      </c>
      <c r="W153" s="353">
        <f t="shared" si="21"/>
        <v>0</v>
      </c>
      <c r="X153" s="353">
        <f t="shared" si="21"/>
        <v>0</v>
      </c>
      <c r="Y153" s="353">
        <f t="shared" si="21"/>
        <v>0</v>
      </c>
      <c r="Z153" s="348"/>
      <c r="AA153" s="348"/>
    </row>
    <row r="154" spans="3:27" x14ac:dyDescent="0.25">
      <c r="E154" s="96"/>
      <c r="F154" s="410" t="s">
        <v>44</v>
      </c>
      <c r="G154" s="293" t="s">
        <v>183</v>
      </c>
      <c r="H154" s="348"/>
      <c r="I154" s="348"/>
      <c r="J154" s="353">
        <f t="shared" ref="J154:Y154" si="22">hundred * $H20 * J57 / $H45 * J83 * (1 - J69) / hours_in_year</f>
        <v>2.3387877725092383</v>
      </c>
      <c r="K154" s="353">
        <f t="shared" si="22"/>
        <v>2.3387877725092383</v>
      </c>
      <c r="L154" s="353">
        <f t="shared" si="22"/>
        <v>2.8521795662322442</v>
      </c>
      <c r="M154" s="353">
        <f t="shared" si="22"/>
        <v>2.8521795662322442</v>
      </c>
      <c r="N154" s="353">
        <f t="shared" si="22"/>
        <v>2.0767797329431885</v>
      </c>
      <c r="O154" s="353">
        <f t="shared" si="22"/>
        <v>2.0054616587475893</v>
      </c>
      <c r="P154" s="353">
        <f t="shared" si="22"/>
        <v>1.7416937475389338</v>
      </c>
      <c r="Q154" s="353">
        <f t="shared" si="22"/>
        <v>4.1263984999605769</v>
      </c>
      <c r="R154" s="353">
        <f t="shared" si="22"/>
        <v>-1.7551733564612071</v>
      </c>
      <c r="S154" s="353">
        <f t="shared" si="22"/>
        <v>-1.67755287409063</v>
      </c>
      <c r="T154" s="353">
        <f t="shared" si="22"/>
        <v>-1.7551733564612071</v>
      </c>
      <c r="U154" s="353">
        <f t="shared" si="22"/>
        <v>-1.7551733564612071</v>
      </c>
      <c r="V154" s="353">
        <f t="shared" si="22"/>
        <v>-1.67755287409063</v>
      </c>
      <c r="W154" s="353">
        <f t="shared" si="22"/>
        <v>-1.67755287409063</v>
      </c>
      <c r="X154" s="353">
        <f t="shared" si="22"/>
        <v>-1.6427028615977179</v>
      </c>
      <c r="Y154" s="353">
        <f t="shared" si="22"/>
        <v>-1.6427028615977179</v>
      </c>
      <c r="Z154" s="348"/>
      <c r="AA154" s="348"/>
    </row>
    <row r="155" spans="3:27" x14ac:dyDescent="0.25">
      <c r="E155" s="96"/>
      <c r="F155" s="410" t="s">
        <v>45</v>
      </c>
      <c r="G155" s="293" t="s">
        <v>183</v>
      </c>
      <c r="H155" s="348"/>
      <c r="I155" s="348"/>
      <c r="J155" s="353">
        <f t="shared" ref="J155:Y155" si="23">hundred * $H21 * J58 / $H46 * J84 * (1 - J70) / hours_in_year</f>
        <v>0.13280559104097453</v>
      </c>
      <c r="K155" s="353">
        <f t="shared" si="23"/>
        <v>0.13280559104097453</v>
      </c>
      <c r="L155" s="353">
        <f t="shared" si="23"/>
        <v>0.16195800127776125</v>
      </c>
      <c r="M155" s="353">
        <f t="shared" si="23"/>
        <v>0.16195800127776125</v>
      </c>
      <c r="N155" s="353">
        <f t="shared" si="23"/>
        <v>0.11792774151522464</v>
      </c>
      <c r="O155" s="353">
        <f t="shared" si="23"/>
        <v>0.11387802007115835</v>
      </c>
      <c r="P155" s="353">
        <f t="shared" si="23"/>
        <v>9.8900238094760423E-2</v>
      </c>
      <c r="Q155" s="353">
        <f t="shared" si="23"/>
        <v>0.17886420987347307</v>
      </c>
      <c r="R155" s="353">
        <f t="shared" si="23"/>
        <v>-9.966566343645486E-2</v>
      </c>
      <c r="S155" s="353">
        <f t="shared" si="23"/>
        <v>-9.5258066407225353E-2</v>
      </c>
      <c r="T155" s="353">
        <f t="shared" si="23"/>
        <v>-9.966566343645486E-2</v>
      </c>
      <c r="U155" s="353">
        <f t="shared" si="23"/>
        <v>-9.966566343645486E-2</v>
      </c>
      <c r="V155" s="353">
        <f t="shared" si="23"/>
        <v>-9.5258066407225353E-2</v>
      </c>
      <c r="W155" s="353">
        <f t="shared" si="23"/>
        <v>-9.5258066407225353E-2</v>
      </c>
      <c r="X155" s="353">
        <f t="shared" si="23"/>
        <v>-9.3279145292061091E-2</v>
      </c>
      <c r="Y155" s="353">
        <f t="shared" si="23"/>
        <v>-9.3279145292061091E-2</v>
      </c>
      <c r="Z155" s="348"/>
      <c r="AA155" s="348"/>
    </row>
    <row r="156" spans="3:27" x14ac:dyDescent="0.25">
      <c r="E156" s="96"/>
      <c r="F156" s="410" t="s">
        <v>46</v>
      </c>
      <c r="G156" s="293" t="s">
        <v>183</v>
      </c>
      <c r="H156" s="348"/>
      <c r="I156" s="348"/>
      <c r="J156" s="353">
        <f t="shared" ref="J156:Y156" si="24">hundred * $H22 * J59 / $H47 * J85 * (1 - J71) / hours_in_year</f>
        <v>1.3557730753056794</v>
      </c>
      <c r="K156" s="353">
        <f t="shared" si="24"/>
        <v>1.3557730753056794</v>
      </c>
      <c r="L156" s="353">
        <f t="shared" si="24"/>
        <v>1.6533814257485966</v>
      </c>
      <c r="M156" s="353">
        <f t="shared" si="24"/>
        <v>1.6533814257485966</v>
      </c>
      <c r="N156" s="353">
        <f t="shared" si="24"/>
        <v>1.2038895013736322</v>
      </c>
      <c r="O156" s="353">
        <f t="shared" si="24"/>
        <v>1.1625470906112785</v>
      </c>
      <c r="P156" s="353">
        <f t="shared" si="24"/>
        <v>0.71237384708011253</v>
      </c>
      <c r="Q156" s="353">
        <f t="shared" si="24"/>
        <v>1.8259719186631285</v>
      </c>
      <c r="R156" s="353">
        <f t="shared" si="24"/>
        <v>-1.0174573371533235</v>
      </c>
      <c r="S156" s="353">
        <f t="shared" si="24"/>
        <v>-0.97246148018535117</v>
      </c>
      <c r="T156" s="353">
        <f t="shared" si="24"/>
        <v>-1.0174573371533235</v>
      </c>
      <c r="U156" s="353">
        <f t="shared" si="24"/>
        <v>-1.0174573371533235</v>
      </c>
      <c r="V156" s="353">
        <f t="shared" si="24"/>
        <v>-0.97246148018535117</v>
      </c>
      <c r="W156" s="353">
        <f t="shared" si="24"/>
        <v>-0.97246148018535117</v>
      </c>
      <c r="X156" s="353">
        <f t="shared" si="24"/>
        <v>-0.67188537524431624</v>
      </c>
      <c r="Y156" s="353">
        <f t="shared" si="24"/>
        <v>-0.67188537524431624</v>
      </c>
      <c r="Z156" s="348"/>
      <c r="AA156" s="348"/>
    </row>
    <row r="157" spans="3:27" x14ac:dyDescent="0.25">
      <c r="E157" s="96"/>
      <c r="F157" s="410" t="s">
        <v>47</v>
      </c>
      <c r="G157" s="293" t="s">
        <v>183</v>
      </c>
      <c r="H157" s="348"/>
      <c r="I157" s="348"/>
      <c r="J157" s="353">
        <f t="shared" ref="J157:Y157" si="25">hundred * $H23 * J60 / $H48 * J86 * (1 - J72) / hours_in_year</f>
        <v>0.18992907725870836</v>
      </c>
      <c r="K157" s="353">
        <f t="shared" si="25"/>
        <v>0.18992907725870836</v>
      </c>
      <c r="L157" s="353">
        <f t="shared" si="25"/>
        <v>0.23162077361531677</v>
      </c>
      <c r="M157" s="353">
        <f t="shared" si="25"/>
        <v>0.23162077361531677</v>
      </c>
      <c r="N157" s="353">
        <f t="shared" si="25"/>
        <v>0.16865183877898379</v>
      </c>
      <c r="O157" s="353">
        <f t="shared" si="25"/>
        <v>0.16286021622004343</v>
      </c>
      <c r="P157" s="353">
        <f t="shared" si="25"/>
        <v>0.12119000467968664</v>
      </c>
      <c r="Q157" s="353">
        <f t="shared" si="25"/>
        <v>0.3303430238650934</v>
      </c>
      <c r="R157" s="353">
        <f t="shared" si="25"/>
        <v>-0.14253471817329263</v>
      </c>
      <c r="S157" s="353">
        <f t="shared" si="25"/>
        <v>-0.13623128749595387</v>
      </c>
      <c r="T157" s="353">
        <f t="shared" si="25"/>
        <v>-0.14253471817329263</v>
      </c>
      <c r="U157" s="353">
        <f t="shared" si="25"/>
        <v>-0.14253471817329263</v>
      </c>
      <c r="V157" s="353">
        <f t="shared" si="25"/>
        <v>-0.13623128749595387</v>
      </c>
      <c r="W157" s="353">
        <f t="shared" si="25"/>
        <v>-0.13623128749595387</v>
      </c>
      <c r="X157" s="353">
        <f t="shared" si="25"/>
        <v>-0.11430205095796377</v>
      </c>
      <c r="Y157" s="353">
        <f t="shared" si="25"/>
        <v>-0.11430205095796377</v>
      </c>
      <c r="Z157" s="348"/>
      <c r="AA157" s="348"/>
    </row>
    <row r="158" spans="3:27" x14ac:dyDescent="0.25">
      <c r="E158" s="96"/>
      <c r="F158" s="410" t="s">
        <v>51</v>
      </c>
      <c r="G158" s="293" t="s">
        <v>183</v>
      </c>
      <c r="H158" s="348"/>
      <c r="I158" s="348"/>
      <c r="J158" s="353">
        <f t="shared" ref="J158:Y158" si="26">hundred * $H24 * J61 / $H49 * J87 * (1 - J73) / hours_in_year</f>
        <v>0</v>
      </c>
      <c r="K158" s="353">
        <f t="shared" si="26"/>
        <v>0</v>
      </c>
      <c r="L158" s="353">
        <f t="shared" si="26"/>
        <v>0</v>
      </c>
      <c r="M158" s="353">
        <f t="shared" si="26"/>
        <v>0</v>
      </c>
      <c r="N158" s="353">
        <f t="shared" si="26"/>
        <v>0</v>
      </c>
      <c r="O158" s="353">
        <f t="shared" si="26"/>
        <v>0</v>
      </c>
      <c r="P158" s="353">
        <f t="shared" si="26"/>
        <v>0</v>
      </c>
      <c r="Q158" s="353">
        <f t="shared" si="26"/>
        <v>0</v>
      </c>
      <c r="R158" s="353">
        <f t="shared" si="26"/>
        <v>0</v>
      </c>
      <c r="S158" s="353">
        <f t="shared" si="26"/>
        <v>0</v>
      </c>
      <c r="T158" s="353">
        <f t="shared" si="26"/>
        <v>0</v>
      </c>
      <c r="U158" s="353">
        <f t="shared" si="26"/>
        <v>0</v>
      </c>
      <c r="V158" s="353">
        <f t="shared" si="26"/>
        <v>0</v>
      </c>
      <c r="W158" s="353">
        <f t="shared" si="26"/>
        <v>0</v>
      </c>
      <c r="X158" s="353">
        <f t="shared" si="26"/>
        <v>0</v>
      </c>
      <c r="Y158" s="353">
        <f t="shared" si="26"/>
        <v>0</v>
      </c>
      <c r="Z158" s="348"/>
      <c r="AA158" s="348"/>
    </row>
    <row r="159" spans="3:27" x14ac:dyDescent="0.25">
      <c r="E159" s="96"/>
      <c r="F159" s="410" t="s">
        <v>48</v>
      </c>
      <c r="G159" s="293" t="s">
        <v>183</v>
      </c>
      <c r="H159" s="348"/>
      <c r="I159" s="348"/>
      <c r="J159" s="353">
        <f t="shared" ref="J159:Y159" si="27">hundred * $H25 * J62 / $H50 * J88 * (1 - J74) / hours_in_year</f>
        <v>1.0501084605733282</v>
      </c>
      <c r="K159" s="353">
        <f t="shared" si="27"/>
        <v>1.0501084605733282</v>
      </c>
      <c r="L159" s="353">
        <f t="shared" si="27"/>
        <v>1.28061978465086</v>
      </c>
      <c r="M159" s="353">
        <f t="shared" si="27"/>
        <v>1.28061978465086</v>
      </c>
      <c r="N159" s="353">
        <f t="shared" si="27"/>
        <v>0.93246766292568561</v>
      </c>
      <c r="O159" s="353">
        <f t="shared" si="27"/>
        <v>0.90044606866865506</v>
      </c>
      <c r="P159" s="353">
        <f t="shared" si="27"/>
        <v>0.30845292591485701</v>
      </c>
      <c r="Q159" s="353">
        <f t="shared" si="27"/>
        <v>1.8264502163594121</v>
      </c>
      <c r="R159" s="353">
        <f t="shared" si="27"/>
        <v>-0.78806739673320203</v>
      </c>
      <c r="S159" s="353">
        <f t="shared" si="27"/>
        <v>-0.75321604074048831</v>
      </c>
      <c r="T159" s="353">
        <f t="shared" si="27"/>
        <v>-0.78806739673320203</v>
      </c>
      <c r="U159" s="353">
        <f t="shared" si="27"/>
        <v>-0.78806739673320203</v>
      </c>
      <c r="V159" s="353">
        <f t="shared" si="27"/>
        <v>-0.75321604074048831</v>
      </c>
      <c r="W159" s="353">
        <f t="shared" si="27"/>
        <v>-0.75321604074048831</v>
      </c>
      <c r="X159" s="353">
        <f t="shared" si="27"/>
        <v>0</v>
      </c>
      <c r="Y159" s="353">
        <f t="shared" si="27"/>
        <v>0</v>
      </c>
      <c r="Z159" s="348"/>
      <c r="AA159" s="348"/>
    </row>
    <row r="160" spans="3:27" x14ac:dyDescent="0.25">
      <c r="E160" s="96"/>
      <c r="F160" s="410" t="s">
        <v>49</v>
      </c>
      <c r="G160" s="293" t="s">
        <v>183</v>
      </c>
      <c r="H160" s="348"/>
      <c r="I160" s="348"/>
      <c r="J160" s="353">
        <f t="shared" ref="J160:Y160" si="28">hundred * $H26 * J63 / $H51 * J89 * (1 - J75) / hours_in_year</f>
        <v>0.17621880656341374</v>
      </c>
      <c r="K160" s="353">
        <f t="shared" si="28"/>
        <v>0.17621880656341374</v>
      </c>
      <c r="L160" s="353">
        <f t="shared" si="28"/>
        <v>0.21490093508004085</v>
      </c>
      <c r="M160" s="353">
        <f t="shared" si="28"/>
        <v>0.21490093508004085</v>
      </c>
      <c r="N160" s="353">
        <f t="shared" si="28"/>
        <v>0.15647749245828085</v>
      </c>
      <c r="O160" s="353">
        <f t="shared" si="28"/>
        <v>0.15110394549994952</v>
      </c>
      <c r="P160" s="353">
        <f t="shared" si="28"/>
        <v>0</v>
      </c>
      <c r="Q160" s="353">
        <f t="shared" si="28"/>
        <v>0.30649679481548142</v>
      </c>
      <c r="R160" s="353">
        <f t="shared" si="28"/>
        <v>-0.13224566924071918</v>
      </c>
      <c r="S160" s="353">
        <f t="shared" si="28"/>
        <v>0</v>
      </c>
      <c r="T160" s="353">
        <f t="shared" si="28"/>
        <v>-0.13224566924071918</v>
      </c>
      <c r="U160" s="353">
        <f t="shared" si="28"/>
        <v>-0.13224566924071918</v>
      </c>
      <c r="V160" s="353">
        <f t="shared" si="28"/>
        <v>0</v>
      </c>
      <c r="W160" s="353">
        <f t="shared" si="28"/>
        <v>0</v>
      </c>
      <c r="X160" s="353">
        <f t="shared" si="28"/>
        <v>0</v>
      </c>
      <c r="Y160" s="353">
        <f t="shared" si="28"/>
        <v>0</v>
      </c>
      <c r="Z160" s="348"/>
      <c r="AA160" s="348"/>
    </row>
    <row r="161" spans="3:27" x14ac:dyDescent="0.25">
      <c r="E161" s="96"/>
      <c r="F161" s="412" t="s">
        <v>50</v>
      </c>
      <c r="G161" s="93" t="s">
        <v>183</v>
      </c>
      <c r="H161" s="350"/>
      <c r="I161" s="350"/>
      <c r="J161" s="354">
        <f t="shared" ref="J161:Y161" si="29">hundred * $H27 * J64 / $H52 * J90 * (1 - J76) / hours_in_year</f>
        <v>2.5778855933366498E-2</v>
      </c>
      <c r="K161" s="354">
        <f t="shared" si="29"/>
        <v>2.5778855933366498E-2</v>
      </c>
      <c r="L161" s="354">
        <f t="shared" si="29"/>
        <v>3.1437622087064486E-2</v>
      </c>
      <c r="M161" s="354">
        <f t="shared" si="29"/>
        <v>3.1437622087064486E-2</v>
      </c>
      <c r="N161" s="354">
        <f t="shared" si="29"/>
        <v>2.2890920745424898E-2</v>
      </c>
      <c r="O161" s="354">
        <f t="shared" si="29"/>
        <v>0</v>
      </c>
      <c r="P161" s="354">
        <f t="shared" si="29"/>
        <v>0</v>
      </c>
      <c r="Q161" s="354">
        <f t="shared" si="29"/>
        <v>4.4837079944379264E-2</v>
      </c>
      <c r="R161" s="354">
        <f t="shared" si="29"/>
        <v>0</v>
      </c>
      <c r="S161" s="354">
        <f t="shared" si="29"/>
        <v>0</v>
      </c>
      <c r="T161" s="354">
        <f t="shared" si="29"/>
        <v>0</v>
      </c>
      <c r="U161" s="354">
        <f t="shared" si="29"/>
        <v>0</v>
      </c>
      <c r="V161" s="354">
        <f t="shared" si="29"/>
        <v>0</v>
      </c>
      <c r="W161" s="354">
        <f t="shared" si="29"/>
        <v>0</v>
      </c>
      <c r="X161" s="354">
        <f t="shared" si="29"/>
        <v>0</v>
      </c>
      <c r="Y161" s="354">
        <f t="shared" si="29"/>
        <v>0</v>
      </c>
      <c r="Z161" s="348"/>
      <c r="AA161" s="348"/>
    </row>
    <row r="162" spans="3:27" x14ac:dyDescent="0.25">
      <c r="E162" s="96"/>
      <c r="F162" s="410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2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25">
      <c r="D164" s="96"/>
      <c r="E164" s="96"/>
      <c r="F164" s="409" t="s">
        <v>267</v>
      </c>
      <c r="G164" s="91" t="s">
        <v>183</v>
      </c>
      <c r="H164" s="346"/>
      <c r="I164" s="346"/>
      <c r="J164" s="352">
        <f t="shared" ref="J164:Y164" si="30">hundred * $H30 * J55 / $H43 * J81 / hours_in_year</f>
        <v>1.4154165648811017</v>
      </c>
      <c r="K164" s="352">
        <f t="shared" si="30"/>
        <v>1.4154165648811017</v>
      </c>
      <c r="L164" s="352">
        <f t="shared" si="30"/>
        <v>1.7261173722185463</v>
      </c>
      <c r="M164" s="352">
        <f t="shared" si="30"/>
        <v>1.7261173722185463</v>
      </c>
      <c r="N164" s="352">
        <f t="shared" si="30"/>
        <v>1.2568512928658766</v>
      </c>
      <c r="O164" s="352">
        <f t="shared" si="30"/>
        <v>1.2136901369976942</v>
      </c>
      <c r="P164" s="352">
        <f t="shared" si="30"/>
        <v>1.0540598040546294</v>
      </c>
      <c r="Q164" s="352">
        <f t="shared" si="30"/>
        <v>2.4972649758120196</v>
      </c>
      <c r="R164" s="352">
        <f t="shared" si="30"/>
        <v>-1.062217560812625</v>
      </c>
      <c r="S164" s="352">
        <f t="shared" si="30"/>
        <v>-1.0152422354698283</v>
      </c>
      <c r="T164" s="352">
        <f t="shared" si="30"/>
        <v>-1.062217560812625</v>
      </c>
      <c r="U164" s="352">
        <f t="shared" si="30"/>
        <v>-1.062217560812625</v>
      </c>
      <c r="V164" s="352">
        <f t="shared" si="30"/>
        <v>-1.0152422354698283</v>
      </c>
      <c r="W164" s="352">
        <f t="shared" si="30"/>
        <v>-1.0152422354698283</v>
      </c>
      <c r="X164" s="352">
        <f t="shared" si="30"/>
        <v>-0.99415127307102158</v>
      </c>
      <c r="Y164" s="352">
        <f t="shared" si="30"/>
        <v>-0.99415127307102158</v>
      </c>
      <c r="Z164" s="348"/>
      <c r="AA164" s="348"/>
    </row>
    <row r="165" spans="3:27" x14ac:dyDescent="0.25">
      <c r="D165" s="96"/>
      <c r="E165" s="96"/>
      <c r="F165" s="410" t="s">
        <v>43</v>
      </c>
      <c r="G165" s="293" t="s">
        <v>183</v>
      </c>
      <c r="H165" s="348"/>
      <c r="I165" s="348"/>
      <c r="J165" s="353">
        <f t="shared" ref="J165:Y165" si="31">hundred * $H31 * J56 / $H44 * J82 / hours_in_year</f>
        <v>0</v>
      </c>
      <c r="K165" s="353">
        <f t="shared" si="31"/>
        <v>0</v>
      </c>
      <c r="L165" s="353">
        <f t="shared" si="31"/>
        <v>0</v>
      </c>
      <c r="M165" s="353">
        <f t="shared" si="31"/>
        <v>0</v>
      </c>
      <c r="N165" s="353">
        <f t="shared" si="31"/>
        <v>0</v>
      </c>
      <c r="O165" s="353">
        <f t="shared" si="31"/>
        <v>0</v>
      </c>
      <c r="P165" s="353">
        <f t="shared" si="31"/>
        <v>0</v>
      </c>
      <c r="Q165" s="353">
        <f t="shared" si="31"/>
        <v>0</v>
      </c>
      <c r="R165" s="353">
        <f t="shared" si="31"/>
        <v>0</v>
      </c>
      <c r="S165" s="353">
        <f t="shared" si="31"/>
        <v>0</v>
      </c>
      <c r="T165" s="353">
        <f t="shared" si="31"/>
        <v>0</v>
      </c>
      <c r="U165" s="353">
        <f t="shared" si="31"/>
        <v>0</v>
      </c>
      <c r="V165" s="353">
        <f t="shared" si="31"/>
        <v>0</v>
      </c>
      <c r="W165" s="353">
        <f t="shared" si="31"/>
        <v>0</v>
      </c>
      <c r="X165" s="353">
        <f t="shared" si="31"/>
        <v>0</v>
      </c>
      <c r="Y165" s="353">
        <f t="shared" si="31"/>
        <v>0</v>
      </c>
      <c r="Z165" s="348"/>
      <c r="AA165" s="348"/>
    </row>
    <row r="166" spans="3:27" x14ac:dyDescent="0.25">
      <c r="D166" s="96"/>
      <c r="E166" s="96"/>
      <c r="F166" s="410" t="s">
        <v>44</v>
      </c>
      <c r="G166" s="293" t="s">
        <v>183</v>
      </c>
      <c r="H166" s="348"/>
      <c r="I166" s="348"/>
      <c r="J166" s="353">
        <f t="shared" ref="J166:Y166" si="32">hundred * $H32 * J57 / $H45 * J83 / hours_in_year</f>
        <v>1.5548175567685769</v>
      </c>
      <c r="K166" s="353">
        <f t="shared" si="32"/>
        <v>1.5548175567685769</v>
      </c>
      <c r="L166" s="353">
        <f t="shared" si="32"/>
        <v>1.8961185434438386</v>
      </c>
      <c r="M166" s="353">
        <f t="shared" si="32"/>
        <v>1.8961185434438386</v>
      </c>
      <c r="N166" s="353">
        <f t="shared" si="32"/>
        <v>1.3806355703907596</v>
      </c>
      <c r="O166" s="353">
        <f t="shared" si="32"/>
        <v>1.3332235755198976</v>
      </c>
      <c r="P166" s="353">
        <f t="shared" si="32"/>
        <v>1.1578716329110168</v>
      </c>
      <c r="Q166" s="353">
        <f t="shared" si="32"/>
        <v>2.7432146299785227</v>
      </c>
      <c r="R166" s="353">
        <f t="shared" si="32"/>
        <v>-1.1668328276192648</v>
      </c>
      <c r="S166" s="353">
        <f t="shared" si="32"/>
        <v>-1.1152310148454885</v>
      </c>
      <c r="T166" s="353">
        <f t="shared" si="32"/>
        <v>-1.1668328276192648</v>
      </c>
      <c r="U166" s="353">
        <f t="shared" si="32"/>
        <v>-1.1668328276192648</v>
      </c>
      <c r="V166" s="353">
        <f t="shared" si="32"/>
        <v>-1.1152310148454885</v>
      </c>
      <c r="W166" s="353">
        <f t="shared" si="32"/>
        <v>-1.1152310148454885</v>
      </c>
      <c r="X166" s="353">
        <f t="shared" si="32"/>
        <v>-1.0920628540082828</v>
      </c>
      <c r="Y166" s="353">
        <f t="shared" si="32"/>
        <v>-1.0920628540082828</v>
      </c>
      <c r="Z166" s="348"/>
      <c r="AA166" s="348"/>
    </row>
    <row r="167" spans="3:27" x14ac:dyDescent="0.25">
      <c r="D167" s="96"/>
      <c r="E167" s="96"/>
      <c r="F167" s="410" t="s">
        <v>45</v>
      </c>
      <c r="G167" s="293" t="s">
        <v>183</v>
      </c>
      <c r="H167" s="348"/>
      <c r="I167" s="348"/>
      <c r="J167" s="353">
        <f t="shared" ref="J167:Y167" si="33">hundred * $H33 * J58 / $H46 * J84 / hours_in_year</f>
        <v>8.82886711717316E-2</v>
      </c>
      <c r="K167" s="353">
        <f t="shared" si="33"/>
        <v>8.82886711717316E-2</v>
      </c>
      <c r="L167" s="353">
        <f t="shared" si="33"/>
        <v>0.10766908686872573</v>
      </c>
      <c r="M167" s="353">
        <f t="shared" si="33"/>
        <v>0.10766908686872573</v>
      </c>
      <c r="N167" s="353">
        <f t="shared" si="33"/>
        <v>7.8397931224524361E-2</v>
      </c>
      <c r="O167" s="353">
        <f t="shared" si="33"/>
        <v>7.5705691220848859E-2</v>
      </c>
      <c r="P167" s="353">
        <f t="shared" si="33"/>
        <v>6.5748516545965668E-2</v>
      </c>
      <c r="Q167" s="353">
        <f t="shared" si="33"/>
        <v>0.11890827250667815</v>
      </c>
      <c r="R167" s="353">
        <f t="shared" si="33"/>
        <v>-6.6257368513489553E-2</v>
      </c>
      <c r="S167" s="353">
        <f t="shared" si="33"/>
        <v>-6.3327214129770243E-2</v>
      </c>
      <c r="T167" s="353">
        <f t="shared" si="33"/>
        <v>-6.6257368513489553E-2</v>
      </c>
      <c r="U167" s="353">
        <f t="shared" si="33"/>
        <v>-6.6257368513489553E-2</v>
      </c>
      <c r="V167" s="353">
        <f t="shared" si="33"/>
        <v>-6.3327214129770243E-2</v>
      </c>
      <c r="W167" s="353">
        <f t="shared" si="33"/>
        <v>-6.3327214129770243E-2</v>
      </c>
      <c r="X167" s="353">
        <f t="shared" si="33"/>
        <v>-6.2011634610549329E-2</v>
      </c>
      <c r="Y167" s="353">
        <f t="shared" si="33"/>
        <v>-6.2011634610549329E-2</v>
      </c>
      <c r="Z167" s="348"/>
      <c r="AA167" s="348"/>
    </row>
    <row r="168" spans="3:27" x14ac:dyDescent="0.25">
      <c r="D168" s="96"/>
      <c r="E168" s="96"/>
      <c r="F168" s="410" t="s">
        <v>46</v>
      </c>
      <c r="G168" s="293" t="s">
        <v>183</v>
      </c>
      <c r="H168" s="348"/>
      <c r="I168" s="348"/>
      <c r="J168" s="353">
        <f t="shared" ref="J168:Y168" si="34">hundred * $H34 * J59 / $H47 * J85 / hours_in_year</f>
        <v>0.90131298156129236</v>
      </c>
      <c r="K168" s="353">
        <f t="shared" si="34"/>
        <v>0.90131298156129236</v>
      </c>
      <c r="L168" s="353">
        <f t="shared" si="34"/>
        <v>1.0991619243976629</v>
      </c>
      <c r="M168" s="353">
        <f t="shared" si="34"/>
        <v>1.0991619243976629</v>
      </c>
      <c r="N168" s="353">
        <f t="shared" si="34"/>
        <v>0.80034133714357636</v>
      </c>
      <c r="O168" s="353">
        <f t="shared" si="34"/>
        <v>0.77285705368356816</v>
      </c>
      <c r="P168" s="353">
        <f t="shared" si="34"/>
        <v>0.67120719674225016</v>
      </c>
      <c r="Q168" s="353">
        <f t="shared" si="34"/>
        <v>1.2138994528169058</v>
      </c>
      <c r="R168" s="353">
        <f t="shared" si="34"/>
        <v>-0.67640191626781854</v>
      </c>
      <c r="S168" s="353">
        <f t="shared" si="34"/>
        <v>-0.64648883513323108</v>
      </c>
      <c r="T168" s="353">
        <f t="shared" si="34"/>
        <v>-0.67640191626781854</v>
      </c>
      <c r="U168" s="353">
        <f t="shared" si="34"/>
        <v>-0.67640191626781854</v>
      </c>
      <c r="V168" s="353">
        <f t="shared" si="34"/>
        <v>-0.64648883513323108</v>
      </c>
      <c r="W168" s="353">
        <f t="shared" si="34"/>
        <v>-0.64648883513323108</v>
      </c>
      <c r="X168" s="353">
        <f t="shared" si="34"/>
        <v>-0.63305847217484457</v>
      </c>
      <c r="Y168" s="353">
        <f t="shared" si="34"/>
        <v>-0.63305847217484457</v>
      </c>
      <c r="Z168" s="348"/>
      <c r="AA168" s="348"/>
    </row>
    <row r="169" spans="3:27" x14ac:dyDescent="0.25">
      <c r="D169" s="96"/>
      <c r="E169" s="96"/>
      <c r="F169" s="410" t="s">
        <v>47</v>
      </c>
      <c r="G169" s="293" t="s">
        <v>183</v>
      </c>
      <c r="H169" s="348"/>
      <c r="I169" s="348"/>
      <c r="J169" s="353">
        <f t="shared" ref="J169:Y169" si="35">hundred * $H35 * J60 / $H48 * J86 / hours_in_year</f>
        <v>0.12626415587330883</v>
      </c>
      <c r="K169" s="353">
        <f t="shared" si="35"/>
        <v>0.12626415587330883</v>
      </c>
      <c r="L169" s="353">
        <f t="shared" si="35"/>
        <v>0.15398064311882403</v>
      </c>
      <c r="M169" s="353">
        <f t="shared" si="35"/>
        <v>0.15398064311882403</v>
      </c>
      <c r="N169" s="353">
        <f t="shared" si="35"/>
        <v>0.11211912555602847</v>
      </c>
      <c r="O169" s="353">
        <f t="shared" si="35"/>
        <v>0.10826887606239606</v>
      </c>
      <c r="P169" s="353">
        <f t="shared" si="35"/>
        <v>9.4028835539396796E-2</v>
      </c>
      <c r="Q169" s="353">
        <f t="shared" si="35"/>
        <v>0.21961083399645631</v>
      </c>
      <c r="R169" s="353">
        <f t="shared" si="35"/>
        <v>-9.4756559303852406E-2</v>
      </c>
      <c r="S169" s="353">
        <f t="shared" si="35"/>
        <v>-9.0566061645108012E-2</v>
      </c>
      <c r="T169" s="353">
        <f t="shared" si="35"/>
        <v>-9.4756559303852406E-2</v>
      </c>
      <c r="U169" s="353">
        <f t="shared" si="35"/>
        <v>-9.4756559303852406E-2</v>
      </c>
      <c r="V169" s="353">
        <f t="shared" si="35"/>
        <v>-9.0566061645108012E-2</v>
      </c>
      <c r="W169" s="353">
        <f t="shared" si="35"/>
        <v>-9.0566061645108012E-2</v>
      </c>
      <c r="X169" s="353">
        <f t="shared" si="35"/>
        <v>-8.8684613716692173E-2</v>
      </c>
      <c r="Y169" s="353">
        <f t="shared" si="35"/>
        <v>-8.8684613716692173E-2</v>
      </c>
      <c r="Z169" s="348"/>
      <c r="AA169" s="348"/>
    </row>
    <row r="170" spans="3:27" x14ac:dyDescent="0.25">
      <c r="D170" s="96"/>
      <c r="E170" s="96"/>
      <c r="F170" s="410" t="s">
        <v>51</v>
      </c>
      <c r="G170" s="293" t="s">
        <v>183</v>
      </c>
      <c r="H170" s="348"/>
      <c r="I170" s="348"/>
      <c r="J170" s="353">
        <f t="shared" ref="J170:Y170" si="36">hundred * $H36 * J61 / $H49 * J87 / hours_in_year</f>
        <v>0</v>
      </c>
      <c r="K170" s="353">
        <f t="shared" si="36"/>
        <v>0</v>
      </c>
      <c r="L170" s="353">
        <f t="shared" si="36"/>
        <v>0</v>
      </c>
      <c r="M170" s="353">
        <f t="shared" si="36"/>
        <v>0</v>
      </c>
      <c r="N170" s="353">
        <f t="shared" si="36"/>
        <v>0</v>
      </c>
      <c r="O170" s="353">
        <f t="shared" si="36"/>
        <v>0</v>
      </c>
      <c r="P170" s="353">
        <f t="shared" si="36"/>
        <v>0</v>
      </c>
      <c r="Q170" s="353">
        <f t="shared" si="36"/>
        <v>0</v>
      </c>
      <c r="R170" s="353">
        <f t="shared" si="36"/>
        <v>0</v>
      </c>
      <c r="S170" s="353">
        <f t="shared" si="36"/>
        <v>0</v>
      </c>
      <c r="T170" s="353">
        <f t="shared" si="36"/>
        <v>0</v>
      </c>
      <c r="U170" s="353">
        <f t="shared" si="36"/>
        <v>0</v>
      </c>
      <c r="V170" s="353">
        <f t="shared" si="36"/>
        <v>0</v>
      </c>
      <c r="W170" s="353">
        <f t="shared" si="36"/>
        <v>0</v>
      </c>
      <c r="X170" s="353">
        <f t="shared" si="36"/>
        <v>0</v>
      </c>
      <c r="Y170" s="353">
        <f t="shared" si="36"/>
        <v>0</v>
      </c>
      <c r="Z170" s="348"/>
      <c r="AA170" s="348"/>
    </row>
    <row r="171" spans="3:27" x14ac:dyDescent="0.25">
      <c r="D171" s="96"/>
      <c r="E171" s="96"/>
      <c r="F171" s="410" t="s">
        <v>48</v>
      </c>
      <c r="G171" s="293" t="s">
        <v>183</v>
      </c>
      <c r="H171" s="348"/>
      <c r="I171" s="348"/>
      <c r="J171" s="353">
        <f t="shared" ref="J171:Y171" si="37">hundred * $H37 * J62 / $H50 * J88 / hours_in_year</f>
        <v>1.0363090636290471</v>
      </c>
      <c r="K171" s="353">
        <f t="shared" si="37"/>
        <v>1.0363090636290471</v>
      </c>
      <c r="L171" s="353">
        <f t="shared" si="37"/>
        <v>1.2637912555925865</v>
      </c>
      <c r="M171" s="353">
        <f t="shared" si="37"/>
        <v>1.2637912555925865</v>
      </c>
      <c r="N171" s="353">
        <f t="shared" si="37"/>
        <v>0.92021417492751034</v>
      </c>
      <c r="O171" s="353">
        <f t="shared" si="37"/>
        <v>0.88861337405186058</v>
      </c>
      <c r="P171" s="353">
        <f t="shared" si="37"/>
        <v>0.77173869209353785</v>
      </c>
      <c r="Q171" s="353">
        <f t="shared" si="37"/>
        <v>1.8024489703159789</v>
      </c>
      <c r="R171" s="353">
        <f t="shared" si="37"/>
        <v>-0.77771146186107432</v>
      </c>
      <c r="S171" s="353">
        <f t="shared" si="37"/>
        <v>-0.74331808493761498</v>
      </c>
      <c r="T171" s="353">
        <f t="shared" si="37"/>
        <v>-0.77771146186107432</v>
      </c>
      <c r="U171" s="353">
        <f t="shared" si="37"/>
        <v>-0.77771146186107432</v>
      </c>
      <c r="V171" s="353">
        <f t="shared" si="37"/>
        <v>-0.74331808493761498</v>
      </c>
      <c r="W171" s="353">
        <f t="shared" si="37"/>
        <v>-0.74331808493761498</v>
      </c>
      <c r="X171" s="353">
        <f t="shared" si="37"/>
        <v>0</v>
      </c>
      <c r="Y171" s="353">
        <f t="shared" si="37"/>
        <v>0</v>
      </c>
      <c r="Z171" s="348"/>
      <c r="AA171" s="348"/>
    </row>
    <row r="172" spans="3:27" x14ac:dyDescent="0.25">
      <c r="D172" s="96"/>
      <c r="E172" s="96"/>
      <c r="F172" s="410" t="s">
        <v>49</v>
      </c>
      <c r="G172" s="293" t="s">
        <v>183</v>
      </c>
      <c r="H172" s="348"/>
      <c r="I172" s="348"/>
      <c r="J172" s="353">
        <f t="shared" ref="J172:Y172" si="38">hundred * $H38 * J63 / $H51 * J89 / hours_in_year</f>
        <v>0.4053239231578622</v>
      </c>
      <c r="K172" s="353">
        <f t="shared" si="38"/>
        <v>0.4053239231578622</v>
      </c>
      <c r="L172" s="353">
        <f t="shared" si="38"/>
        <v>0.49429735563207311</v>
      </c>
      <c r="M172" s="353">
        <f t="shared" si="38"/>
        <v>0.49429735563207311</v>
      </c>
      <c r="N172" s="353">
        <f t="shared" si="38"/>
        <v>0.35991658532922555</v>
      </c>
      <c r="O172" s="353">
        <f t="shared" si="38"/>
        <v>0.34755679708131182</v>
      </c>
      <c r="P172" s="353">
        <f t="shared" si="38"/>
        <v>0</v>
      </c>
      <c r="Q172" s="353">
        <f t="shared" si="38"/>
        <v>0.70497857596837099</v>
      </c>
      <c r="R172" s="353">
        <f t="shared" si="38"/>
        <v>-0.30418054986654386</v>
      </c>
      <c r="S172" s="353">
        <f t="shared" si="38"/>
        <v>0</v>
      </c>
      <c r="T172" s="353">
        <f t="shared" si="38"/>
        <v>-0.30418054986654386</v>
      </c>
      <c r="U172" s="353">
        <f t="shared" si="38"/>
        <v>-0.30418054986654386</v>
      </c>
      <c r="V172" s="353">
        <f t="shared" si="38"/>
        <v>0</v>
      </c>
      <c r="W172" s="353">
        <f t="shared" si="38"/>
        <v>0</v>
      </c>
      <c r="X172" s="353">
        <f t="shared" si="38"/>
        <v>0</v>
      </c>
      <c r="Y172" s="353">
        <f t="shared" si="38"/>
        <v>0</v>
      </c>
      <c r="Z172" s="348"/>
      <c r="AA172" s="348"/>
    </row>
    <row r="173" spans="3:27" x14ac:dyDescent="0.25">
      <c r="D173" s="96"/>
      <c r="E173" s="96"/>
      <c r="F173" s="412" t="s">
        <v>50</v>
      </c>
      <c r="G173" s="93" t="s">
        <v>183</v>
      </c>
      <c r="H173" s="350"/>
      <c r="I173" s="350"/>
      <c r="J173" s="354">
        <f t="shared" ref="J173:Y173" si="39">hundred * $H39 * J64 / $H52 * J90 / hours_in_year</f>
        <v>0.24818775086725325</v>
      </c>
      <c r="K173" s="354">
        <f t="shared" si="39"/>
        <v>0.24818775086725325</v>
      </c>
      <c r="L173" s="354">
        <f t="shared" si="39"/>
        <v>0.3026679205070637</v>
      </c>
      <c r="M173" s="354">
        <f t="shared" si="39"/>
        <v>0.3026679205070637</v>
      </c>
      <c r="N173" s="354">
        <f t="shared" si="39"/>
        <v>0.22038395147451495</v>
      </c>
      <c r="O173" s="354">
        <f t="shared" si="39"/>
        <v>0</v>
      </c>
      <c r="P173" s="354">
        <f t="shared" si="39"/>
        <v>0</v>
      </c>
      <c r="Q173" s="354">
        <f t="shared" si="39"/>
        <v>0.43167214462948028</v>
      </c>
      <c r="R173" s="354">
        <f t="shared" si="39"/>
        <v>0</v>
      </c>
      <c r="S173" s="354">
        <f t="shared" si="39"/>
        <v>0</v>
      </c>
      <c r="T173" s="354">
        <f t="shared" si="39"/>
        <v>0</v>
      </c>
      <c r="U173" s="354">
        <f t="shared" si="39"/>
        <v>0</v>
      </c>
      <c r="V173" s="354">
        <f t="shared" si="39"/>
        <v>0</v>
      </c>
      <c r="W173" s="354">
        <f t="shared" si="39"/>
        <v>0</v>
      </c>
      <c r="X173" s="354">
        <f t="shared" si="39"/>
        <v>0</v>
      </c>
      <c r="Y173" s="354">
        <f t="shared" si="39"/>
        <v>0</v>
      </c>
      <c r="Z173" s="348"/>
      <c r="AA173" s="348"/>
    </row>
    <row r="174" spans="3:27" x14ac:dyDescent="0.2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25">
      <c r="C175" s="7" t="str">
        <f ca="1">INDEX('Version control'!$H$34:$H$60,MATCH($A$1,'Version control'!$F$34:$F$60,0),1)&amp;"-D: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2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25">
      <c r="D177" s="82" t="s">
        <v>728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2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2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727</v>
      </c>
    </row>
    <row r="180" spans="4:27" x14ac:dyDescent="0.2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25">
      <c r="E181" s="96"/>
      <c r="F181" s="409" t="s">
        <v>267</v>
      </c>
      <c r="G181" s="91" t="s">
        <v>183</v>
      </c>
      <c r="H181" s="346"/>
      <c r="I181" s="346"/>
      <c r="J181" s="352">
        <f t="shared" ref="J181:Y181" si="40">hundred * $H18 * J55 / $H43 * J93 * (1 - J67) / hours_in_year</f>
        <v>0</v>
      </c>
      <c r="K181" s="352">
        <f t="shared" si="40"/>
        <v>0</v>
      </c>
      <c r="L181" s="352">
        <f t="shared" si="40"/>
        <v>0</v>
      </c>
      <c r="M181" s="352">
        <f t="shared" si="40"/>
        <v>0</v>
      </c>
      <c r="N181" s="352">
        <f t="shared" si="40"/>
        <v>0</v>
      </c>
      <c r="O181" s="352">
        <f t="shared" si="40"/>
        <v>0</v>
      </c>
      <c r="P181" s="352">
        <f t="shared" si="40"/>
        <v>0</v>
      </c>
      <c r="Q181" s="352">
        <f t="shared" si="40"/>
        <v>0</v>
      </c>
      <c r="R181" s="352">
        <f t="shared" si="40"/>
        <v>0</v>
      </c>
      <c r="S181" s="352">
        <f t="shared" si="40"/>
        <v>0</v>
      </c>
      <c r="T181" s="352">
        <f t="shared" si="40"/>
        <v>0</v>
      </c>
      <c r="U181" s="352">
        <f t="shared" si="40"/>
        <v>0</v>
      </c>
      <c r="V181" s="352">
        <f t="shared" si="40"/>
        <v>0</v>
      </c>
      <c r="W181" s="352">
        <f t="shared" si="40"/>
        <v>0</v>
      </c>
      <c r="X181" s="352">
        <f t="shared" si="40"/>
        <v>0</v>
      </c>
      <c r="Y181" s="352">
        <f t="shared" si="40"/>
        <v>0</v>
      </c>
      <c r="Z181" s="348"/>
      <c r="AA181" s="348"/>
    </row>
    <row r="182" spans="4:27" x14ac:dyDescent="0.25">
      <c r="E182" s="96"/>
      <c r="F182" s="410" t="s">
        <v>43</v>
      </c>
      <c r="G182" s="293" t="s">
        <v>183</v>
      </c>
      <c r="H182" s="348"/>
      <c r="I182" s="348"/>
      <c r="J182" s="353">
        <f t="shared" ref="J182:Y182" si="41">hundred * $H19 * J56 / $H44 * J94 * (1 - J68) / hours_in_year</f>
        <v>0</v>
      </c>
      <c r="K182" s="353">
        <f t="shared" si="41"/>
        <v>0</v>
      </c>
      <c r="L182" s="353">
        <f t="shared" si="41"/>
        <v>0</v>
      </c>
      <c r="M182" s="353">
        <f t="shared" si="41"/>
        <v>0</v>
      </c>
      <c r="N182" s="353">
        <f t="shared" si="41"/>
        <v>0</v>
      </c>
      <c r="O182" s="353">
        <f t="shared" si="41"/>
        <v>0</v>
      </c>
      <c r="P182" s="353">
        <f t="shared" si="41"/>
        <v>0</v>
      </c>
      <c r="Q182" s="353">
        <f t="shared" si="41"/>
        <v>0</v>
      </c>
      <c r="R182" s="353">
        <f t="shared" si="41"/>
        <v>0</v>
      </c>
      <c r="S182" s="353">
        <f t="shared" si="41"/>
        <v>0</v>
      </c>
      <c r="T182" s="353">
        <f t="shared" si="41"/>
        <v>0</v>
      </c>
      <c r="U182" s="353">
        <f t="shared" si="41"/>
        <v>0</v>
      </c>
      <c r="V182" s="353">
        <f t="shared" si="41"/>
        <v>0</v>
      </c>
      <c r="W182" s="353">
        <f t="shared" si="41"/>
        <v>0</v>
      </c>
      <c r="X182" s="353">
        <f t="shared" si="41"/>
        <v>0</v>
      </c>
      <c r="Y182" s="353">
        <f t="shared" si="41"/>
        <v>0</v>
      </c>
      <c r="Z182" s="348"/>
      <c r="AA182" s="348"/>
    </row>
    <row r="183" spans="4:27" x14ac:dyDescent="0.25">
      <c r="E183" s="96"/>
      <c r="F183" s="410" t="s">
        <v>44</v>
      </c>
      <c r="G183" s="293" t="s">
        <v>183</v>
      </c>
      <c r="H183" s="348"/>
      <c r="I183" s="348"/>
      <c r="J183" s="353">
        <f t="shared" ref="J183:Y183" si="42">hundred * $H20 * J57 / $H45 * J95 * (1 - J69) / hours_in_year</f>
        <v>0.20751984749562136</v>
      </c>
      <c r="K183" s="353">
        <f t="shared" si="42"/>
        <v>0.20751984749562136</v>
      </c>
      <c r="L183" s="353">
        <f t="shared" si="42"/>
        <v>0.25307292759600092</v>
      </c>
      <c r="M183" s="353">
        <f t="shared" si="42"/>
        <v>0.25307292759600092</v>
      </c>
      <c r="N183" s="353">
        <f t="shared" si="42"/>
        <v>0.18427196282114372</v>
      </c>
      <c r="O183" s="353">
        <f t="shared" si="42"/>
        <v>0.17794393423526064</v>
      </c>
      <c r="P183" s="353">
        <f t="shared" si="42"/>
        <v>0.15453989674556035</v>
      </c>
      <c r="Q183" s="353">
        <f t="shared" si="42"/>
        <v>0.34185700419544779</v>
      </c>
      <c r="R183" s="353">
        <f t="shared" si="42"/>
        <v>-0.15573593788308079</v>
      </c>
      <c r="S183" s="353">
        <f t="shared" si="42"/>
        <v>-0.14884869875287235</v>
      </c>
      <c r="T183" s="353">
        <f t="shared" si="42"/>
        <v>-0.15573593788308079</v>
      </c>
      <c r="U183" s="353">
        <f t="shared" si="42"/>
        <v>-0.15573593788308079</v>
      </c>
      <c r="V183" s="353">
        <f t="shared" si="42"/>
        <v>-0.14884869875287235</v>
      </c>
      <c r="W183" s="353">
        <f t="shared" si="42"/>
        <v>-0.14884869875287235</v>
      </c>
      <c r="X183" s="353">
        <f t="shared" si="42"/>
        <v>-0.14575646893930932</v>
      </c>
      <c r="Y183" s="353">
        <f t="shared" si="42"/>
        <v>-0.14575646893930932</v>
      </c>
      <c r="Z183" s="348"/>
      <c r="AA183" s="348"/>
    </row>
    <row r="184" spans="4:27" x14ac:dyDescent="0.25">
      <c r="E184" s="96"/>
      <c r="F184" s="410" t="s">
        <v>45</v>
      </c>
      <c r="G184" s="293" t="s">
        <v>183</v>
      </c>
      <c r="H184" s="348"/>
      <c r="I184" s="348"/>
      <c r="J184" s="353">
        <f t="shared" ref="J184:Y184" si="43">hundred * $H21 * J58 / $H46 * J96 * (1 - J70) / hours_in_year</f>
        <v>2.852888613770312E-2</v>
      </c>
      <c r="K184" s="353">
        <f t="shared" si="43"/>
        <v>2.852888613770312E-2</v>
      </c>
      <c r="L184" s="353">
        <f t="shared" si="43"/>
        <v>3.4791316700798151E-2</v>
      </c>
      <c r="M184" s="353">
        <f t="shared" si="43"/>
        <v>3.4791316700798151E-2</v>
      </c>
      <c r="N184" s="353">
        <f t="shared" si="43"/>
        <v>2.5332872537921439E-2</v>
      </c>
      <c r="O184" s="353">
        <f t="shared" si="43"/>
        <v>2.4462923908036303E-2</v>
      </c>
      <c r="P184" s="353">
        <f t="shared" si="43"/>
        <v>2.1245443128419392E-2</v>
      </c>
      <c r="Q184" s="353">
        <f t="shared" si="43"/>
        <v>3.6824008546511994E-2</v>
      </c>
      <c r="R184" s="353">
        <f t="shared" si="43"/>
        <v>-2.1409869431927776E-2</v>
      </c>
      <c r="S184" s="353">
        <f t="shared" si="43"/>
        <v>-2.0463043076183678E-2</v>
      </c>
      <c r="T184" s="353">
        <f t="shared" si="43"/>
        <v>-2.1409869431927776E-2</v>
      </c>
      <c r="U184" s="353">
        <f t="shared" si="43"/>
        <v>-2.1409869431927776E-2</v>
      </c>
      <c r="V184" s="353">
        <f t="shared" si="43"/>
        <v>-2.0463043076183678E-2</v>
      </c>
      <c r="W184" s="353">
        <f t="shared" si="43"/>
        <v>-2.0463043076183678E-2</v>
      </c>
      <c r="X184" s="353">
        <f t="shared" si="43"/>
        <v>-2.0037937365441429E-2</v>
      </c>
      <c r="Y184" s="353">
        <f t="shared" si="43"/>
        <v>-2.0037937365441429E-2</v>
      </c>
      <c r="Z184" s="348"/>
      <c r="AA184" s="348"/>
    </row>
    <row r="185" spans="4:27" x14ac:dyDescent="0.25">
      <c r="E185" s="96"/>
      <c r="F185" s="410" t="s">
        <v>46</v>
      </c>
      <c r="G185" s="293" t="s">
        <v>183</v>
      </c>
      <c r="H185" s="348"/>
      <c r="I185" s="348"/>
      <c r="J185" s="353">
        <f t="shared" ref="J185:Y185" si="44">hundred * $H22 * J59 / $H47 * J97 * (1 - J71) / hours_in_year</f>
        <v>0.29124297697696916</v>
      </c>
      <c r="K185" s="353">
        <f t="shared" si="44"/>
        <v>0.29124297697696916</v>
      </c>
      <c r="L185" s="353">
        <f t="shared" si="44"/>
        <v>0.35517428195339951</v>
      </c>
      <c r="M185" s="353">
        <f t="shared" si="44"/>
        <v>0.35517428195339951</v>
      </c>
      <c r="N185" s="353">
        <f t="shared" si="44"/>
        <v>0.25861581758608249</v>
      </c>
      <c r="O185" s="353">
        <f t="shared" si="44"/>
        <v>0.24973476882862891</v>
      </c>
      <c r="P185" s="353">
        <f t="shared" si="44"/>
        <v>0.15302994558832791</v>
      </c>
      <c r="Q185" s="353">
        <f t="shared" si="44"/>
        <v>0.37592543296451897</v>
      </c>
      <c r="R185" s="353">
        <f t="shared" si="44"/>
        <v>-0.21856703693041132</v>
      </c>
      <c r="S185" s="353">
        <f t="shared" si="44"/>
        <v>-0.20890116616363313</v>
      </c>
      <c r="T185" s="353">
        <f t="shared" si="44"/>
        <v>-0.21856703693041132</v>
      </c>
      <c r="U185" s="353">
        <f t="shared" si="44"/>
        <v>-0.21856703693041132</v>
      </c>
      <c r="V185" s="353">
        <f t="shared" si="44"/>
        <v>-0.20890116616363313</v>
      </c>
      <c r="W185" s="353">
        <f t="shared" si="44"/>
        <v>-0.20890116616363313</v>
      </c>
      <c r="X185" s="353">
        <f t="shared" si="44"/>
        <v>-0.14433233734880246</v>
      </c>
      <c r="Y185" s="353">
        <f t="shared" si="44"/>
        <v>-0.14433233734880246</v>
      </c>
      <c r="Z185" s="348"/>
      <c r="AA185" s="348"/>
    </row>
    <row r="186" spans="4:27" x14ac:dyDescent="0.25">
      <c r="E186" s="96"/>
      <c r="F186" s="410" t="s">
        <v>47</v>
      </c>
      <c r="G186" s="293" t="s">
        <v>183</v>
      </c>
      <c r="H186" s="348"/>
      <c r="I186" s="348"/>
      <c r="J186" s="353">
        <f t="shared" ref="J186:Y186" si="45">hundred * $H23 * J60 / $H48 * J98 * (1 - J72) / hours_in_year</f>
        <v>5.9471709866842984E-2</v>
      </c>
      <c r="K186" s="353">
        <f t="shared" si="45"/>
        <v>5.9471709866842984E-2</v>
      </c>
      <c r="L186" s="353">
        <f t="shared" si="45"/>
        <v>7.2526459067774218E-2</v>
      </c>
      <c r="M186" s="353">
        <f t="shared" si="45"/>
        <v>7.2526459067774218E-2</v>
      </c>
      <c r="N186" s="353">
        <f t="shared" si="45"/>
        <v>5.2809255797684439E-2</v>
      </c>
      <c r="O186" s="353">
        <f t="shared" si="45"/>
        <v>5.0995748874706072E-2</v>
      </c>
      <c r="P186" s="353">
        <f t="shared" si="45"/>
        <v>3.7947727125816927E-2</v>
      </c>
      <c r="Q186" s="353">
        <f t="shared" si="45"/>
        <v>6.3154122245249869E-2</v>
      </c>
      <c r="R186" s="353">
        <f t="shared" si="45"/>
        <v>-4.4631309368221683E-2</v>
      </c>
      <c r="S186" s="353">
        <f t="shared" si="45"/>
        <v>-4.2657542076666749E-2</v>
      </c>
      <c r="T186" s="353">
        <f t="shared" si="45"/>
        <v>-4.4631309368221683E-2</v>
      </c>
      <c r="U186" s="353">
        <f t="shared" si="45"/>
        <v>-4.4631309368221683E-2</v>
      </c>
      <c r="V186" s="353">
        <f t="shared" si="45"/>
        <v>-4.2657542076666749E-2</v>
      </c>
      <c r="W186" s="353">
        <f t="shared" si="45"/>
        <v>-4.2657542076666749E-2</v>
      </c>
      <c r="X186" s="353">
        <f t="shared" si="45"/>
        <v>-3.5790930540339064E-2</v>
      </c>
      <c r="Y186" s="353">
        <f t="shared" si="45"/>
        <v>-3.5790930540339064E-2</v>
      </c>
      <c r="Z186" s="348"/>
      <c r="AA186" s="348"/>
    </row>
    <row r="187" spans="4:27" x14ac:dyDescent="0.25">
      <c r="E187" s="96"/>
      <c r="F187" s="410" t="s">
        <v>51</v>
      </c>
      <c r="G187" s="293" t="s">
        <v>183</v>
      </c>
      <c r="H187" s="348"/>
      <c r="I187" s="348"/>
      <c r="J187" s="353">
        <f t="shared" ref="J187:Y187" si="46">hundred * $H24 * J61 / $H49 * J99 * (1 - J73) / hours_in_year</f>
        <v>0</v>
      </c>
      <c r="K187" s="353">
        <f t="shared" si="46"/>
        <v>0</v>
      </c>
      <c r="L187" s="353">
        <f t="shared" si="46"/>
        <v>0</v>
      </c>
      <c r="M187" s="353">
        <f t="shared" si="46"/>
        <v>0</v>
      </c>
      <c r="N187" s="353">
        <f t="shared" si="46"/>
        <v>0</v>
      </c>
      <c r="O187" s="353">
        <f t="shared" si="46"/>
        <v>0</v>
      </c>
      <c r="P187" s="353">
        <f t="shared" si="46"/>
        <v>0</v>
      </c>
      <c r="Q187" s="353">
        <f t="shared" si="46"/>
        <v>0</v>
      </c>
      <c r="R187" s="353">
        <f t="shared" si="46"/>
        <v>0</v>
      </c>
      <c r="S187" s="353">
        <f t="shared" si="46"/>
        <v>0</v>
      </c>
      <c r="T187" s="353">
        <f t="shared" si="46"/>
        <v>0</v>
      </c>
      <c r="U187" s="353">
        <f t="shared" si="46"/>
        <v>0</v>
      </c>
      <c r="V187" s="353">
        <f t="shared" si="46"/>
        <v>0</v>
      </c>
      <c r="W187" s="353">
        <f t="shared" si="46"/>
        <v>0</v>
      </c>
      <c r="X187" s="353">
        <f t="shared" si="46"/>
        <v>0</v>
      </c>
      <c r="Y187" s="353">
        <f t="shared" si="46"/>
        <v>0</v>
      </c>
      <c r="Z187" s="348"/>
      <c r="AA187" s="348"/>
    </row>
    <row r="188" spans="4:27" x14ac:dyDescent="0.25">
      <c r="E188" s="96"/>
      <c r="F188" s="410" t="s">
        <v>48</v>
      </c>
      <c r="G188" s="293" t="s">
        <v>183</v>
      </c>
      <c r="H188" s="348"/>
      <c r="I188" s="348"/>
      <c r="J188" s="353">
        <f t="shared" ref="J188:Y188" si="47">hundred * $H25 * J62 / $H50 * J100 * (1 - J74) / hours_in_year</f>
        <v>0.32881613809383498</v>
      </c>
      <c r="K188" s="353">
        <f t="shared" si="47"/>
        <v>0.32881613809383498</v>
      </c>
      <c r="L188" s="353">
        <f t="shared" si="47"/>
        <v>0.40099519979636433</v>
      </c>
      <c r="M188" s="353">
        <f t="shared" si="47"/>
        <v>0.40099519979636433</v>
      </c>
      <c r="N188" s="353">
        <f t="shared" si="47"/>
        <v>0.29197975955093969</v>
      </c>
      <c r="O188" s="353">
        <f t="shared" si="47"/>
        <v>0.28195296960063704</v>
      </c>
      <c r="P188" s="353">
        <f t="shared" si="47"/>
        <v>9.6584594535780041E-2</v>
      </c>
      <c r="Q188" s="353">
        <f t="shared" si="47"/>
        <v>0.34917601373635038</v>
      </c>
      <c r="R188" s="353">
        <f t="shared" si="47"/>
        <v>-0.24676429881347367</v>
      </c>
      <c r="S188" s="353">
        <f t="shared" si="47"/>
        <v>-0.23585143722334714</v>
      </c>
      <c r="T188" s="353">
        <f t="shared" si="47"/>
        <v>-0.24676429881347367</v>
      </c>
      <c r="U188" s="353">
        <f t="shared" si="47"/>
        <v>-0.24676429881347367</v>
      </c>
      <c r="V188" s="353">
        <f t="shared" si="47"/>
        <v>-0.23585143722334714</v>
      </c>
      <c r="W188" s="353">
        <f t="shared" si="47"/>
        <v>-0.23585143722334714</v>
      </c>
      <c r="X188" s="353">
        <f t="shared" si="47"/>
        <v>0</v>
      </c>
      <c r="Y188" s="353">
        <f t="shared" si="47"/>
        <v>0</v>
      </c>
      <c r="Z188" s="348"/>
      <c r="AA188" s="348"/>
    </row>
    <row r="189" spans="4:27" x14ac:dyDescent="0.25">
      <c r="E189" s="96"/>
      <c r="F189" s="410" t="s">
        <v>49</v>
      </c>
      <c r="G189" s="293" t="s">
        <v>183</v>
      </c>
      <c r="H189" s="348"/>
      <c r="I189" s="348"/>
      <c r="J189" s="353">
        <f t="shared" ref="J189:Y189" si="48">hundred * $H26 * J63 / $H51 * J101 * (1 - J75) / hours_in_year</f>
        <v>5.5178669260555001E-2</v>
      </c>
      <c r="K189" s="353">
        <f t="shared" si="48"/>
        <v>5.5178669260555001E-2</v>
      </c>
      <c r="L189" s="353">
        <f t="shared" si="48"/>
        <v>6.7291044876634093E-2</v>
      </c>
      <c r="M189" s="353">
        <f t="shared" si="48"/>
        <v>6.7291044876634093E-2</v>
      </c>
      <c r="N189" s="353">
        <f t="shared" si="48"/>
        <v>4.8997152866140752E-2</v>
      </c>
      <c r="O189" s="353">
        <f t="shared" si="48"/>
        <v>4.7314556234417861E-2</v>
      </c>
      <c r="P189" s="353">
        <f t="shared" si="48"/>
        <v>0</v>
      </c>
      <c r="Q189" s="353">
        <f t="shared" si="48"/>
        <v>5.8595262043308852E-2</v>
      </c>
      <c r="R189" s="353">
        <f t="shared" si="48"/>
        <v>-4.1409541844493553E-2</v>
      </c>
      <c r="S189" s="353">
        <f t="shared" si="48"/>
        <v>0</v>
      </c>
      <c r="T189" s="353">
        <f t="shared" si="48"/>
        <v>-4.1409541844493553E-2</v>
      </c>
      <c r="U189" s="353">
        <f t="shared" si="48"/>
        <v>-4.1409541844493553E-2</v>
      </c>
      <c r="V189" s="353">
        <f t="shared" si="48"/>
        <v>0</v>
      </c>
      <c r="W189" s="353">
        <f t="shared" si="48"/>
        <v>0</v>
      </c>
      <c r="X189" s="353">
        <f t="shared" si="48"/>
        <v>0</v>
      </c>
      <c r="Y189" s="353">
        <f t="shared" si="48"/>
        <v>0</v>
      </c>
      <c r="Z189" s="348"/>
      <c r="AA189" s="348"/>
    </row>
    <row r="190" spans="4:27" x14ac:dyDescent="0.25">
      <c r="E190" s="96"/>
      <c r="F190" s="412" t="s">
        <v>50</v>
      </c>
      <c r="G190" s="93" t="s">
        <v>183</v>
      </c>
      <c r="H190" s="350"/>
      <c r="I190" s="350"/>
      <c r="J190" s="354">
        <f t="shared" ref="J190:Y190" si="49">hundred * $H27 * J64 / $H52 * J102 * (1 - J76) / hours_in_year</f>
        <v>8.0720270055333072E-3</v>
      </c>
      <c r="K190" s="354">
        <f t="shared" si="49"/>
        <v>8.0720270055333072E-3</v>
      </c>
      <c r="L190" s="354">
        <f t="shared" si="49"/>
        <v>9.843933149417906E-3</v>
      </c>
      <c r="M190" s="354">
        <f t="shared" si="49"/>
        <v>9.843933149417906E-3</v>
      </c>
      <c r="N190" s="354">
        <f t="shared" si="49"/>
        <v>7.1677397521520752E-3</v>
      </c>
      <c r="O190" s="354">
        <f t="shared" si="49"/>
        <v>0</v>
      </c>
      <c r="P190" s="354">
        <f t="shared" si="49"/>
        <v>0</v>
      </c>
      <c r="Q190" s="354">
        <f t="shared" si="49"/>
        <v>8.5718366163644692E-3</v>
      </c>
      <c r="R190" s="354">
        <f t="shared" si="49"/>
        <v>0</v>
      </c>
      <c r="S190" s="354">
        <f t="shared" si="49"/>
        <v>0</v>
      </c>
      <c r="T190" s="354">
        <f t="shared" si="49"/>
        <v>0</v>
      </c>
      <c r="U190" s="354">
        <f t="shared" si="49"/>
        <v>0</v>
      </c>
      <c r="V190" s="354">
        <f t="shared" si="49"/>
        <v>0</v>
      </c>
      <c r="W190" s="354">
        <f t="shared" si="49"/>
        <v>0</v>
      </c>
      <c r="X190" s="354">
        <f t="shared" si="49"/>
        <v>0</v>
      </c>
      <c r="Y190" s="354">
        <f t="shared" si="49"/>
        <v>0</v>
      </c>
      <c r="Z190" s="348"/>
      <c r="AA190" s="348"/>
    </row>
    <row r="191" spans="4:27" x14ac:dyDescent="0.25">
      <c r="E191" s="96"/>
      <c r="F191" s="410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2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25">
      <c r="D193" s="96"/>
      <c r="E193" s="96"/>
      <c r="F193" s="409" t="s">
        <v>267</v>
      </c>
      <c r="G193" s="91" t="s">
        <v>183</v>
      </c>
      <c r="H193" s="346"/>
      <c r="I193" s="346"/>
      <c r="J193" s="352">
        <f t="shared" ref="J193:Y193" si="50">hundred * $H30 * J55 / $H43 * J93 / hours_in_year</f>
        <v>0.12558943275634141</v>
      </c>
      <c r="K193" s="352">
        <f t="shared" si="50"/>
        <v>0.12558943275634141</v>
      </c>
      <c r="L193" s="352">
        <f t="shared" si="50"/>
        <v>0.15315781023518263</v>
      </c>
      <c r="M193" s="352">
        <f t="shared" si="50"/>
        <v>0.15315781023518263</v>
      </c>
      <c r="N193" s="352">
        <f t="shared" si="50"/>
        <v>0.11151998983660287</v>
      </c>
      <c r="O193" s="352">
        <f t="shared" si="50"/>
        <v>0.10769031508424581</v>
      </c>
      <c r="P193" s="352">
        <f t="shared" si="50"/>
        <v>9.3526369668848267E-2</v>
      </c>
      <c r="Q193" s="352">
        <f t="shared" si="50"/>
        <v>0.20688925786529602</v>
      </c>
      <c r="R193" s="352">
        <f t="shared" si="50"/>
        <v>-9.4250204665005E-2</v>
      </c>
      <c r="S193" s="352">
        <f t="shared" si="50"/>
        <v>-9.0082099946065239E-2</v>
      </c>
      <c r="T193" s="352">
        <f t="shared" si="50"/>
        <v>-9.4250204665005E-2</v>
      </c>
      <c r="U193" s="352">
        <f t="shared" si="50"/>
        <v>-9.4250204665005E-2</v>
      </c>
      <c r="V193" s="352">
        <f t="shared" si="50"/>
        <v>-9.0082099946065239E-2</v>
      </c>
      <c r="W193" s="352">
        <f t="shared" si="50"/>
        <v>-9.0082099946065239E-2</v>
      </c>
      <c r="X193" s="352">
        <f t="shared" si="50"/>
        <v>-8.821070599062289E-2</v>
      </c>
      <c r="Y193" s="352">
        <f t="shared" si="50"/>
        <v>-8.821070599062289E-2</v>
      </c>
      <c r="Z193" s="348"/>
      <c r="AA193" s="348"/>
    </row>
    <row r="194" spans="3:27" x14ac:dyDescent="0.25">
      <c r="D194" s="96"/>
      <c r="E194" s="96"/>
      <c r="F194" s="410" t="s">
        <v>43</v>
      </c>
      <c r="G194" s="293" t="s">
        <v>183</v>
      </c>
      <c r="H194" s="348"/>
      <c r="I194" s="348"/>
      <c r="J194" s="353">
        <f t="shared" ref="J194:Y194" si="51">hundred * $H31 * J56 / $H44 * J94 / hours_in_year</f>
        <v>0</v>
      </c>
      <c r="K194" s="353">
        <f t="shared" si="51"/>
        <v>0</v>
      </c>
      <c r="L194" s="353">
        <f t="shared" si="51"/>
        <v>0</v>
      </c>
      <c r="M194" s="353">
        <f t="shared" si="51"/>
        <v>0</v>
      </c>
      <c r="N194" s="353">
        <f t="shared" si="51"/>
        <v>0</v>
      </c>
      <c r="O194" s="353">
        <f t="shared" si="51"/>
        <v>0</v>
      </c>
      <c r="P194" s="353">
        <f t="shared" si="51"/>
        <v>0</v>
      </c>
      <c r="Q194" s="353">
        <f t="shared" si="51"/>
        <v>0</v>
      </c>
      <c r="R194" s="353">
        <f t="shared" si="51"/>
        <v>0</v>
      </c>
      <c r="S194" s="353">
        <f t="shared" si="51"/>
        <v>0</v>
      </c>
      <c r="T194" s="353">
        <f t="shared" si="51"/>
        <v>0</v>
      </c>
      <c r="U194" s="353">
        <f t="shared" si="51"/>
        <v>0</v>
      </c>
      <c r="V194" s="353">
        <f t="shared" si="51"/>
        <v>0</v>
      </c>
      <c r="W194" s="353">
        <f t="shared" si="51"/>
        <v>0</v>
      </c>
      <c r="X194" s="353">
        <f t="shared" si="51"/>
        <v>0</v>
      </c>
      <c r="Y194" s="353">
        <f t="shared" si="51"/>
        <v>0</v>
      </c>
      <c r="Z194" s="348"/>
      <c r="AA194" s="348"/>
    </row>
    <row r="195" spans="3:27" x14ac:dyDescent="0.25">
      <c r="D195" s="96"/>
      <c r="E195" s="96"/>
      <c r="F195" s="410" t="s">
        <v>44</v>
      </c>
      <c r="G195" s="293" t="s">
        <v>183</v>
      </c>
      <c r="H195" s="348"/>
      <c r="I195" s="348"/>
      <c r="J195" s="353">
        <f t="shared" ref="J195:Y195" si="52">hundred * $H32 * J57 / $H45 * J95 / hours_in_year</f>
        <v>0.13795843558646584</v>
      </c>
      <c r="K195" s="353">
        <f t="shared" si="52"/>
        <v>0.13795843558646584</v>
      </c>
      <c r="L195" s="353">
        <f t="shared" si="52"/>
        <v>0.16824195662136798</v>
      </c>
      <c r="M195" s="353">
        <f t="shared" si="52"/>
        <v>0.16824195662136798</v>
      </c>
      <c r="N195" s="353">
        <f t="shared" si="52"/>
        <v>0.12250332688678742</v>
      </c>
      <c r="O195" s="353">
        <f t="shared" si="52"/>
        <v>0.11829647662841256</v>
      </c>
      <c r="P195" s="353">
        <f t="shared" si="52"/>
        <v>0.10273755810832176</v>
      </c>
      <c r="Q195" s="353">
        <f t="shared" si="52"/>
        <v>0.2272652860063179</v>
      </c>
      <c r="R195" s="353">
        <f t="shared" si="52"/>
        <v>-0.10353268188188205</v>
      </c>
      <c r="S195" s="353">
        <f t="shared" si="52"/>
        <v>-9.8954070499019012E-2</v>
      </c>
      <c r="T195" s="353">
        <f t="shared" si="52"/>
        <v>-0.10353268188188205</v>
      </c>
      <c r="U195" s="353">
        <f t="shared" si="52"/>
        <v>-0.10353268188188205</v>
      </c>
      <c r="V195" s="353">
        <f t="shared" si="52"/>
        <v>-9.8954070499019012E-2</v>
      </c>
      <c r="W195" s="353">
        <f t="shared" si="52"/>
        <v>-9.8954070499019012E-2</v>
      </c>
      <c r="X195" s="353">
        <f t="shared" si="52"/>
        <v>-9.6898367429162163E-2</v>
      </c>
      <c r="Y195" s="353">
        <f t="shared" si="52"/>
        <v>-9.6898367429162163E-2</v>
      </c>
      <c r="Z195" s="348"/>
      <c r="AA195" s="348"/>
    </row>
    <row r="196" spans="3:27" x14ac:dyDescent="0.25">
      <c r="D196" s="96"/>
      <c r="E196" s="96"/>
      <c r="F196" s="410" t="s">
        <v>45</v>
      </c>
      <c r="G196" s="293" t="s">
        <v>183</v>
      </c>
      <c r="H196" s="348"/>
      <c r="I196" s="348"/>
      <c r="J196" s="353">
        <f t="shared" ref="J196:Y196" si="53">hundred * $H33 * J58 / $H46 * J96 / hours_in_year</f>
        <v>1.8965899156537198E-2</v>
      </c>
      <c r="K196" s="353">
        <f t="shared" si="53"/>
        <v>1.8965899156537198E-2</v>
      </c>
      <c r="L196" s="353">
        <f t="shared" si="53"/>
        <v>2.3129140089295161E-2</v>
      </c>
      <c r="M196" s="353">
        <f t="shared" si="53"/>
        <v>2.3129140089295161E-2</v>
      </c>
      <c r="N196" s="353">
        <f t="shared" si="53"/>
        <v>1.684120100520373E-2</v>
      </c>
      <c r="O196" s="353">
        <f t="shared" si="53"/>
        <v>1.6262862337997088E-2</v>
      </c>
      <c r="P196" s="353">
        <f t="shared" si="53"/>
        <v>1.4123892884027935E-2</v>
      </c>
      <c r="Q196" s="353">
        <f t="shared" si="53"/>
        <v>2.4480466193512563E-2</v>
      </c>
      <c r="R196" s="353">
        <f t="shared" si="53"/>
        <v>-1.4233202889191471E-2</v>
      </c>
      <c r="S196" s="353">
        <f t="shared" si="53"/>
        <v>-1.3603756191023253E-2</v>
      </c>
      <c r="T196" s="353">
        <f t="shared" si="53"/>
        <v>-1.4233202889191471E-2</v>
      </c>
      <c r="U196" s="353">
        <f t="shared" si="53"/>
        <v>-1.4233202889191471E-2</v>
      </c>
      <c r="V196" s="353">
        <f t="shared" si="53"/>
        <v>-1.3603756191023253E-2</v>
      </c>
      <c r="W196" s="353">
        <f t="shared" si="53"/>
        <v>-1.3603756191023253E-2</v>
      </c>
      <c r="X196" s="353">
        <f t="shared" si="53"/>
        <v>-1.3321147469396707E-2</v>
      </c>
      <c r="Y196" s="353">
        <f t="shared" si="53"/>
        <v>-1.3321147469396707E-2</v>
      </c>
      <c r="Z196" s="348"/>
      <c r="AA196" s="348"/>
    </row>
    <row r="197" spans="3:27" x14ac:dyDescent="0.25">
      <c r="D197" s="96"/>
      <c r="E197" s="96"/>
      <c r="F197" s="410" t="s">
        <v>46</v>
      </c>
      <c r="G197" s="293" t="s">
        <v>183</v>
      </c>
      <c r="H197" s="348"/>
      <c r="I197" s="348"/>
      <c r="J197" s="353">
        <f t="shared" ref="J197:Y197" si="54">hundred * $H34 * J59 / $H47 * J97 / hours_in_year</f>
        <v>0.19361726583832187</v>
      </c>
      <c r="K197" s="353">
        <f t="shared" si="54"/>
        <v>0.19361726583832187</v>
      </c>
      <c r="L197" s="353">
        <f t="shared" si="54"/>
        <v>0.23611856355027044</v>
      </c>
      <c r="M197" s="353">
        <f t="shared" si="54"/>
        <v>0.23611856355027044</v>
      </c>
      <c r="N197" s="353">
        <f t="shared" si="54"/>
        <v>0.17192684961299207</v>
      </c>
      <c r="O197" s="353">
        <f t="shared" si="54"/>
        <v>0.16602276088253334</v>
      </c>
      <c r="P197" s="353">
        <f t="shared" si="54"/>
        <v>0.14418665314142212</v>
      </c>
      <c r="Q197" s="353">
        <f t="shared" si="54"/>
        <v>0.2499138528426498</v>
      </c>
      <c r="R197" s="353">
        <f t="shared" si="54"/>
        <v>-0.14530256671629957</v>
      </c>
      <c r="S197" s="353">
        <f t="shared" si="54"/>
        <v>-0.1388767311846221</v>
      </c>
      <c r="T197" s="353">
        <f t="shared" si="54"/>
        <v>-0.14530256671629957</v>
      </c>
      <c r="U197" s="353">
        <f t="shared" si="54"/>
        <v>-0.14530256671629957</v>
      </c>
      <c r="V197" s="353">
        <f t="shared" si="54"/>
        <v>-0.1388767311846221</v>
      </c>
      <c r="W197" s="353">
        <f t="shared" si="54"/>
        <v>-0.1388767311846221</v>
      </c>
      <c r="X197" s="353">
        <f t="shared" si="54"/>
        <v>-0.13599166217039949</v>
      </c>
      <c r="Y197" s="353">
        <f t="shared" si="54"/>
        <v>-0.13599166217039949</v>
      </c>
      <c r="Z197" s="348"/>
      <c r="AA197" s="348"/>
    </row>
    <row r="198" spans="3:27" x14ac:dyDescent="0.25">
      <c r="D198" s="96"/>
      <c r="E198" s="96"/>
      <c r="F198" s="410" t="s">
        <v>47</v>
      </c>
      <c r="G198" s="293" t="s">
        <v>183</v>
      </c>
      <c r="H198" s="348"/>
      <c r="I198" s="348"/>
      <c r="J198" s="353">
        <f t="shared" ref="J198:Y198" si="55">hundred * $H35 * J60 / $H48 * J98 / hours_in_year</f>
        <v>3.9536575194596545E-2</v>
      </c>
      <c r="K198" s="353">
        <f t="shared" si="55"/>
        <v>3.9536575194596545E-2</v>
      </c>
      <c r="L198" s="353">
        <f t="shared" si="55"/>
        <v>4.8215324714071493E-2</v>
      </c>
      <c r="M198" s="353">
        <f t="shared" si="55"/>
        <v>4.8215324714071493E-2</v>
      </c>
      <c r="N198" s="353">
        <f t="shared" si="55"/>
        <v>3.5107400098141311E-2</v>
      </c>
      <c r="O198" s="353">
        <f t="shared" si="55"/>
        <v>3.3901787328863418E-2</v>
      </c>
      <c r="P198" s="353">
        <f t="shared" si="55"/>
        <v>2.944286207792704E-2</v>
      </c>
      <c r="Q198" s="353">
        <f t="shared" si="55"/>
        <v>4.1984629474898429E-2</v>
      </c>
      <c r="R198" s="353">
        <f t="shared" si="55"/>
        <v>-2.9670731223650104E-2</v>
      </c>
      <c r="S198" s="353">
        <f t="shared" si="55"/>
        <v>-2.8358577947513945E-2</v>
      </c>
      <c r="T198" s="353">
        <f t="shared" si="55"/>
        <v>-2.9670731223650104E-2</v>
      </c>
      <c r="U198" s="353">
        <f t="shared" si="55"/>
        <v>-2.9670731223650104E-2</v>
      </c>
      <c r="V198" s="353">
        <f t="shared" si="55"/>
        <v>-2.8358577947513945E-2</v>
      </c>
      <c r="W198" s="353">
        <f t="shared" si="55"/>
        <v>-2.8358577947513945E-2</v>
      </c>
      <c r="X198" s="353">
        <f t="shared" si="55"/>
        <v>-2.7769447905167104E-2</v>
      </c>
      <c r="Y198" s="353">
        <f t="shared" si="55"/>
        <v>-2.7769447905167104E-2</v>
      </c>
      <c r="Z198" s="348"/>
      <c r="AA198" s="348"/>
    </row>
    <row r="199" spans="3:27" x14ac:dyDescent="0.25">
      <c r="D199" s="96"/>
      <c r="E199" s="96"/>
      <c r="F199" s="410" t="s">
        <v>51</v>
      </c>
      <c r="G199" s="293" t="s">
        <v>183</v>
      </c>
      <c r="H199" s="348"/>
      <c r="I199" s="348"/>
      <c r="J199" s="353">
        <f t="shared" ref="J199:Y199" si="56">hundred * $H36 * J61 / $H49 * J99 / hours_in_year</f>
        <v>0</v>
      </c>
      <c r="K199" s="353">
        <f t="shared" si="56"/>
        <v>0</v>
      </c>
      <c r="L199" s="353">
        <f t="shared" si="56"/>
        <v>0</v>
      </c>
      <c r="M199" s="353">
        <f t="shared" si="56"/>
        <v>0</v>
      </c>
      <c r="N199" s="353">
        <f t="shared" si="56"/>
        <v>0</v>
      </c>
      <c r="O199" s="353">
        <f t="shared" si="56"/>
        <v>0</v>
      </c>
      <c r="P199" s="353">
        <f t="shared" si="56"/>
        <v>0</v>
      </c>
      <c r="Q199" s="353">
        <f t="shared" si="56"/>
        <v>0</v>
      </c>
      <c r="R199" s="353">
        <f t="shared" si="56"/>
        <v>0</v>
      </c>
      <c r="S199" s="353">
        <f t="shared" si="56"/>
        <v>0</v>
      </c>
      <c r="T199" s="353">
        <f t="shared" si="56"/>
        <v>0</v>
      </c>
      <c r="U199" s="353">
        <f t="shared" si="56"/>
        <v>0</v>
      </c>
      <c r="V199" s="353">
        <f t="shared" si="56"/>
        <v>0</v>
      </c>
      <c r="W199" s="353">
        <f t="shared" si="56"/>
        <v>0</v>
      </c>
      <c r="X199" s="353">
        <f t="shared" si="56"/>
        <v>0</v>
      </c>
      <c r="Y199" s="353">
        <f t="shared" si="56"/>
        <v>0</v>
      </c>
      <c r="Z199" s="348"/>
      <c r="AA199" s="348"/>
    </row>
    <row r="200" spans="3:27" x14ac:dyDescent="0.25">
      <c r="D200" s="96"/>
      <c r="E200" s="96"/>
      <c r="F200" s="410" t="s">
        <v>48</v>
      </c>
      <c r="G200" s="293" t="s">
        <v>183</v>
      </c>
      <c r="H200" s="348"/>
      <c r="I200" s="348"/>
      <c r="J200" s="353">
        <f t="shared" ref="J200:Y200" si="57">hundred * $H37 * J62 / $H50 * J100 / hours_in_year</f>
        <v>0.32449518975220837</v>
      </c>
      <c r="K200" s="353">
        <f t="shared" si="57"/>
        <v>0.32449518975220837</v>
      </c>
      <c r="L200" s="353">
        <f t="shared" si="57"/>
        <v>0.39572575178932684</v>
      </c>
      <c r="M200" s="353">
        <f t="shared" si="57"/>
        <v>0.39572575178932684</v>
      </c>
      <c r="N200" s="353">
        <f t="shared" si="57"/>
        <v>0.28814287531182081</v>
      </c>
      <c r="O200" s="353">
        <f t="shared" si="57"/>
        <v>0.2782478466602753</v>
      </c>
      <c r="P200" s="353">
        <f t="shared" si="57"/>
        <v>0.24165135876844451</v>
      </c>
      <c r="Q200" s="353">
        <f t="shared" si="57"/>
        <v>0.3445875177877139</v>
      </c>
      <c r="R200" s="353">
        <f t="shared" si="57"/>
        <v>-0.24352158757091763</v>
      </c>
      <c r="S200" s="353">
        <f t="shared" si="57"/>
        <v>-0.23275213108086798</v>
      </c>
      <c r="T200" s="353">
        <f t="shared" si="57"/>
        <v>-0.24352158757091763</v>
      </c>
      <c r="U200" s="353">
        <f t="shared" si="57"/>
        <v>-0.24352158757091763</v>
      </c>
      <c r="V200" s="353">
        <f t="shared" si="57"/>
        <v>-0.23275213108086798</v>
      </c>
      <c r="W200" s="353">
        <f t="shared" si="57"/>
        <v>-0.23275213108086798</v>
      </c>
      <c r="X200" s="353">
        <f t="shared" si="57"/>
        <v>0</v>
      </c>
      <c r="Y200" s="353">
        <f t="shared" si="57"/>
        <v>0</v>
      </c>
      <c r="Z200" s="348"/>
      <c r="AA200" s="348"/>
    </row>
    <row r="201" spans="3:27" x14ac:dyDescent="0.25">
      <c r="D201" s="96"/>
      <c r="E201" s="96"/>
      <c r="F201" s="410" t="s">
        <v>49</v>
      </c>
      <c r="G201" s="293" t="s">
        <v>183</v>
      </c>
      <c r="H201" s="348"/>
      <c r="I201" s="348"/>
      <c r="J201" s="353">
        <f t="shared" ref="J201:Y201" si="58">hundred * $H38 * J63 / $H51 * J101 / hours_in_year</f>
        <v>0.12691741100442636</v>
      </c>
      <c r="K201" s="353">
        <f t="shared" si="58"/>
        <v>0.12691741100442636</v>
      </c>
      <c r="L201" s="353">
        <f t="shared" si="58"/>
        <v>0.15477729553782948</v>
      </c>
      <c r="M201" s="353">
        <f t="shared" si="58"/>
        <v>0.15477729553782948</v>
      </c>
      <c r="N201" s="353">
        <f t="shared" si="58"/>
        <v>0.11269919828972956</v>
      </c>
      <c r="O201" s="353">
        <f t="shared" si="58"/>
        <v>0.1088290286911362</v>
      </c>
      <c r="P201" s="353">
        <f t="shared" si="58"/>
        <v>0</v>
      </c>
      <c r="Q201" s="353">
        <f t="shared" si="58"/>
        <v>0.13477597512448405</v>
      </c>
      <c r="R201" s="353">
        <f t="shared" si="58"/>
        <v>-9.5246803016679316E-2</v>
      </c>
      <c r="S201" s="353">
        <f t="shared" si="58"/>
        <v>0</v>
      </c>
      <c r="T201" s="353">
        <f t="shared" si="58"/>
        <v>-9.5246803016679316E-2</v>
      </c>
      <c r="U201" s="353">
        <f t="shared" si="58"/>
        <v>-9.5246803016679316E-2</v>
      </c>
      <c r="V201" s="353">
        <f t="shared" si="58"/>
        <v>0</v>
      </c>
      <c r="W201" s="353">
        <f t="shared" si="58"/>
        <v>0</v>
      </c>
      <c r="X201" s="353">
        <f t="shared" si="58"/>
        <v>0</v>
      </c>
      <c r="Y201" s="353">
        <f t="shared" si="58"/>
        <v>0</v>
      </c>
      <c r="Z201" s="348"/>
      <c r="AA201" s="348"/>
    </row>
    <row r="202" spans="3:27" x14ac:dyDescent="0.25">
      <c r="D202" s="96"/>
      <c r="E202" s="96"/>
      <c r="F202" s="412" t="s">
        <v>50</v>
      </c>
      <c r="G202" s="93" t="s">
        <v>183</v>
      </c>
      <c r="H202" s="350"/>
      <c r="I202" s="350"/>
      <c r="J202" s="354">
        <f t="shared" ref="J202:Y202" si="59">hundred * $H39 * J64 / $H52 * J102 / hours_in_year</f>
        <v>7.7714008434718665E-2</v>
      </c>
      <c r="K202" s="354">
        <f t="shared" si="59"/>
        <v>7.7714008434718665E-2</v>
      </c>
      <c r="L202" s="354">
        <f t="shared" si="59"/>
        <v>9.4773159614092051E-2</v>
      </c>
      <c r="M202" s="354">
        <f t="shared" si="59"/>
        <v>9.4773159614092051E-2</v>
      </c>
      <c r="N202" s="354">
        <f t="shared" si="59"/>
        <v>6.9007919222120115E-2</v>
      </c>
      <c r="O202" s="354">
        <f t="shared" si="59"/>
        <v>0</v>
      </c>
      <c r="P202" s="354">
        <f t="shared" si="59"/>
        <v>0</v>
      </c>
      <c r="Q202" s="354">
        <f t="shared" si="59"/>
        <v>8.2525960660009792E-2</v>
      </c>
      <c r="R202" s="354">
        <f t="shared" si="59"/>
        <v>0</v>
      </c>
      <c r="S202" s="354">
        <f t="shared" si="59"/>
        <v>0</v>
      </c>
      <c r="T202" s="354">
        <f t="shared" si="59"/>
        <v>0</v>
      </c>
      <c r="U202" s="354">
        <f t="shared" si="59"/>
        <v>0</v>
      </c>
      <c r="V202" s="354">
        <f t="shared" si="59"/>
        <v>0</v>
      </c>
      <c r="W202" s="354">
        <f t="shared" si="59"/>
        <v>0</v>
      </c>
      <c r="X202" s="354">
        <f t="shared" si="59"/>
        <v>0</v>
      </c>
      <c r="Y202" s="354">
        <f t="shared" si="59"/>
        <v>0</v>
      </c>
      <c r="Z202" s="348"/>
      <c r="AA202" s="348"/>
    </row>
    <row r="203" spans="3:27" x14ac:dyDescent="0.2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25">
      <c r="C204" s="7" t="str">
        <f ca="1">INDEX('Version control'!$H$34:$H$60,MATCH($A$1,'Version control'!$F$34:$F$60,0),1)&amp;"-E: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2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25">
      <c r="C206" s="82" t="s">
        <v>729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727</v>
      </c>
    </row>
    <row r="207" spans="3:27" x14ac:dyDescent="0.25">
      <c r="C207" s="82" t="s">
        <v>802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25">
      <c r="E210" s="96"/>
      <c r="F210" s="409" t="s">
        <v>267</v>
      </c>
      <c r="G210" s="91" t="s">
        <v>183</v>
      </c>
      <c r="H210" s="346"/>
      <c r="I210" s="346"/>
      <c r="J210" s="352">
        <f t="shared" ref="J210:Y210" si="60">hundred * $H18 * J55 / $H43 * J105 * (1 - J67) / hours_in_year</f>
        <v>0</v>
      </c>
      <c r="K210" s="352">
        <f t="shared" si="60"/>
        <v>0</v>
      </c>
      <c r="L210" s="352">
        <f t="shared" si="60"/>
        <v>0</v>
      </c>
      <c r="M210" s="352">
        <f t="shared" si="60"/>
        <v>0</v>
      </c>
      <c r="N210" s="352">
        <f t="shared" si="60"/>
        <v>0</v>
      </c>
      <c r="O210" s="352">
        <f t="shared" si="60"/>
        <v>0</v>
      </c>
      <c r="P210" s="352">
        <f t="shared" si="60"/>
        <v>0</v>
      </c>
      <c r="Q210" s="352">
        <f t="shared" si="60"/>
        <v>0</v>
      </c>
      <c r="R210" s="352">
        <f t="shared" si="60"/>
        <v>0</v>
      </c>
      <c r="S210" s="352">
        <f t="shared" si="60"/>
        <v>0</v>
      </c>
      <c r="T210" s="352">
        <f t="shared" si="60"/>
        <v>0</v>
      </c>
      <c r="U210" s="352">
        <f t="shared" si="60"/>
        <v>0</v>
      </c>
      <c r="V210" s="352">
        <f t="shared" si="60"/>
        <v>0</v>
      </c>
      <c r="W210" s="352">
        <f t="shared" si="60"/>
        <v>0</v>
      </c>
      <c r="X210" s="352">
        <f t="shared" si="60"/>
        <v>0</v>
      </c>
      <c r="Y210" s="352">
        <f t="shared" si="60"/>
        <v>0</v>
      </c>
      <c r="Z210" s="348"/>
      <c r="AA210" s="348"/>
    </row>
    <row r="211" spans="3:27" x14ac:dyDescent="0.25">
      <c r="E211" s="96"/>
      <c r="F211" s="410" t="s">
        <v>43</v>
      </c>
      <c r="G211" s="293" t="s">
        <v>183</v>
      </c>
      <c r="H211" s="348"/>
      <c r="I211" s="348"/>
      <c r="J211" s="353">
        <f t="shared" ref="J211:Y211" si="61">hundred * $H19 * J56 / $H44 * J106 * (1 - J68) / hours_in_year</f>
        <v>0</v>
      </c>
      <c r="K211" s="353">
        <f t="shared" si="61"/>
        <v>0</v>
      </c>
      <c r="L211" s="353">
        <f t="shared" si="61"/>
        <v>0</v>
      </c>
      <c r="M211" s="353">
        <f t="shared" si="61"/>
        <v>0</v>
      </c>
      <c r="N211" s="353">
        <f t="shared" si="61"/>
        <v>0</v>
      </c>
      <c r="O211" s="353">
        <f t="shared" si="61"/>
        <v>0</v>
      </c>
      <c r="P211" s="353">
        <f t="shared" si="61"/>
        <v>0</v>
      </c>
      <c r="Q211" s="353">
        <f t="shared" si="61"/>
        <v>0</v>
      </c>
      <c r="R211" s="353">
        <f t="shared" si="61"/>
        <v>0</v>
      </c>
      <c r="S211" s="353">
        <f t="shared" si="61"/>
        <v>0</v>
      </c>
      <c r="T211" s="353">
        <f t="shared" si="61"/>
        <v>0</v>
      </c>
      <c r="U211" s="353">
        <f t="shared" si="61"/>
        <v>0</v>
      </c>
      <c r="V211" s="353">
        <f t="shared" si="61"/>
        <v>0</v>
      </c>
      <c r="W211" s="353">
        <f t="shared" si="61"/>
        <v>0</v>
      </c>
      <c r="X211" s="353">
        <f t="shared" si="61"/>
        <v>0</v>
      </c>
      <c r="Y211" s="353">
        <f t="shared" si="61"/>
        <v>0</v>
      </c>
      <c r="Z211" s="348"/>
      <c r="AA211" s="348"/>
    </row>
    <row r="212" spans="3:27" x14ac:dyDescent="0.25">
      <c r="E212" s="96"/>
      <c r="F212" s="410" t="s">
        <v>44</v>
      </c>
      <c r="G212" s="293" t="s">
        <v>183</v>
      </c>
      <c r="H212" s="348"/>
      <c r="I212" s="348"/>
      <c r="J212" s="353">
        <f t="shared" ref="J212:Y212" si="62">hundred * $H20 * J57 / $H45 * J107 * (1 - J69) / hours_in_year</f>
        <v>2.2367655005322923E-2</v>
      </c>
      <c r="K212" s="353">
        <f t="shared" si="62"/>
        <v>2.2367655005322923E-2</v>
      </c>
      <c r="L212" s="353">
        <f t="shared" si="62"/>
        <v>2.7277621894811074E-2</v>
      </c>
      <c r="M212" s="353">
        <f t="shared" si="62"/>
        <v>2.7277621894811074E-2</v>
      </c>
      <c r="N212" s="353">
        <f t="shared" si="62"/>
        <v>1.9861867388968668E-2</v>
      </c>
      <c r="O212" s="353">
        <f t="shared" si="62"/>
        <v>1.9179796917247454E-2</v>
      </c>
      <c r="P212" s="353">
        <f t="shared" si="62"/>
        <v>1.66571782732052E-2</v>
      </c>
      <c r="Q212" s="353">
        <f t="shared" si="62"/>
        <v>2.1239901083343581E-2</v>
      </c>
      <c r="R212" s="353">
        <f t="shared" si="62"/>
        <v>-1.6786094306341721E-2</v>
      </c>
      <c r="S212" s="353">
        <f t="shared" si="62"/>
        <v>-1.6043748980519745E-2</v>
      </c>
      <c r="T212" s="353">
        <f t="shared" si="62"/>
        <v>-1.6786094306341721E-2</v>
      </c>
      <c r="U212" s="353">
        <f t="shared" si="62"/>
        <v>-1.6786094306341721E-2</v>
      </c>
      <c r="V212" s="353">
        <f t="shared" si="62"/>
        <v>-1.6043748980519745E-2</v>
      </c>
      <c r="W212" s="353">
        <f t="shared" si="62"/>
        <v>-1.6043748980519745E-2</v>
      </c>
      <c r="X212" s="353">
        <f t="shared" si="62"/>
        <v>-1.5710451079130286E-2</v>
      </c>
      <c r="Y212" s="353">
        <f t="shared" si="62"/>
        <v>-1.5710451079130286E-2</v>
      </c>
      <c r="Z212" s="348"/>
      <c r="AA212" s="348"/>
    </row>
    <row r="213" spans="3:27" x14ac:dyDescent="0.25">
      <c r="E213" s="96"/>
      <c r="F213" s="410" t="s">
        <v>45</v>
      </c>
      <c r="G213" s="293" t="s">
        <v>183</v>
      </c>
      <c r="H213" s="348"/>
      <c r="I213" s="348"/>
      <c r="J213" s="353">
        <f t="shared" ref="J213:Y213" si="63">hundred * $H21 * J58 / $H46 * J108 * (1 - J70) / hours_in_year</f>
        <v>4.4006040585410494E-3</v>
      </c>
      <c r="K213" s="353">
        <f t="shared" si="63"/>
        <v>4.4006040585410494E-3</v>
      </c>
      <c r="L213" s="353">
        <f t="shared" si="63"/>
        <v>5.3665891032872197E-3</v>
      </c>
      <c r="M213" s="353">
        <f t="shared" si="63"/>
        <v>5.3665891032872197E-3</v>
      </c>
      <c r="N213" s="353">
        <f t="shared" si="63"/>
        <v>3.9076163424954357E-3</v>
      </c>
      <c r="O213" s="353">
        <f t="shared" si="63"/>
        <v>3.7734260536451685E-3</v>
      </c>
      <c r="P213" s="353">
        <f t="shared" si="63"/>
        <v>3.2771270075233512E-3</v>
      </c>
      <c r="Q213" s="353">
        <f t="shared" si="63"/>
        <v>4.1787301748050553E-3</v>
      </c>
      <c r="R213" s="353">
        <f t="shared" si="63"/>
        <v>-3.3024898995429467E-3</v>
      </c>
      <c r="S213" s="353">
        <f t="shared" si="63"/>
        <v>-3.1564411584981771E-3</v>
      </c>
      <c r="T213" s="353">
        <f t="shared" si="63"/>
        <v>-3.3024898995429467E-3</v>
      </c>
      <c r="U213" s="353">
        <f t="shared" si="63"/>
        <v>-3.3024898995429467E-3</v>
      </c>
      <c r="V213" s="353">
        <f t="shared" si="63"/>
        <v>-3.1564411584981771E-3</v>
      </c>
      <c r="W213" s="353">
        <f t="shared" si="63"/>
        <v>-3.1564411584981771E-3</v>
      </c>
      <c r="X213" s="353">
        <f t="shared" si="63"/>
        <v>-3.0908682543556278E-3</v>
      </c>
      <c r="Y213" s="353">
        <f t="shared" si="63"/>
        <v>-3.0908682543556278E-3</v>
      </c>
      <c r="Z213" s="348"/>
      <c r="AA213" s="348"/>
    </row>
    <row r="214" spans="3:27" x14ac:dyDescent="0.25">
      <c r="E214" s="96"/>
      <c r="F214" s="410" t="s">
        <v>46</v>
      </c>
      <c r="G214" s="293" t="s">
        <v>183</v>
      </c>
      <c r="H214" s="348"/>
      <c r="I214" s="348"/>
      <c r="J214" s="353">
        <f t="shared" ref="J214:Y214" si="64">hundred * $H22 * J59 / $H47 * J109 * (1 - J71) / hours_in_year</f>
        <v>4.4924467794507948E-2</v>
      </c>
      <c r="K214" s="353">
        <f t="shared" si="64"/>
        <v>4.4924467794507948E-2</v>
      </c>
      <c r="L214" s="353">
        <f t="shared" si="64"/>
        <v>5.4785923961746724E-2</v>
      </c>
      <c r="M214" s="353">
        <f t="shared" si="64"/>
        <v>5.4785923961746724E-2</v>
      </c>
      <c r="N214" s="353">
        <f t="shared" si="64"/>
        <v>3.9891701729223308E-2</v>
      </c>
      <c r="O214" s="353">
        <f t="shared" si="64"/>
        <v>3.8521792682739316E-2</v>
      </c>
      <c r="P214" s="353">
        <f t="shared" si="64"/>
        <v>2.3604994474156139E-2</v>
      </c>
      <c r="Q214" s="353">
        <f t="shared" si="64"/>
        <v>4.2659422811650596E-2</v>
      </c>
      <c r="R214" s="353">
        <f t="shared" si="64"/>
        <v>-3.3714144503809815E-2</v>
      </c>
      <c r="S214" s="353">
        <f t="shared" si="64"/>
        <v>-3.2223176019435536E-2</v>
      </c>
      <c r="T214" s="353">
        <f t="shared" si="64"/>
        <v>-3.3714144503809815E-2</v>
      </c>
      <c r="U214" s="353">
        <f t="shared" si="64"/>
        <v>-3.3714144503809815E-2</v>
      </c>
      <c r="V214" s="353">
        <f t="shared" si="64"/>
        <v>-3.2223176019435536E-2</v>
      </c>
      <c r="W214" s="353">
        <f t="shared" si="64"/>
        <v>-3.2223176019435536E-2</v>
      </c>
      <c r="X214" s="353">
        <f t="shared" si="64"/>
        <v>-2.2263381277843063E-2</v>
      </c>
      <c r="Y214" s="353">
        <f t="shared" si="64"/>
        <v>-2.2263381277843063E-2</v>
      </c>
      <c r="Z214" s="348"/>
      <c r="AA214" s="348"/>
    </row>
    <row r="215" spans="3:27" x14ac:dyDescent="0.25">
      <c r="E215" s="96"/>
      <c r="F215" s="410" t="s">
        <v>47</v>
      </c>
      <c r="G215" s="293" t="s">
        <v>183</v>
      </c>
      <c r="H215" s="348"/>
      <c r="I215" s="348"/>
      <c r="J215" s="353">
        <f t="shared" ref="J215:Y215" si="65">hundred * $H23 * J60 / $H48 * J110 * (1 - J72) / hours_in_year</f>
        <v>5.1957440222328687E-3</v>
      </c>
      <c r="K215" s="353">
        <f t="shared" si="65"/>
        <v>5.1957440222328687E-3</v>
      </c>
      <c r="L215" s="353">
        <f t="shared" si="65"/>
        <v>6.3362717668421472E-3</v>
      </c>
      <c r="M215" s="353">
        <f t="shared" si="65"/>
        <v>6.3362717668421472E-3</v>
      </c>
      <c r="N215" s="353">
        <f t="shared" si="65"/>
        <v>4.6136789364847452E-3</v>
      </c>
      <c r="O215" s="353">
        <f t="shared" si="65"/>
        <v>4.4552419624101841E-3</v>
      </c>
      <c r="P215" s="353">
        <f t="shared" si="65"/>
        <v>3.3153019614324715E-3</v>
      </c>
      <c r="Q215" s="353">
        <f t="shared" si="65"/>
        <v>4.9337800077986597E-3</v>
      </c>
      <c r="R215" s="353">
        <f t="shared" si="65"/>
        <v>-3.8992129093575957E-3</v>
      </c>
      <c r="S215" s="353">
        <f t="shared" si="65"/>
        <v>-3.7267747933300483E-3</v>
      </c>
      <c r="T215" s="353">
        <f t="shared" si="65"/>
        <v>-3.8992129093575957E-3</v>
      </c>
      <c r="U215" s="353">
        <f t="shared" si="65"/>
        <v>-3.8992129093575957E-3</v>
      </c>
      <c r="V215" s="353">
        <f t="shared" si="65"/>
        <v>-3.7267747933300483E-3</v>
      </c>
      <c r="W215" s="353">
        <f t="shared" si="65"/>
        <v>-3.7267747933300483E-3</v>
      </c>
      <c r="X215" s="353">
        <f t="shared" si="65"/>
        <v>-3.1268734970204101E-3</v>
      </c>
      <c r="Y215" s="353">
        <f t="shared" si="65"/>
        <v>-3.1268734970204101E-3</v>
      </c>
      <c r="Z215" s="348"/>
      <c r="AA215" s="348"/>
    </row>
    <row r="216" spans="3:27" x14ac:dyDescent="0.25">
      <c r="E216" s="96"/>
      <c r="F216" s="410" t="s">
        <v>51</v>
      </c>
      <c r="G216" s="293" t="s">
        <v>183</v>
      </c>
      <c r="H216" s="348"/>
      <c r="I216" s="348"/>
      <c r="J216" s="353">
        <f t="shared" ref="J216:Y216" si="66">hundred * $H24 * J61 / $H49 * J111 * (1 - J73) / hours_in_year</f>
        <v>0</v>
      </c>
      <c r="K216" s="353">
        <f t="shared" si="66"/>
        <v>0</v>
      </c>
      <c r="L216" s="353">
        <f t="shared" si="66"/>
        <v>0</v>
      </c>
      <c r="M216" s="353">
        <f t="shared" si="66"/>
        <v>0</v>
      </c>
      <c r="N216" s="353">
        <f t="shared" si="66"/>
        <v>0</v>
      </c>
      <c r="O216" s="353">
        <f t="shared" si="66"/>
        <v>0</v>
      </c>
      <c r="P216" s="353">
        <f t="shared" si="66"/>
        <v>0</v>
      </c>
      <c r="Q216" s="353">
        <f t="shared" si="66"/>
        <v>0</v>
      </c>
      <c r="R216" s="353">
        <f t="shared" si="66"/>
        <v>0</v>
      </c>
      <c r="S216" s="353">
        <f t="shared" si="66"/>
        <v>0</v>
      </c>
      <c r="T216" s="353">
        <f t="shared" si="66"/>
        <v>0</v>
      </c>
      <c r="U216" s="353">
        <f t="shared" si="66"/>
        <v>0</v>
      </c>
      <c r="V216" s="353">
        <f t="shared" si="66"/>
        <v>0</v>
      </c>
      <c r="W216" s="353">
        <f t="shared" si="66"/>
        <v>0</v>
      </c>
      <c r="X216" s="353">
        <f t="shared" si="66"/>
        <v>0</v>
      </c>
      <c r="Y216" s="353">
        <f t="shared" si="66"/>
        <v>0</v>
      </c>
      <c r="Z216" s="348"/>
      <c r="AA216" s="348"/>
    </row>
    <row r="217" spans="3:27" x14ac:dyDescent="0.25">
      <c r="E217" s="96"/>
      <c r="F217" s="410" t="s">
        <v>48</v>
      </c>
      <c r="G217" s="293" t="s">
        <v>183</v>
      </c>
      <c r="H217" s="348"/>
      <c r="I217" s="348"/>
      <c r="J217" s="353">
        <f t="shared" ref="J217:Y217" si="67">hundred * $H25 * J62 / $H50 * J112 * (1 - J74) / hours_in_year</f>
        <v>2.8727011342703002E-2</v>
      </c>
      <c r="K217" s="353">
        <f t="shared" si="67"/>
        <v>2.8727011342703002E-2</v>
      </c>
      <c r="L217" s="353">
        <f t="shared" si="67"/>
        <v>3.5032932749889251E-2</v>
      </c>
      <c r="M217" s="353">
        <f t="shared" si="67"/>
        <v>3.5032932749889251E-2</v>
      </c>
      <c r="N217" s="353">
        <f t="shared" si="67"/>
        <v>2.5508802314519987E-2</v>
      </c>
      <c r="O217" s="353">
        <f t="shared" si="67"/>
        <v>2.4632812132581148E-2</v>
      </c>
      <c r="P217" s="353">
        <f t="shared" si="67"/>
        <v>8.4381099992359085E-3</v>
      </c>
      <c r="Q217" s="353">
        <f t="shared" si="67"/>
        <v>2.7278625282529573E-2</v>
      </c>
      <c r="R217" s="353">
        <f t="shared" si="67"/>
        <v>-2.155855503955182E-2</v>
      </c>
      <c r="S217" s="353">
        <f t="shared" si="67"/>
        <v>-2.0605153237261167E-2</v>
      </c>
      <c r="T217" s="353">
        <f t="shared" si="67"/>
        <v>-2.155855503955182E-2</v>
      </c>
      <c r="U217" s="353">
        <f t="shared" si="67"/>
        <v>-2.155855503955182E-2</v>
      </c>
      <c r="V217" s="353">
        <f t="shared" si="67"/>
        <v>-2.0605153237261167E-2</v>
      </c>
      <c r="W217" s="353">
        <f t="shared" si="67"/>
        <v>-2.0605153237261167E-2</v>
      </c>
      <c r="X217" s="353">
        <f t="shared" si="67"/>
        <v>0</v>
      </c>
      <c r="Y217" s="353">
        <f t="shared" si="67"/>
        <v>0</v>
      </c>
      <c r="Z217" s="348"/>
      <c r="AA217" s="348"/>
    </row>
    <row r="218" spans="3:27" x14ac:dyDescent="0.25">
      <c r="E218" s="96"/>
      <c r="F218" s="410" t="s">
        <v>49</v>
      </c>
      <c r="G218" s="293" t="s">
        <v>183</v>
      </c>
      <c r="H218" s="348"/>
      <c r="I218" s="348"/>
      <c r="J218" s="353">
        <f t="shared" ref="J218:Y218" si="68">hundred * $H26 * J63 / $H51 * J113 * (1 - J75) / hours_in_year</f>
        <v>4.8206826675607764E-3</v>
      </c>
      <c r="K218" s="353">
        <f t="shared" si="68"/>
        <v>4.8206826675607764E-3</v>
      </c>
      <c r="L218" s="353">
        <f t="shared" si="68"/>
        <v>5.8788799741993194E-3</v>
      </c>
      <c r="M218" s="353">
        <f t="shared" si="68"/>
        <v>5.8788799741993194E-3</v>
      </c>
      <c r="N218" s="353">
        <f t="shared" si="68"/>
        <v>4.2806346863185438E-3</v>
      </c>
      <c r="O218" s="353">
        <f t="shared" si="68"/>
        <v>4.1336346856345645E-3</v>
      </c>
      <c r="P218" s="353">
        <f t="shared" si="68"/>
        <v>0</v>
      </c>
      <c r="Q218" s="353">
        <f t="shared" si="68"/>
        <v>4.5776288568834516E-3</v>
      </c>
      <c r="R218" s="353">
        <f t="shared" si="68"/>
        <v>-3.6177432931331069E-3</v>
      </c>
      <c r="S218" s="353">
        <f t="shared" si="68"/>
        <v>0</v>
      </c>
      <c r="T218" s="353">
        <f t="shared" si="68"/>
        <v>-3.6177432931331069E-3</v>
      </c>
      <c r="U218" s="353">
        <f t="shared" si="68"/>
        <v>-3.6177432931331069E-3</v>
      </c>
      <c r="V218" s="353">
        <f t="shared" si="68"/>
        <v>0</v>
      </c>
      <c r="W218" s="353">
        <f t="shared" si="68"/>
        <v>0</v>
      </c>
      <c r="X218" s="353">
        <f t="shared" si="68"/>
        <v>0</v>
      </c>
      <c r="Y218" s="353">
        <f t="shared" si="68"/>
        <v>0</v>
      </c>
      <c r="Z218" s="348"/>
      <c r="AA218" s="348"/>
    </row>
    <row r="219" spans="3:27" x14ac:dyDescent="0.25">
      <c r="E219" s="96"/>
      <c r="F219" s="412" t="s">
        <v>50</v>
      </c>
      <c r="G219" s="93" t="s">
        <v>183</v>
      </c>
      <c r="H219" s="350"/>
      <c r="I219" s="350"/>
      <c r="J219" s="354">
        <f t="shared" ref="J219:Y219" si="69">hundred * $H27 * J64 / $H52 * J114 * (1 - J76) / hours_in_year</f>
        <v>7.0521238005777798E-4</v>
      </c>
      <c r="K219" s="354">
        <f t="shared" si="69"/>
        <v>7.0521238005777798E-4</v>
      </c>
      <c r="L219" s="354">
        <f t="shared" si="69"/>
        <v>8.6001490340306479E-4</v>
      </c>
      <c r="M219" s="354">
        <f t="shared" si="69"/>
        <v>8.6001490340306479E-4</v>
      </c>
      <c r="N219" s="354">
        <f t="shared" si="69"/>
        <v>6.2620935321263196E-4</v>
      </c>
      <c r="O219" s="354">
        <f t="shared" si="69"/>
        <v>0</v>
      </c>
      <c r="P219" s="354">
        <f t="shared" si="69"/>
        <v>0</v>
      </c>
      <c r="Q219" s="354">
        <f t="shared" si="69"/>
        <v>6.6965630467798144E-4</v>
      </c>
      <c r="R219" s="354">
        <f t="shared" si="69"/>
        <v>0</v>
      </c>
      <c r="S219" s="354">
        <f t="shared" si="69"/>
        <v>0</v>
      </c>
      <c r="T219" s="354">
        <f t="shared" si="69"/>
        <v>0</v>
      </c>
      <c r="U219" s="354">
        <f t="shared" si="69"/>
        <v>0</v>
      </c>
      <c r="V219" s="354">
        <f t="shared" si="69"/>
        <v>0</v>
      </c>
      <c r="W219" s="354">
        <f t="shared" si="69"/>
        <v>0</v>
      </c>
      <c r="X219" s="354">
        <f t="shared" si="69"/>
        <v>0</v>
      </c>
      <c r="Y219" s="354">
        <f t="shared" si="69"/>
        <v>0</v>
      </c>
      <c r="Z219" s="348"/>
      <c r="AA219" s="348"/>
    </row>
    <row r="220" spans="3:27" x14ac:dyDescent="0.25">
      <c r="E220" s="96"/>
      <c r="F220" s="410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2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25">
      <c r="C222" s="96"/>
      <c r="E222" s="96"/>
      <c r="F222" s="409" t="s">
        <v>267</v>
      </c>
      <c r="G222" s="91" t="s">
        <v>183</v>
      </c>
      <c r="H222" s="346"/>
      <c r="I222" s="346"/>
      <c r="J222" s="352">
        <f t="shared" ref="J222:Y222" si="70">hundred * $H30 * J55 / $H43 * J105 / hours_in_year</f>
        <v>1.3536734621334564E-2</v>
      </c>
      <c r="K222" s="352">
        <f t="shared" si="70"/>
        <v>1.3536734621334564E-2</v>
      </c>
      <c r="L222" s="352">
        <f t="shared" si="70"/>
        <v>1.6508209224583039E-2</v>
      </c>
      <c r="M222" s="352">
        <f t="shared" si="70"/>
        <v>1.6508209224583039E-2</v>
      </c>
      <c r="N222" s="352">
        <f t="shared" si="70"/>
        <v>1.2020251021603529E-2</v>
      </c>
      <c r="O222" s="352">
        <f t="shared" si="70"/>
        <v>1.1607467161760315E-2</v>
      </c>
      <c r="P222" s="352">
        <f t="shared" si="70"/>
        <v>1.0080797552134072E-2</v>
      </c>
      <c r="Q222" s="352">
        <f t="shared" si="70"/>
        <v>1.2854226528449073E-2</v>
      </c>
      <c r="R222" s="352">
        <f t="shared" si="70"/>
        <v>-1.015881655451E-2</v>
      </c>
      <c r="S222" s="352">
        <f t="shared" si="70"/>
        <v>-9.709554811575892E-3</v>
      </c>
      <c r="T222" s="352">
        <f t="shared" si="70"/>
        <v>-1.015881655451E-2</v>
      </c>
      <c r="U222" s="352">
        <f t="shared" si="70"/>
        <v>-1.015881655451E-2</v>
      </c>
      <c r="V222" s="352">
        <f t="shared" si="70"/>
        <v>-9.709554811575892E-3</v>
      </c>
      <c r="W222" s="352">
        <f t="shared" si="70"/>
        <v>-9.709554811575892E-3</v>
      </c>
      <c r="X222" s="352">
        <f t="shared" si="70"/>
        <v>-9.507845457605477E-3</v>
      </c>
      <c r="Y222" s="352">
        <f t="shared" si="70"/>
        <v>-9.507845457605477E-3</v>
      </c>
      <c r="Z222" s="348"/>
      <c r="AA222" s="348"/>
    </row>
    <row r="223" spans="3:27" x14ac:dyDescent="0.25">
      <c r="C223" s="96"/>
      <c r="E223" s="96"/>
      <c r="F223" s="410" t="s">
        <v>43</v>
      </c>
      <c r="G223" s="293" t="s">
        <v>183</v>
      </c>
      <c r="H223" s="348"/>
      <c r="I223" s="348"/>
      <c r="J223" s="353">
        <f t="shared" ref="J223:Y223" si="71">hundred * $H31 * J56 / $H44 * J106 / hours_in_year</f>
        <v>0</v>
      </c>
      <c r="K223" s="353">
        <f t="shared" si="71"/>
        <v>0</v>
      </c>
      <c r="L223" s="353">
        <f t="shared" si="71"/>
        <v>0</v>
      </c>
      <c r="M223" s="353">
        <f t="shared" si="71"/>
        <v>0</v>
      </c>
      <c r="N223" s="353">
        <f t="shared" si="71"/>
        <v>0</v>
      </c>
      <c r="O223" s="353">
        <f t="shared" si="71"/>
        <v>0</v>
      </c>
      <c r="P223" s="353">
        <f t="shared" si="71"/>
        <v>0</v>
      </c>
      <c r="Q223" s="353">
        <f t="shared" si="71"/>
        <v>0</v>
      </c>
      <c r="R223" s="353">
        <f t="shared" si="71"/>
        <v>0</v>
      </c>
      <c r="S223" s="353">
        <f t="shared" si="71"/>
        <v>0</v>
      </c>
      <c r="T223" s="353">
        <f t="shared" si="71"/>
        <v>0</v>
      </c>
      <c r="U223" s="353">
        <f t="shared" si="71"/>
        <v>0</v>
      </c>
      <c r="V223" s="353">
        <f t="shared" si="71"/>
        <v>0</v>
      </c>
      <c r="W223" s="353">
        <f t="shared" si="71"/>
        <v>0</v>
      </c>
      <c r="X223" s="353">
        <f t="shared" si="71"/>
        <v>0</v>
      </c>
      <c r="Y223" s="353">
        <f t="shared" si="71"/>
        <v>0</v>
      </c>
      <c r="Z223" s="348"/>
      <c r="AA223" s="348"/>
    </row>
    <row r="224" spans="3:27" x14ac:dyDescent="0.25">
      <c r="C224" s="96"/>
      <c r="E224" s="96"/>
      <c r="F224" s="410" t="s">
        <v>44</v>
      </c>
      <c r="G224" s="293" t="s">
        <v>183</v>
      </c>
      <c r="H224" s="348"/>
      <c r="I224" s="348"/>
      <c r="J224" s="353">
        <f t="shared" ref="J224:Y224" si="72">hundred * $H32 * J57 / $H45 * J107 / hours_in_year</f>
        <v>1.4869935235169459E-2</v>
      </c>
      <c r="K224" s="353">
        <f t="shared" si="72"/>
        <v>1.4869935235169459E-2</v>
      </c>
      <c r="L224" s="353">
        <f t="shared" si="72"/>
        <v>1.8134063264510957E-2</v>
      </c>
      <c r="M224" s="353">
        <f t="shared" si="72"/>
        <v>1.8134063264510957E-2</v>
      </c>
      <c r="N224" s="353">
        <f t="shared" si="72"/>
        <v>1.3204096793034588E-2</v>
      </c>
      <c r="O224" s="353">
        <f t="shared" si="72"/>
        <v>1.2750658838188518E-2</v>
      </c>
      <c r="P224" s="353">
        <f t="shared" si="72"/>
        <v>1.1073631190408162E-2</v>
      </c>
      <c r="Q224" s="353">
        <f t="shared" si="72"/>
        <v>1.4120208552732234E-2</v>
      </c>
      <c r="R224" s="353">
        <f t="shared" si="72"/>
        <v>-1.1159334097711533E-2</v>
      </c>
      <c r="S224" s="353">
        <f t="shared" si="72"/>
        <v>-1.0665825640321759E-2</v>
      </c>
      <c r="T224" s="353">
        <f t="shared" si="72"/>
        <v>-1.1159334097711533E-2</v>
      </c>
      <c r="U224" s="353">
        <f t="shared" si="72"/>
        <v>-1.1159334097711533E-2</v>
      </c>
      <c r="V224" s="353">
        <f t="shared" si="72"/>
        <v>-1.0665825640321759E-2</v>
      </c>
      <c r="W224" s="353">
        <f t="shared" si="72"/>
        <v>-1.0665825640321759E-2</v>
      </c>
      <c r="X224" s="353">
        <f t="shared" si="72"/>
        <v>-1.0444250414554927E-2</v>
      </c>
      <c r="Y224" s="353">
        <f t="shared" si="72"/>
        <v>-1.0444250414554927E-2</v>
      </c>
      <c r="Z224" s="348"/>
      <c r="AA224" s="348"/>
    </row>
    <row r="225" spans="2:27" x14ac:dyDescent="0.25">
      <c r="C225" s="96"/>
      <c r="E225" s="96"/>
      <c r="F225" s="410" t="s">
        <v>45</v>
      </c>
      <c r="G225" s="293" t="s">
        <v>183</v>
      </c>
      <c r="H225" s="348"/>
      <c r="I225" s="348"/>
      <c r="J225" s="353">
        <f t="shared" ref="J225:Y225" si="73">hundred * $H33 * J58 / $H46 * J108 / hours_in_year</f>
        <v>2.9255054823832463E-3</v>
      </c>
      <c r="K225" s="353">
        <f t="shared" si="73"/>
        <v>2.9255054823832463E-3</v>
      </c>
      <c r="L225" s="353">
        <f t="shared" si="73"/>
        <v>3.5676888069248449E-3</v>
      </c>
      <c r="M225" s="353">
        <f t="shared" si="73"/>
        <v>3.5676888069248449E-3</v>
      </c>
      <c r="N225" s="353">
        <f t="shared" si="73"/>
        <v>2.5977690519175633E-3</v>
      </c>
      <c r="O225" s="353">
        <f t="shared" si="73"/>
        <v>2.5085598387069113E-3</v>
      </c>
      <c r="P225" s="353">
        <f t="shared" si="73"/>
        <v>2.1786220481181543E-3</v>
      </c>
      <c r="Q225" s="353">
        <f t="shared" si="73"/>
        <v>2.7780045360057816E-3</v>
      </c>
      <c r="R225" s="353">
        <f t="shared" si="73"/>
        <v>-2.1954832059649749E-3</v>
      </c>
      <c r="S225" s="353">
        <f t="shared" si="73"/>
        <v>-2.0983905371091231E-3</v>
      </c>
      <c r="T225" s="353">
        <f t="shared" si="73"/>
        <v>-2.1954832059649749E-3</v>
      </c>
      <c r="U225" s="353">
        <f t="shared" si="73"/>
        <v>-2.1954832059649749E-3</v>
      </c>
      <c r="V225" s="353">
        <f t="shared" si="73"/>
        <v>-2.0983905371091231E-3</v>
      </c>
      <c r="W225" s="353">
        <f t="shared" si="73"/>
        <v>-2.0983905371091231E-3</v>
      </c>
      <c r="X225" s="353">
        <f t="shared" si="73"/>
        <v>-2.0547979102758834E-3</v>
      </c>
      <c r="Y225" s="353">
        <f t="shared" si="73"/>
        <v>-2.0547979102758834E-3</v>
      </c>
      <c r="Z225" s="348"/>
      <c r="AA225" s="348"/>
    </row>
    <row r="226" spans="2:27" x14ac:dyDescent="0.25">
      <c r="C226" s="96"/>
      <c r="E226" s="96"/>
      <c r="F226" s="410" t="s">
        <v>46</v>
      </c>
      <c r="G226" s="293" t="s">
        <v>183</v>
      </c>
      <c r="H226" s="348"/>
      <c r="I226" s="348"/>
      <c r="J226" s="353">
        <f t="shared" ref="J226:Y226" si="74">hundred * $H34 * J59 / $H47 * J109 / hours_in_year</f>
        <v>2.9865621873183246E-2</v>
      </c>
      <c r="K226" s="353">
        <f t="shared" si="74"/>
        <v>2.9865621873183246E-2</v>
      </c>
      <c r="L226" s="353">
        <f t="shared" si="74"/>
        <v>3.6421481863710047E-2</v>
      </c>
      <c r="M226" s="353">
        <f t="shared" si="74"/>
        <v>3.6421481863710047E-2</v>
      </c>
      <c r="N226" s="353">
        <f t="shared" si="74"/>
        <v>2.6519857400924891E-2</v>
      </c>
      <c r="O226" s="353">
        <f t="shared" si="74"/>
        <v>2.5609146877428272E-2</v>
      </c>
      <c r="P226" s="353">
        <f t="shared" si="74"/>
        <v>2.2240909369505357E-2</v>
      </c>
      <c r="Q226" s="353">
        <f t="shared" si="74"/>
        <v>2.8359828253252187E-2</v>
      </c>
      <c r="R226" s="353">
        <f t="shared" si="74"/>
        <v>-2.2413039952623247E-2</v>
      </c>
      <c r="S226" s="353">
        <f t="shared" si="74"/>
        <v>-2.142184955760652E-2</v>
      </c>
      <c r="T226" s="353">
        <f t="shared" si="74"/>
        <v>-2.2413039952623247E-2</v>
      </c>
      <c r="U226" s="353">
        <f t="shared" si="74"/>
        <v>-2.2413039952623247E-2</v>
      </c>
      <c r="V226" s="353">
        <f t="shared" si="74"/>
        <v>-2.142184955760652E-2</v>
      </c>
      <c r="W226" s="353">
        <f t="shared" si="74"/>
        <v>-2.142184955760652E-2</v>
      </c>
      <c r="X226" s="353">
        <f t="shared" si="74"/>
        <v>-2.0976825298619408E-2</v>
      </c>
      <c r="Y226" s="353">
        <f t="shared" si="74"/>
        <v>-2.0976825298619408E-2</v>
      </c>
      <c r="Z226" s="348"/>
      <c r="AA226" s="348"/>
    </row>
    <row r="227" spans="2:27" x14ac:dyDescent="0.25">
      <c r="C227" s="96"/>
      <c r="E227" s="96"/>
      <c r="F227" s="410" t="s">
        <v>47</v>
      </c>
      <c r="G227" s="293" t="s">
        <v>183</v>
      </c>
      <c r="H227" s="348"/>
      <c r="I227" s="348"/>
      <c r="J227" s="353">
        <f t="shared" ref="J227:Y227" si="75">hundred * $H35 * J60 / $H48 * J110 / hours_in_year</f>
        <v>3.4541116219261991E-3</v>
      </c>
      <c r="K227" s="353">
        <f t="shared" si="75"/>
        <v>3.4541116219261991E-3</v>
      </c>
      <c r="L227" s="353">
        <f t="shared" si="75"/>
        <v>4.2123302949260248E-3</v>
      </c>
      <c r="M227" s="353">
        <f t="shared" si="75"/>
        <v>4.2123302949260248E-3</v>
      </c>
      <c r="N227" s="353">
        <f t="shared" si="75"/>
        <v>3.0671568818934044E-3</v>
      </c>
      <c r="O227" s="353">
        <f t="shared" si="75"/>
        <v>2.9618285610307888E-3</v>
      </c>
      <c r="P227" s="353">
        <f t="shared" si="75"/>
        <v>2.5722746997073513E-3</v>
      </c>
      <c r="Q227" s="353">
        <f t="shared" si="75"/>
        <v>3.2799589032950021E-3</v>
      </c>
      <c r="R227" s="353">
        <f t="shared" si="75"/>
        <v>-2.5921824803040883E-3</v>
      </c>
      <c r="S227" s="353">
        <f t="shared" si="75"/>
        <v>-2.4775462514819756E-3</v>
      </c>
      <c r="T227" s="353">
        <f t="shared" si="75"/>
        <v>-2.5921824803040883E-3</v>
      </c>
      <c r="U227" s="353">
        <f t="shared" si="75"/>
        <v>-2.5921824803040883E-3</v>
      </c>
      <c r="V227" s="353">
        <f t="shared" si="75"/>
        <v>-2.4775462514819756E-3</v>
      </c>
      <c r="W227" s="353">
        <f t="shared" si="75"/>
        <v>-2.4775462514819756E-3</v>
      </c>
      <c r="X227" s="353">
        <f t="shared" si="75"/>
        <v>-2.4260769242557215E-3</v>
      </c>
      <c r="Y227" s="353">
        <f t="shared" si="75"/>
        <v>-2.4260769242557215E-3</v>
      </c>
      <c r="Z227" s="348"/>
      <c r="AA227" s="348"/>
    </row>
    <row r="228" spans="2:27" x14ac:dyDescent="0.25">
      <c r="C228" s="96"/>
      <c r="E228" s="96"/>
      <c r="F228" s="410" t="s">
        <v>51</v>
      </c>
      <c r="G228" s="293" t="s">
        <v>183</v>
      </c>
      <c r="H228" s="348"/>
      <c r="I228" s="348"/>
      <c r="J228" s="353">
        <f t="shared" ref="J228:Y228" si="76">hundred * $H36 * J61 / $H49 * J111 / hours_in_year</f>
        <v>0</v>
      </c>
      <c r="K228" s="353">
        <f t="shared" si="76"/>
        <v>0</v>
      </c>
      <c r="L228" s="353">
        <f t="shared" si="76"/>
        <v>0</v>
      </c>
      <c r="M228" s="353">
        <f t="shared" si="76"/>
        <v>0</v>
      </c>
      <c r="N228" s="353">
        <f t="shared" si="76"/>
        <v>0</v>
      </c>
      <c r="O228" s="353">
        <f t="shared" si="76"/>
        <v>0</v>
      </c>
      <c r="P228" s="353">
        <f t="shared" si="76"/>
        <v>0</v>
      </c>
      <c r="Q228" s="353">
        <f t="shared" si="76"/>
        <v>0</v>
      </c>
      <c r="R228" s="353">
        <f t="shared" si="76"/>
        <v>0</v>
      </c>
      <c r="S228" s="353">
        <f t="shared" si="76"/>
        <v>0</v>
      </c>
      <c r="T228" s="353">
        <f t="shared" si="76"/>
        <v>0</v>
      </c>
      <c r="U228" s="353">
        <f t="shared" si="76"/>
        <v>0</v>
      </c>
      <c r="V228" s="353">
        <f t="shared" si="76"/>
        <v>0</v>
      </c>
      <c r="W228" s="353">
        <f t="shared" si="76"/>
        <v>0</v>
      </c>
      <c r="X228" s="353">
        <f t="shared" si="76"/>
        <v>0</v>
      </c>
      <c r="Y228" s="353">
        <f t="shared" si="76"/>
        <v>0</v>
      </c>
      <c r="Z228" s="348"/>
      <c r="AA228" s="348"/>
    </row>
    <row r="229" spans="2:27" x14ac:dyDescent="0.25">
      <c r="C229" s="96"/>
      <c r="E229" s="96"/>
      <c r="F229" s="410" t="s">
        <v>48</v>
      </c>
      <c r="G229" s="293" t="s">
        <v>183</v>
      </c>
      <c r="H229" s="348"/>
      <c r="I229" s="348"/>
      <c r="J229" s="353">
        <f t="shared" ref="J229:Y229" si="77">hundred * $H37 * J62 / $H50 * J112 / hours_in_year</f>
        <v>2.8349511829629477E-2</v>
      </c>
      <c r="K229" s="353">
        <f t="shared" si="77"/>
        <v>2.8349511829629477E-2</v>
      </c>
      <c r="L229" s="353">
        <f t="shared" si="77"/>
        <v>3.4572567594013746E-2</v>
      </c>
      <c r="M229" s="353">
        <f t="shared" si="77"/>
        <v>3.4572567594013746E-2</v>
      </c>
      <c r="N229" s="353">
        <f t="shared" si="77"/>
        <v>2.5173593046213482E-2</v>
      </c>
      <c r="O229" s="353">
        <f t="shared" si="77"/>
        <v>2.4309114185908271E-2</v>
      </c>
      <c r="P229" s="353">
        <f t="shared" si="77"/>
        <v>2.1111863196749996E-2</v>
      </c>
      <c r="Q229" s="353">
        <f t="shared" si="77"/>
        <v>2.6920158902625908E-2</v>
      </c>
      <c r="R229" s="353">
        <f t="shared" si="77"/>
        <v>-2.1275255676004662E-2</v>
      </c>
      <c r="S229" s="353">
        <f t="shared" si="77"/>
        <v>-2.0334382455675929E-2</v>
      </c>
      <c r="T229" s="353">
        <f t="shared" si="77"/>
        <v>-2.1275255676004662E-2</v>
      </c>
      <c r="U229" s="353">
        <f t="shared" si="77"/>
        <v>-2.1275255676004662E-2</v>
      </c>
      <c r="V229" s="353">
        <f t="shared" si="77"/>
        <v>-2.0334382455675929E-2</v>
      </c>
      <c r="W229" s="353">
        <f t="shared" si="77"/>
        <v>-2.0334382455675929E-2</v>
      </c>
      <c r="X229" s="353">
        <f t="shared" si="77"/>
        <v>0</v>
      </c>
      <c r="Y229" s="353">
        <f t="shared" si="77"/>
        <v>0</v>
      </c>
      <c r="Z229" s="348"/>
      <c r="AA229" s="348"/>
    </row>
    <row r="230" spans="2:27" x14ac:dyDescent="0.25">
      <c r="C230" s="96"/>
      <c r="E230" s="96"/>
      <c r="F230" s="410" t="s">
        <v>49</v>
      </c>
      <c r="G230" s="293" t="s">
        <v>183</v>
      </c>
      <c r="H230" s="348"/>
      <c r="I230" s="348"/>
      <c r="J230" s="353">
        <f t="shared" ref="J230:Y230" si="78">hundred * $H38 * J63 / $H51 * J113 / hours_in_year</f>
        <v>1.1088135535702329E-2</v>
      </c>
      <c r="K230" s="353">
        <f t="shared" si="78"/>
        <v>1.1088135535702329E-2</v>
      </c>
      <c r="L230" s="353">
        <f t="shared" si="78"/>
        <v>1.3522113453078985E-2</v>
      </c>
      <c r="M230" s="353">
        <f t="shared" si="78"/>
        <v>1.3522113453078985E-2</v>
      </c>
      <c r="N230" s="353">
        <f t="shared" si="78"/>
        <v>9.8459618385843967E-3</v>
      </c>
      <c r="O230" s="353">
        <f t="shared" si="78"/>
        <v>9.5078445959165554E-3</v>
      </c>
      <c r="P230" s="353">
        <f t="shared" si="78"/>
        <v>0</v>
      </c>
      <c r="Q230" s="353">
        <f t="shared" si="78"/>
        <v>1.0529083264248257E-2</v>
      </c>
      <c r="R230" s="353">
        <f t="shared" si="78"/>
        <v>-8.3212338861407189E-3</v>
      </c>
      <c r="S230" s="353">
        <f t="shared" si="78"/>
        <v>0</v>
      </c>
      <c r="T230" s="353">
        <f t="shared" si="78"/>
        <v>-8.3212338861407189E-3</v>
      </c>
      <c r="U230" s="353">
        <f t="shared" si="78"/>
        <v>-8.3212338861407189E-3</v>
      </c>
      <c r="V230" s="353">
        <f t="shared" si="78"/>
        <v>0</v>
      </c>
      <c r="W230" s="353">
        <f t="shared" si="78"/>
        <v>0</v>
      </c>
      <c r="X230" s="353">
        <f t="shared" si="78"/>
        <v>0</v>
      </c>
      <c r="Y230" s="353">
        <f t="shared" si="78"/>
        <v>0</v>
      </c>
      <c r="Z230" s="348"/>
      <c r="AA230" s="348"/>
    </row>
    <row r="231" spans="2:27" x14ac:dyDescent="0.25">
      <c r="C231" s="96"/>
      <c r="E231" s="96"/>
      <c r="F231" s="412" t="s">
        <v>50</v>
      </c>
      <c r="G231" s="93" t="s">
        <v>183</v>
      </c>
      <c r="H231" s="350"/>
      <c r="I231" s="350"/>
      <c r="J231" s="354">
        <f t="shared" ref="J231:Y231" si="79">hundred * $H39 * J64 / $H52 * J114 / hours_in_year</f>
        <v>6.789481850656579E-3</v>
      </c>
      <c r="K231" s="354">
        <f t="shared" si="79"/>
        <v>6.789481850656579E-3</v>
      </c>
      <c r="L231" s="354">
        <f t="shared" si="79"/>
        <v>8.2798540454875266E-3</v>
      </c>
      <c r="M231" s="354">
        <f t="shared" si="79"/>
        <v>8.2798540454875266E-3</v>
      </c>
      <c r="N231" s="354">
        <f t="shared" si="79"/>
        <v>6.028874646245185E-3</v>
      </c>
      <c r="O231" s="354">
        <f t="shared" si="79"/>
        <v>0</v>
      </c>
      <c r="P231" s="354">
        <f t="shared" si="79"/>
        <v>0</v>
      </c>
      <c r="Q231" s="354">
        <f t="shared" si="79"/>
        <v>6.4471632310487857E-3</v>
      </c>
      <c r="R231" s="354">
        <f t="shared" si="79"/>
        <v>0</v>
      </c>
      <c r="S231" s="354">
        <f t="shared" si="79"/>
        <v>0</v>
      </c>
      <c r="T231" s="354">
        <f t="shared" si="79"/>
        <v>0</v>
      </c>
      <c r="U231" s="354">
        <f t="shared" si="79"/>
        <v>0</v>
      </c>
      <c r="V231" s="354">
        <f t="shared" si="79"/>
        <v>0</v>
      </c>
      <c r="W231" s="354">
        <f t="shared" si="79"/>
        <v>0</v>
      </c>
      <c r="X231" s="354">
        <f t="shared" si="79"/>
        <v>0</v>
      </c>
      <c r="Y231" s="354">
        <f t="shared" si="79"/>
        <v>0</v>
      </c>
      <c r="Z231" s="348"/>
      <c r="AA231" s="348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801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3" t="s">
        <v>416</v>
      </c>
      <c r="G237" s="122" t="s">
        <v>589</v>
      </c>
      <c r="H237" s="414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3" t="s">
        <v>373</v>
      </c>
      <c r="G239" s="122" t="s">
        <v>589</v>
      </c>
      <c r="H239" s="414">
        <f>SUM(J239:Y239)</f>
        <v>0</v>
      </c>
      <c r="I239" s="133"/>
      <c r="J239" s="414">
        <f t="shared" ref="J239:K239" si="80">IF(ABS(IFERROR(SUM(J152:J231), 1)) &gt; 0, 0, 1)</f>
        <v>0</v>
      </c>
      <c r="K239" s="414">
        <f t="shared" si="80"/>
        <v>0</v>
      </c>
      <c r="L239" s="414">
        <f t="shared" ref="L239:Y239" si="81">IF(ABS(IFERROR(SUM(L152:L231), 1)) &gt; 0, 0, 1)</f>
        <v>0</v>
      </c>
      <c r="M239" s="414">
        <f t="shared" si="81"/>
        <v>0</v>
      </c>
      <c r="N239" s="414">
        <f t="shared" si="81"/>
        <v>0</v>
      </c>
      <c r="O239" s="414">
        <f t="shared" si="81"/>
        <v>0</v>
      </c>
      <c r="P239" s="414">
        <f t="shared" si="81"/>
        <v>0</v>
      </c>
      <c r="Q239" s="414">
        <f t="shared" si="81"/>
        <v>0</v>
      </c>
      <c r="R239" s="414">
        <f t="shared" si="81"/>
        <v>0</v>
      </c>
      <c r="S239" s="414">
        <f t="shared" si="81"/>
        <v>0</v>
      </c>
      <c r="T239" s="414">
        <f t="shared" si="81"/>
        <v>0</v>
      </c>
      <c r="U239" s="414">
        <f t="shared" si="81"/>
        <v>0</v>
      </c>
      <c r="V239" s="414">
        <f t="shared" si="81"/>
        <v>0</v>
      </c>
      <c r="W239" s="414">
        <f t="shared" si="81"/>
        <v>0</v>
      </c>
      <c r="X239" s="414">
        <f t="shared" si="81"/>
        <v>0</v>
      </c>
      <c r="Y239" s="414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3" t="s">
        <v>375</v>
      </c>
      <c r="G241" s="122" t="s">
        <v>589</v>
      </c>
      <c r="H241" s="310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00000000-0004-0000-19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378</v>
      </c>
      <c r="D9" s="293"/>
      <c r="F9" s="82"/>
    </row>
    <row r="10" spans="1:27" x14ac:dyDescent="0.25">
      <c r="C10" s="82" t="s">
        <v>379</v>
      </c>
      <c r="D10" s="293"/>
      <c r="E10" s="293"/>
      <c r="F10" s="82"/>
    </row>
    <row r="11" spans="1:27" x14ac:dyDescent="0.25">
      <c r="C11" s="82" t="s">
        <v>407</v>
      </c>
    </row>
    <row r="13" spans="1:27" x14ac:dyDescent="0.25">
      <c r="B13" s="95" t="s">
        <v>663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380</v>
      </c>
    </row>
    <row r="16" spans="1:27" x14ac:dyDescent="0.25">
      <c r="C16" s="86"/>
    </row>
    <row r="17" spans="2:27" x14ac:dyDescent="0.25">
      <c r="C17" s="7" t="str">
        <f ca="1">INDEX('Version control'!$H$34:$H$60,MATCH($A$1,'Version control'!$F$34:$F$60,0),1)&amp;"-A: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3"/>
      <c r="E19" s="14" t="s">
        <v>97</v>
      </c>
      <c r="F19" s="14"/>
      <c r="G19" s="14" t="s">
        <v>94</v>
      </c>
      <c r="H19" s="403">
        <f>'Unit costs'!$H$121</f>
        <v>4.792270865014963E-2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3" t="s">
        <v>131</v>
      </c>
      <c r="G20" s="293" t="s">
        <v>506</v>
      </c>
      <c r="H20" s="273">
        <f>'Unit costs'!$H$122</f>
        <v>119372804.85685407</v>
      </c>
    </row>
    <row r="21" spans="2:27" x14ac:dyDescent="0.25">
      <c r="C21" s="86"/>
      <c r="E21" s="293" t="s">
        <v>121</v>
      </c>
      <c r="G21" s="293" t="s">
        <v>506</v>
      </c>
      <c r="H21" s="273">
        <f>'Unit costs'!$H$123</f>
        <v>3746928623.5084729</v>
      </c>
    </row>
    <row r="22" spans="2:27" x14ac:dyDescent="0.25">
      <c r="D22" s="86"/>
      <c r="E22" s="293"/>
    </row>
    <row r="23" spans="2:27" x14ac:dyDescent="0.2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25">
      <c r="D24" s="293"/>
      <c r="E24" s="82" t="s">
        <v>383</v>
      </c>
      <c r="H24" s="90"/>
    </row>
    <row r="25" spans="2:27" x14ac:dyDescent="0.25">
      <c r="E25" s="86"/>
      <c r="F25" s="91" t="s">
        <v>124</v>
      </c>
      <c r="G25" s="91" t="s">
        <v>510</v>
      </c>
      <c r="H25" s="141"/>
      <c r="I25" s="91"/>
      <c r="J25" s="272">
        <f>'Inputs by customer type'!J190</f>
        <v>377.70000000000005</v>
      </c>
      <c r="K25" s="272">
        <f>'Inputs by customer type'!K190</f>
        <v>0</v>
      </c>
      <c r="L25" s="272">
        <f>'Inputs by customer type'!L190</f>
        <v>508.75</v>
      </c>
      <c r="M25" s="272">
        <f>'Inputs by customer type'!M190</f>
        <v>0</v>
      </c>
      <c r="N25" s="272">
        <f>'Inputs by customer type'!N190</f>
        <v>2380</v>
      </c>
      <c r="O25" s="272">
        <f>'Inputs by customer type'!O190</f>
        <v>840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25">
      <c r="E26" s="86"/>
      <c r="F26" s="293" t="s">
        <v>123</v>
      </c>
      <c r="G26" s="293" t="s">
        <v>510</v>
      </c>
      <c r="H26" s="379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12718.10554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9287</v>
      </c>
      <c r="Y26" s="273">
        <f>'Inputs by customer type'!Y191</f>
        <v>9287</v>
      </c>
    </row>
    <row r="27" spans="2:27" x14ac:dyDescent="0.2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120.51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25">
      <c r="D28" s="86"/>
      <c r="E28" s="293"/>
    </row>
    <row r="29" spans="2:27" x14ac:dyDescent="0.25">
      <c r="B29" s="95" t="s">
        <v>418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384</v>
      </c>
    </row>
    <row r="32" spans="2:27" x14ac:dyDescent="0.25">
      <c r="C32" s="86"/>
    </row>
    <row r="33" spans="2:27" x14ac:dyDescent="0.25">
      <c r="C33" s="7" t="str">
        <f ca="1">INDEX('Version control'!$H$34:$H$60,MATCH($A$1,'Version control'!$F$34:$F$60,0),1)&amp;"-B: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3"/>
      <c r="E35" s="293" t="s">
        <v>385</v>
      </c>
      <c r="G35" s="293" t="s">
        <v>107</v>
      </c>
      <c r="H35" s="275">
        <f>IF(H21 &lt;&gt; 0, H20  /H21, 0)</f>
        <v>3.1858841427589879E-2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803</v>
      </c>
    </row>
    <row r="36" spans="2:27" x14ac:dyDescent="0.2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control'!$H$34:$H$60,MATCH($A$1,'Version control'!$F$34:$F$60,0),1)&amp;"-C: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3"/>
      <c r="E39" s="82" t="s">
        <v>805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3"/>
      <c r="E41" s="96" t="s">
        <v>662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804</v>
      </c>
    </row>
    <row r="42" spans="2:27" x14ac:dyDescent="0.25">
      <c r="D42" s="293"/>
      <c r="E42" s="86"/>
      <c r="F42" s="91" t="s">
        <v>124</v>
      </c>
      <c r="G42" s="91" t="s">
        <v>252</v>
      </c>
      <c r="H42" s="141"/>
      <c r="I42" s="91"/>
      <c r="J42" s="254">
        <f t="shared" ref="J42:K42" si="0">J25 * $H$35 / days_in_year * hundred</f>
        <v>3.2967354540275884</v>
      </c>
      <c r="K42" s="254">
        <f t="shared" si="0"/>
        <v>0</v>
      </c>
      <c r="L42" s="254">
        <f t="shared" ref="L42:M42" si="1">L25 * $H$35 / days_in_year * hundred</f>
        <v>4.4405987880236575</v>
      </c>
      <c r="M42" s="254">
        <f t="shared" si="1"/>
        <v>0</v>
      </c>
      <c r="N42" s="254">
        <f t="shared" ref="N42:P42" si="2">N25 * $H$35 / days_in_year * hundred</f>
        <v>20.773710300729842</v>
      </c>
      <c r="O42" s="254">
        <f t="shared" si="2"/>
        <v>7.331897753198767</v>
      </c>
      <c r="P42" s="254">
        <f t="shared" si="2"/>
        <v>0</v>
      </c>
      <c r="Q42" s="254">
        <f t="shared" ref="Q42:S42" si="3">Q25 * $H$35 / days_in_year * hundred</f>
        <v>0</v>
      </c>
      <c r="R42" s="254">
        <f t="shared" si="3"/>
        <v>0</v>
      </c>
      <c r="S42" s="254">
        <f t="shared" si="3"/>
        <v>0</v>
      </c>
      <c r="T42" s="254">
        <f t="shared" ref="T42:U42" si="4">T25 * $H$35 / days_in_year * hundred</f>
        <v>0</v>
      </c>
      <c r="U42" s="254">
        <f t="shared" si="4"/>
        <v>0</v>
      </c>
      <c r="V42" s="254">
        <f t="shared" ref="V42:W42" si="5">V25 * $H$35 / days_in_year * hundred</f>
        <v>0</v>
      </c>
      <c r="W42" s="254">
        <f t="shared" si="5"/>
        <v>0</v>
      </c>
      <c r="X42" s="254">
        <f t="shared" ref="X42:Y42" si="6">X25 * $H$35 / days_in_year * hundred</f>
        <v>0</v>
      </c>
      <c r="Y42" s="254">
        <f t="shared" si="6"/>
        <v>0</v>
      </c>
    </row>
    <row r="43" spans="2:27" x14ac:dyDescent="0.25">
      <c r="D43" s="293"/>
      <c r="E43" s="86"/>
      <c r="F43" s="293" t="s">
        <v>123</v>
      </c>
      <c r="G43" s="293" t="s">
        <v>252</v>
      </c>
      <c r="H43" s="379"/>
      <c r="J43" s="256">
        <f t="shared" ref="J43:K43" si="7">J26 * $H$35 / days_in_year * hundred</f>
        <v>0</v>
      </c>
      <c r="K43" s="256">
        <f t="shared" si="7"/>
        <v>0</v>
      </c>
      <c r="L43" s="256">
        <f t="shared" ref="L43:M43" si="8">L26 * $H$35 / days_in_year * hundred</f>
        <v>0</v>
      </c>
      <c r="M43" s="256">
        <f t="shared" si="8"/>
        <v>0</v>
      </c>
      <c r="N43" s="256">
        <f t="shared" ref="N43:P43" si="9">N26 * $H$35 / days_in_year * hundred</f>
        <v>0</v>
      </c>
      <c r="O43" s="256">
        <f t="shared" si="9"/>
        <v>0</v>
      </c>
      <c r="P43" s="256">
        <f t="shared" si="9"/>
        <v>111.00934456389379</v>
      </c>
      <c r="Q43" s="256">
        <f t="shared" ref="Q43:S43" si="10">Q26 * $H$35 / days_in_year * hundred</f>
        <v>0</v>
      </c>
      <c r="R43" s="256">
        <f t="shared" si="10"/>
        <v>0</v>
      </c>
      <c r="S43" s="256">
        <f t="shared" si="10"/>
        <v>0</v>
      </c>
      <c r="T43" s="256">
        <f t="shared" ref="T43:U43" si="11">T26 * $H$35 / days_in_year * hundred</f>
        <v>0</v>
      </c>
      <c r="U43" s="256">
        <f t="shared" si="11"/>
        <v>0</v>
      </c>
      <c r="V43" s="256">
        <f t="shared" ref="V43:W43" si="12">V26 * $H$35 / days_in_year * hundred</f>
        <v>0</v>
      </c>
      <c r="W43" s="256">
        <f t="shared" si="12"/>
        <v>0</v>
      </c>
      <c r="X43" s="256">
        <f t="shared" ref="X43:Y43" si="13">X26 * $H$35 / days_in_year * hundred</f>
        <v>81.061112421377317</v>
      </c>
      <c r="Y43" s="256">
        <f t="shared" si="13"/>
        <v>81.061112421377317</v>
      </c>
    </row>
    <row r="44" spans="2:27" x14ac:dyDescent="0.25">
      <c r="D44" s="293"/>
      <c r="E44" s="86"/>
      <c r="F44" s="93" t="s">
        <v>381</v>
      </c>
      <c r="G44" s="93" t="s">
        <v>183</v>
      </c>
      <c r="H44" s="350"/>
      <c r="I44" s="350"/>
      <c r="J44" s="355"/>
      <c r="K44" s="355"/>
      <c r="L44" s="355"/>
      <c r="M44" s="355"/>
      <c r="N44" s="355"/>
      <c r="O44" s="355"/>
      <c r="P44" s="355"/>
      <c r="Q44" s="356">
        <f t="shared" ref="Q44" si="14">Q27*$H$35/ten</f>
        <v>0.38393089804388564</v>
      </c>
      <c r="R44" s="355"/>
      <c r="S44" s="355"/>
      <c r="T44" s="355"/>
      <c r="U44" s="355"/>
      <c r="V44" s="355"/>
      <c r="W44" s="355"/>
      <c r="X44" s="355"/>
      <c r="Y44" s="355"/>
      <c r="Z44" s="348"/>
      <c r="AA44" s="348"/>
    </row>
    <row r="45" spans="2:27" x14ac:dyDescent="0.25">
      <c r="D45" s="86"/>
      <c r="E45" s="293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3" t="s">
        <v>416</v>
      </c>
      <c r="G48" s="122" t="s">
        <v>589</v>
      </c>
      <c r="H48" s="310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00000000-0004-0000-1A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386</v>
      </c>
      <c r="D9" s="293"/>
    </row>
    <row r="10" spans="1:27" x14ac:dyDescent="0.25">
      <c r="C10" s="82" t="s">
        <v>387</v>
      </c>
      <c r="D10" s="293"/>
      <c r="E10" s="293"/>
    </row>
    <row r="11" spans="1:27" x14ac:dyDescent="0.25">
      <c r="C11" s="82" t="s">
        <v>389</v>
      </c>
      <c r="D11" s="293"/>
      <c r="E11" s="293"/>
    </row>
    <row r="12" spans="1:27" x14ac:dyDescent="0.25">
      <c r="C12" s="82" t="s">
        <v>388</v>
      </c>
    </row>
    <row r="13" spans="1:27" x14ac:dyDescent="0.25">
      <c r="C13" s="82" t="s">
        <v>390</v>
      </c>
      <c r="D13" s="293"/>
    </row>
    <row r="15" spans="1:27" x14ac:dyDescent="0.25">
      <c r="B15" s="95" t="s">
        <v>661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420</v>
      </c>
    </row>
    <row r="19" spans="3:27" x14ac:dyDescent="0.25">
      <c r="C19" s="7" t="str">
        <f ca="1">INDEX('Version control'!$H$34:$H$60,MATCH($A$1,'Version control'!$F$34:$F$60,0),1)&amp;"-A: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3"/>
      <c r="E20" s="96"/>
    </row>
    <row r="21" spans="3:27" x14ac:dyDescent="0.25">
      <c r="D21" s="293"/>
      <c r="E21" s="96" t="s">
        <v>139</v>
      </c>
    </row>
    <row r="22" spans="3:27" x14ac:dyDescent="0.25">
      <c r="D22" s="293"/>
      <c r="F22" s="91" t="s">
        <v>267</v>
      </c>
      <c r="G22" s="91" t="s">
        <v>183</v>
      </c>
      <c r="H22" s="346"/>
      <c r="I22" s="346"/>
      <c r="J22" s="357">
        <f>'Initial unit rates'!J152</f>
        <v>0</v>
      </c>
      <c r="K22" s="357">
        <f>'Initial unit rates'!K152</f>
        <v>0</v>
      </c>
      <c r="L22" s="357">
        <f>'Initial unit rates'!L152</f>
        <v>0</v>
      </c>
      <c r="M22" s="357">
        <f>'Initial unit rates'!M152</f>
        <v>0</v>
      </c>
      <c r="N22" s="357">
        <f>'Initial unit rates'!N152</f>
        <v>0</v>
      </c>
      <c r="O22" s="357">
        <f>'Initial unit rates'!O152</f>
        <v>0</v>
      </c>
      <c r="P22" s="357">
        <f>'Initial unit rates'!P152</f>
        <v>0</v>
      </c>
      <c r="Q22" s="357">
        <f>'Initial unit rates'!Q152</f>
        <v>0</v>
      </c>
      <c r="R22" s="357">
        <f>'Initial unit rates'!R152</f>
        <v>0</v>
      </c>
      <c r="S22" s="357">
        <f>'Initial unit rates'!S152</f>
        <v>0</v>
      </c>
      <c r="T22" s="357">
        <f>'Initial unit rates'!T152</f>
        <v>0</v>
      </c>
      <c r="U22" s="357">
        <f>'Initial unit rates'!U152</f>
        <v>0</v>
      </c>
      <c r="V22" s="357">
        <f>'Initial unit rates'!V152</f>
        <v>0</v>
      </c>
      <c r="W22" s="357">
        <f>'Initial unit rates'!W152</f>
        <v>0</v>
      </c>
      <c r="X22" s="357">
        <f>'Initial unit rates'!X152</f>
        <v>0</v>
      </c>
      <c r="Y22" s="357">
        <f>'Initial unit rates'!Y152</f>
        <v>0</v>
      </c>
      <c r="Z22" s="348"/>
      <c r="AA22" s="348"/>
    </row>
    <row r="23" spans="3:27" x14ac:dyDescent="0.25">
      <c r="D23" s="293"/>
      <c r="F23" s="293" t="s">
        <v>43</v>
      </c>
      <c r="G23" s="293" t="s">
        <v>183</v>
      </c>
      <c r="H23" s="348"/>
      <c r="I23" s="348"/>
      <c r="J23" s="415">
        <f>'Initial unit rates'!J153</f>
        <v>0</v>
      </c>
      <c r="K23" s="415">
        <f>'Initial unit rates'!K153</f>
        <v>0</v>
      </c>
      <c r="L23" s="415">
        <f>'Initial unit rates'!L153</f>
        <v>0</v>
      </c>
      <c r="M23" s="415">
        <f>'Initial unit rates'!M153</f>
        <v>0</v>
      </c>
      <c r="N23" s="415">
        <f>'Initial unit rates'!N153</f>
        <v>0</v>
      </c>
      <c r="O23" s="415">
        <f>'Initial unit rates'!O153</f>
        <v>0</v>
      </c>
      <c r="P23" s="415">
        <f>'Initial unit rates'!P153</f>
        <v>0</v>
      </c>
      <c r="Q23" s="415">
        <f>'Initial unit rates'!Q153</f>
        <v>0</v>
      </c>
      <c r="R23" s="415">
        <f>'Initial unit rates'!R153</f>
        <v>0</v>
      </c>
      <c r="S23" s="415">
        <f>'Initial unit rates'!S153</f>
        <v>0</v>
      </c>
      <c r="T23" s="415">
        <f>'Initial unit rates'!T153</f>
        <v>0</v>
      </c>
      <c r="U23" s="415">
        <f>'Initial unit rates'!U153</f>
        <v>0</v>
      </c>
      <c r="V23" s="415">
        <f>'Initial unit rates'!V153</f>
        <v>0</v>
      </c>
      <c r="W23" s="415">
        <f>'Initial unit rates'!W153</f>
        <v>0</v>
      </c>
      <c r="X23" s="415">
        <f>'Initial unit rates'!X153</f>
        <v>0</v>
      </c>
      <c r="Y23" s="415">
        <f>'Initial unit rates'!Y153</f>
        <v>0</v>
      </c>
      <c r="Z23" s="348"/>
      <c r="AA23" s="348"/>
    </row>
    <row r="24" spans="3:27" x14ac:dyDescent="0.25">
      <c r="D24" s="293"/>
      <c r="F24" s="293" t="s">
        <v>44</v>
      </c>
      <c r="G24" s="293" t="s">
        <v>183</v>
      </c>
      <c r="H24" s="348"/>
      <c r="I24" s="348"/>
      <c r="J24" s="415">
        <f>'Initial unit rates'!J154</f>
        <v>2.3387877725092383</v>
      </c>
      <c r="K24" s="415">
        <f>'Initial unit rates'!K154</f>
        <v>2.3387877725092383</v>
      </c>
      <c r="L24" s="415">
        <f>'Initial unit rates'!L154</f>
        <v>2.8521795662322442</v>
      </c>
      <c r="M24" s="415">
        <f>'Initial unit rates'!M154</f>
        <v>2.8521795662322442</v>
      </c>
      <c r="N24" s="415">
        <f>'Initial unit rates'!N154</f>
        <v>2.0767797329431885</v>
      </c>
      <c r="O24" s="415">
        <f>'Initial unit rates'!O154</f>
        <v>2.0054616587475893</v>
      </c>
      <c r="P24" s="415">
        <f>'Initial unit rates'!P154</f>
        <v>1.7416937475389338</v>
      </c>
      <c r="Q24" s="415">
        <f>'Initial unit rates'!Q154</f>
        <v>4.1263984999605769</v>
      </c>
      <c r="R24" s="415">
        <f>'Initial unit rates'!R154</f>
        <v>-1.7551733564612071</v>
      </c>
      <c r="S24" s="415">
        <f>'Initial unit rates'!S154</f>
        <v>-1.67755287409063</v>
      </c>
      <c r="T24" s="415">
        <f>'Initial unit rates'!T154</f>
        <v>-1.7551733564612071</v>
      </c>
      <c r="U24" s="415">
        <f>'Initial unit rates'!U154</f>
        <v>-1.7551733564612071</v>
      </c>
      <c r="V24" s="415">
        <f>'Initial unit rates'!V154</f>
        <v>-1.67755287409063</v>
      </c>
      <c r="W24" s="415">
        <f>'Initial unit rates'!W154</f>
        <v>-1.67755287409063</v>
      </c>
      <c r="X24" s="415">
        <f>'Initial unit rates'!X154</f>
        <v>-1.6427028615977179</v>
      </c>
      <c r="Y24" s="415">
        <f>'Initial unit rates'!Y154</f>
        <v>-1.6427028615977179</v>
      </c>
      <c r="Z24" s="348"/>
      <c r="AA24" s="348"/>
    </row>
    <row r="25" spans="3:27" x14ac:dyDescent="0.25">
      <c r="D25" s="293"/>
      <c r="F25" s="293" t="s">
        <v>45</v>
      </c>
      <c r="G25" s="293" t="s">
        <v>183</v>
      </c>
      <c r="H25" s="348"/>
      <c r="I25" s="348"/>
      <c r="J25" s="415">
        <f>'Initial unit rates'!J155</f>
        <v>0.13280559104097453</v>
      </c>
      <c r="K25" s="415">
        <f>'Initial unit rates'!K155</f>
        <v>0.13280559104097453</v>
      </c>
      <c r="L25" s="415">
        <f>'Initial unit rates'!L155</f>
        <v>0.16195800127776125</v>
      </c>
      <c r="M25" s="415">
        <f>'Initial unit rates'!M155</f>
        <v>0.16195800127776125</v>
      </c>
      <c r="N25" s="415">
        <f>'Initial unit rates'!N155</f>
        <v>0.11792774151522464</v>
      </c>
      <c r="O25" s="415">
        <f>'Initial unit rates'!O155</f>
        <v>0.11387802007115835</v>
      </c>
      <c r="P25" s="415">
        <f>'Initial unit rates'!P155</f>
        <v>9.8900238094760423E-2</v>
      </c>
      <c r="Q25" s="415">
        <f>'Initial unit rates'!Q155</f>
        <v>0.17886420987347307</v>
      </c>
      <c r="R25" s="415">
        <f>'Initial unit rates'!R155</f>
        <v>-9.966566343645486E-2</v>
      </c>
      <c r="S25" s="415">
        <f>'Initial unit rates'!S155</f>
        <v>-9.5258066407225353E-2</v>
      </c>
      <c r="T25" s="415">
        <f>'Initial unit rates'!T155</f>
        <v>-9.966566343645486E-2</v>
      </c>
      <c r="U25" s="415">
        <f>'Initial unit rates'!U155</f>
        <v>-9.966566343645486E-2</v>
      </c>
      <c r="V25" s="415">
        <f>'Initial unit rates'!V155</f>
        <v>-9.5258066407225353E-2</v>
      </c>
      <c r="W25" s="415">
        <f>'Initial unit rates'!W155</f>
        <v>-9.5258066407225353E-2</v>
      </c>
      <c r="X25" s="415">
        <f>'Initial unit rates'!X155</f>
        <v>-9.3279145292061091E-2</v>
      </c>
      <c r="Y25" s="415">
        <f>'Initial unit rates'!Y155</f>
        <v>-9.3279145292061091E-2</v>
      </c>
      <c r="Z25" s="348"/>
      <c r="AA25" s="348"/>
    </row>
    <row r="26" spans="3:27" x14ac:dyDescent="0.25">
      <c r="D26" s="293"/>
      <c r="F26" s="293" t="s">
        <v>46</v>
      </c>
      <c r="G26" s="293" t="s">
        <v>183</v>
      </c>
      <c r="H26" s="348"/>
      <c r="I26" s="348"/>
      <c r="J26" s="415">
        <f>'Initial unit rates'!J156</f>
        <v>1.3557730753056794</v>
      </c>
      <c r="K26" s="415">
        <f>'Initial unit rates'!K156</f>
        <v>1.3557730753056794</v>
      </c>
      <c r="L26" s="415">
        <f>'Initial unit rates'!L156</f>
        <v>1.6533814257485966</v>
      </c>
      <c r="M26" s="415">
        <f>'Initial unit rates'!M156</f>
        <v>1.6533814257485966</v>
      </c>
      <c r="N26" s="415">
        <f>'Initial unit rates'!N156</f>
        <v>1.2038895013736322</v>
      </c>
      <c r="O26" s="415">
        <f>'Initial unit rates'!O156</f>
        <v>1.1625470906112785</v>
      </c>
      <c r="P26" s="415">
        <f>'Initial unit rates'!P156</f>
        <v>0.71237384708011253</v>
      </c>
      <c r="Q26" s="415">
        <f>'Initial unit rates'!Q156</f>
        <v>1.8259719186631285</v>
      </c>
      <c r="R26" s="415">
        <f>'Initial unit rates'!R156</f>
        <v>-1.0174573371533235</v>
      </c>
      <c r="S26" s="415">
        <f>'Initial unit rates'!S156</f>
        <v>-0.97246148018535117</v>
      </c>
      <c r="T26" s="415">
        <f>'Initial unit rates'!T156</f>
        <v>-1.0174573371533235</v>
      </c>
      <c r="U26" s="415">
        <f>'Initial unit rates'!U156</f>
        <v>-1.0174573371533235</v>
      </c>
      <c r="V26" s="415">
        <f>'Initial unit rates'!V156</f>
        <v>-0.97246148018535117</v>
      </c>
      <c r="W26" s="415">
        <f>'Initial unit rates'!W156</f>
        <v>-0.97246148018535117</v>
      </c>
      <c r="X26" s="415">
        <f>'Initial unit rates'!X156</f>
        <v>-0.67188537524431624</v>
      </c>
      <c r="Y26" s="415">
        <f>'Initial unit rates'!Y156</f>
        <v>-0.67188537524431624</v>
      </c>
      <c r="Z26" s="348"/>
      <c r="AA26" s="348"/>
    </row>
    <row r="27" spans="3:27" x14ac:dyDescent="0.25">
      <c r="D27" s="293"/>
      <c r="F27" s="293" t="s">
        <v>47</v>
      </c>
      <c r="G27" s="293" t="s">
        <v>183</v>
      </c>
      <c r="H27" s="348"/>
      <c r="I27" s="348"/>
      <c r="J27" s="415">
        <f>'Initial unit rates'!J157</f>
        <v>0.18992907725870836</v>
      </c>
      <c r="K27" s="415">
        <f>'Initial unit rates'!K157</f>
        <v>0.18992907725870836</v>
      </c>
      <c r="L27" s="415">
        <f>'Initial unit rates'!L157</f>
        <v>0.23162077361531677</v>
      </c>
      <c r="M27" s="415">
        <f>'Initial unit rates'!M157</f>
        <v>0.23162077361531677</v>
      </c>
      <c r="N27" s="415">
        <f>'Initial unit rates'!N157</f>
        <v>0.16865183877898379</v>
      </c>
      <c r="O27" s="415">
        <f>'Initial unit rates'!O157</f>
        <v>0.16286021622004343</v>
      </c>
      <c r="P27" s="415">
        <f>'Initial unit rates'!P157</f>
        <v>0.12119000467968664</v>
      </c>
      <c r="Q27" s="415">
        <f>'Initial unit rates'!Q157</f>
        <v>0.3303430238650934</v>
      </c>
      <c r="R27" s="415">
        <f>'Initial unit rates'!R157</f>
        <v>-0.14253471817329263</v>
      </c>
      <c r="S27" s="415">
        <f>'Initial unit rates'!S157</f>
        <v>-0.13623128749595387</v>
      </c>
      <c r="T27" s="415">
        <f>'Initial unit rates'!T157</f>
        <v>-0.14253471817329263</v>
      </c>
      <c r="U27" s="415">
        <f>'Initial unit rates'!U157</f>
        <v>-0.14253471817329263</v>
      </c>
      <c r="V27" s="415">
        <f>'Initial unit rates'!V157</f>
        <v>-0.13623128749595387</v>
      </c>
      <c r="W27" s="415">
        <f>'Initial unit rates'!W157</f>
        <v>-0.13623128749595387</v>
      </c>
      <c r="X27" s="415">
        <f>'Initial unit rates'!X157</f>
        <v>-0.11430205095796377</v>
      </c>
      <c r="Y27" s="415">
        <f>'Initial unit rates'!Y157</f>
        <v>-0.11430205095796377</v>
      </c>
      <c r="Z27" s="348"/>
      <c r="AA27" s="348"/>
    </row>
    <row r="28" spans="3:27" x14ac:dyDescent="0.25">
      <c r="D28" s="293"/>
      <c r="F28" s="293" t="s">
        <v>51</v>
      </c>
      <c r="G28" s="293" t="s">
        <v>183</v>
      </c>
      <c r="H28" s="348"/>
      <c r="I28" s="348"/>
      <c r="J28" s="415">
        <f>'Initial unit rates'!J158</f>
        <v>0</v>
      </c>
      <c r="K28" s="415">
        <f>'Initial unit rates'!K158</f>
        <v>0</v>
      </c>
      <c r="L28" s="415">
        <f>'Initial unit rates'!L158</f>
        <v>0</v>
      </c>
      <c r="M28" s="415">
        <f>'Initial unit rates'!M158</f>
        <v>0</v>
      </c>
      <c r="N28" s="415">
        <f>'Initial unit rates'!N158</f>
        <v>0</v>
      </c>
      <c r="O28" s="415">
        <f>'Initial unit rates'!O158</f>
        <v>0</v>
      </c>
      <c r="P28" s="415">
        <f>'Initial unit rates'!P158</f>
        <v>0</v>
      </c>
      <c r="Q28" s="415">
        <f>'Initial unit rates'!Q158</f>
        <v>0</v>
      </c>
      <c r="R28" s="415">
        <f>'Initial unit rates'!R158</f>
        <v>0</v>
      </c>
      <c r="S28" s="415">
        <f>'Initial unit rates'!S158</f>
        <v>0</v>
      </c>
      <c r="T28" s="415">
        <f>'Initial unit rates'!T158</f>
        <v>0</v>
      </c>
      <c r="U28" s="415">
        <f>'Initial unit rates'!U158</f>
        <v>0</v>
      </c>
      <c r="V28" s="415">
        <f>'Initial unit rates'!V158</f>
        <v>0</v>
      </c>
      <c r="W28" s="415">
        <f>'Initial unit rates'!W158</f>
        <v>0</v>
      </c>
      <c r="X28" s="415">
        <f>'Initial unit rates'!X158</f>
        <v>0</v>
      </c>
      <c r="Y28" s="415">
        <f>'Initial unit rates'!Y158</f>
        <v>0</v>
      </c>
      <c r="Z28" s="348"/>
      <c r="AA28" s="348"/>
    </row>
    <row r="29" spans="3:27" x14ac:dyDescent="0.25">
      <c r="D29" s="293"/>
      <c r="F29" s="293" t="s">
        <v>48</v>
      </c>
      <c r="G29" s="293" t="s">
        <v>183</v>
      </c>
      <c r="H29" s="348"/>
      <c r="I29" s="348"/>
      <c r="J29" s="415">
        <f>'Initial unit rates'!J159</f>
        <v>1.0501084605733282</v>
      </c>
      <c r="K29" s="415">
        <f>'Initial unit rates'!K159</f>
        <v>1.0501084605733282</v>
      </c>
      <c r="L29" s="415">
        <f>'Initial unit rates'!L159</f>
        <v>1.28061978465086</v>
      </c>
      <c r="M29" s="415">
        <f>'Initial unit rates'!M159</f>
        <v>1.28061978465086</v>
      </c>
      <c r="N29" s="415">
        <f>'Initial unit rates'!N159</f>
        <v>0.93246766292568561</v>
      </c>
      <c r="O29" s="415">
        <f>'Initial unit rates'!O159</f>
        <v>0.90044606866865506</v>
      </c>
      <c r="P29" s="415">
        <f>'Initial unit rates'!P159</f>
        <v>0.30845292591485701</v>
      </c>
      <c r="Q29" s="415">
        <f>'Initial unit rates'!Q159</f>
        <v>1.8264502163594121</v>
      </c>
      <c r="R29" s="415">
        <f>'Initial unit rates'!R159</f>
        <v>-0.78806739673320203</v>
      </c>
      <c r="S29" s="415">
        <f>'Initial unit rates'!S159</f>
        <v>-0.75321604074048831</v>
      </c>
      <c r="T29" s="415">
        <f>'Initial unit rates'!T159</f>
        <v>-0.78806739673320203</v>
      </c>
      <c r="U29" s="415">
        <f>'Initial unit rates'!U159</f>
        <v>-0.78806739673320203</v>
      </c>
      <c r="V29" s="415">
        <f>'Initial unit rates'!V159</f>
        <v>-0.75321604074048831</v>
      </c>
      <c r="W29" s="415">
        <f>'Initial unit rates'!W159</f>
        <v>-0.75321604074048831</v>
      </c>
      <c r="X29" s="415">
        <f>'Initial unit rates'!X159</f>
        <v>0</v>
      </c>
      <c r="Y29" s="415">
        <f>'Initial unit rates'!Y159</f>
        <v>0</v>
      </c>
      <c r="Z29" s="348"/>
      <c r="AA29" s="348"/>
    </row>
    <row r="30" spans="3:27" x14ac:dyDescent="0.25">
      <c r="D30" s="293"/>
      <c r="F30" s="293" t="s">
        <v>49</v>
      </c>
      <c r="G30" s="293" t="s">
        <v>183</v>
      </c>
      <c r="H30" s="348"/>
      <c r="I30" s="348"/>
      <c r="J30" s="415">
        <f>'Initial unit rates'!J160</f>
        <v>0.17621880656341374</v>
      </c>
      <c r="K30" s="415">
        <f>'Initial unit rates'!K160</f>
        <v>0.17621880656341374</v>
      </c>
      <c r="L30" s="415">
        <f>'Initial unit rates'!L160</f>
        <v>0.21490093508004085</v>
      </c>
      <c r="M30" s="415">
        <f>'Initial unit rates'!M160</f>
        <v>0.21490093508004085</v>
      </c>
      <c r="N30" s="415">
        <f>'Initial unit rates'!N160</f>
        <v>0.15647749245828085</v>
      </c>
      <c r="O30" s="415">
        <f>'Initial unit rates'!O160</f>
        <v>0.15110394549994952</v>
      </c>
      <c r="P30" s="415">
        <f>'Initial unit rates'!P160</f>
        <v>0</v>
      </c>
      <c r="Q30" s="415">
        <f>'Initial unit rates'!Q160</f>
        <v>0.30649679481548142</v>
      </c>
      <c r="R30" s="415">
        <f>'Initial unit rates'!R160</f>
        <v>-0.13224566924071918</v>
      </c>
      <c r="S30" s="415">
        <f>'Initial unit rates'!S160</f>
        <v>0</v>
      </c>
      <c r="T30" s="415">
        <f>'Initial unit rates'!T160</f>
        <v>-0.13224566924071918</v>
      </c>
      <c r="U30" s="415">
        <f>'Initial unit rates'!U160</f>
        <v>-0.13224566924071918</v>
      </c>
      <c r="V30" s="415">
        <f>'Initial unit rates'!V160</f>
        <v>0</v>
      </c>
      <c r="W30" s="415">
        <f>'Initial unit rates'!W160</f>
        <v>0</v>
      </c>
      <c r="X30" s="415">
        <f>'Initial unit rates'!X160</f>
        <v>0</v>
      </c>
      <c r="Y30" s="415">
        <f>'Initial unit rates'!Y160</f>
        <v>0</v>
      </c>
      <c r="Z30" s="348"/>
      <c r="AA30" s="348"/>
    </row>
    <row r="31" spans="3:27" x14ac:dyDescent="0.25">
      <c r="D31" s="293"/>
      <c r="F31" s="293" t="s">
        <v>50</v>
      </c>
      <c r="G31" s="293" t="s">
        <v>183</v>
      </c>
      <c r="H31" s="348"/>
      <c r="I31" s="348"/>
      <c r="J31" s="415">
        <f>'Initial unit rates'!J161</f>
        <v>2.5778855933366498E-2</v>
      </c>
      <c r="K31" s="415">
        <f>'Initial unit rates'!K161</f>
        <v>2.5778855933366498E-2</v>
      </c>
      <c r="L31" s="415">
        <f>'Initial unit rates'!L161</f>
        <v>3.1437622087064486E-2</v>
      </c>
      <c r="M31" s="415">
        <f>'Initial unit rates'!M161</f>
        <v>3.1437622087064486E-2</v>
      </c>
      <c r="N31" s="415">
        <f>'Initial unit rates'!N161</f>
        <v>2.2890920745424898E-2</v>
      </c>
      <c r="O31" s="415">
        <f>'Initial unit rates'!O161</f>
        <v>0</v>
      </c>
      <c r="P31" s="415">
        <f>'Initial unit rates'!P161</f>
        <v>0</v>
      </c>
      <c r="Q31" s="415">
        <f>'Initial unit rates'!Q161</f>
        <v>4.4837079944379264E-2</v>
      </c>
      <c r="R31" s="415">
        <f>'Initial unit rates'!R161</f>
        <v>0</v>
      </c>
      <c r="S31" s="415">
        <f>'Initial unit rates'!S161</f>
        <v>0</v>
      </c>
      <c r="T31" s="415">
        <f>'Initial unit rates'!T161</f>
        <v>0</v>
      </c>
      <c r="U31" s="415">
        <f>'Initial unit rates'!U161</f>
        <v>0</v>
      </c>
      <c r="V31" s="415">
        <f>'Initial unit rates'!V161</f>
        <v>0</v>
      </c>
      <c r="W31" s="415">
        <f>'Initial unit rates'!W161</f>
        <v>0</v>
      </c>
      <c r="X31" s="415">
        <f>'Initial unit rates'!X161</f>
        <v>0</v>
      </c>
      <c r="Y31" s="415">
        <f>'Initial unit rates'!Y161</f>
        <v>0</v>
      </c>
      <c r="Z31" s="348"/>
      <c r="AA31" s="348"/>
    </row>
    <row r="32" spans="3:27" x14ac:dyDescent="0.25">
      <c r="D32" s="293"/>
      <c r="F32" s="91" t="s">
        <v>124</v>
      </c>
      <c r="G32" s="91" t="s">
        <v>183</v>
      </c>
      <c r="H32" s="346"/>
      <c r="I32" s="346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8"/>
      <c r="AA32" s="348"/>
    </row>
    <row r="33" spans="4:27" x14ac:dyDescent="0.25">
      <c r="D33" s="293"/>
      <c r="F33" s="93" t="s">
        <v>123</v>
      </c>
      <c r="G33" s="93" t="s">
        <v>183</v>
      </c>
      <c r="H33" s="350"/>
      <c r="I33" s="350"/>
      <c r="J33" s="355"/>
      <c r="K33" s="355"/>
      <c r="L33" s="355"/>
      <c r="M33" s="355"/>
      <c r="N33" s="355"/>
      <c r="O33" s="355"/>
      <c r="P33" s="355"/>
      <c r="Q33" s="355"/>
      <c r="R33" s="355"/>
      <c r="S33" s="355"/>
      <c r="T33" s="355"/>
      <c r="U33" s="355"/>
      <c r="V33" s="355"/>
      <c r="W33" s="355"/>
      <c r="X33" s="355"/>
      <c r="Y33" s="355"/>
      <c r="Z33" s="348"/>
      <c r="AA33" s="348"/>
    </row>
    <row r="34" spans="4:27" x14ac:dyDescent="0.2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2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25">
      <c r="D36" s="293"/>
      <c r="F36" s="91" t="s">
        <v>267</v>
      </c>
      <c r="G36" s="91" t="s">
        <v>183</v>
      </c>
      <c r="H36" s="346"/>
      <c r="I36" s="346"/>
      <c r="J36" s="357">
        <f>'Initial unit rates'!J164</f>
        <v>1.4154165648811017</v>
      </c>
      <c r="K36" s="357">
        <f>'Initial unit rates'!K164</f>
        <v>1.4154165648811017</v>
      </c>
      <c r="L36" s="357">
        <f>'Initial unit rates'!L164</f>
        <v>1.7261173722185463</v>
      </c>
      <c r="M36" s="357">
        <f>'Initial unit rates'!M164</f>
        <v>1.7261173722185463</v>
      </c>
      <c r="N36" s="357">
        <f>'Initial unit rates'!N164</f>
        <v>1.2568512928658766</v>
      </c>
      <c r="O36" s="357">
        <f>'Initial unit rates'!O164</f>
        <v>1.2136901369976942</v>
      </c>
      <c r="P36" s="357">
        <f>'Initial unit rates'!P164</f>
        <v>1.0540598040546294</v>
      </c>
      <c r="Q36" s="357">
        <f>'Initial unit rates'!Q164</f>
        <v>2.4972649758120196</v>
      </c>
      <c r="R36" s="357">
        <f>'Initial unit rates'!R164</f>
        <v>-1.062217560812625</v>
      </c>
      <c r="S36" s="357">
        <f>'Initial unit rates'!S164</f>
        <v>-1.0152422354698283</v>
      </c>
      <c r="T36" s="357">
        <f>'Initial unit rates'!T164</f>
        <v>-1.062217560812625</v>
      </c>
      <c r="U36" s="357">
        <f>'Initial unit rates'!U164</f>
        <v>-1.062217560812625</v>
      </c>
      <c r="V36" s="357">
        <f>'Initial unit rates'!V164</f>
        <v>-1.0152422354698283</v>
      </c>
      <c r="W36" s="357">
        <f>'Initial unit rates'!W164</f>
        <v>-1.0152422354698283</v>
      </c>
      <c r="X36" s="357">
        <f>'Initial unit rates'!X164</f>
        <v>-0.99415127307102158</v>
      </c>
      <c r="Y36" s="357">
        <f>'Initial unit rates'!Y164</f>
        <v>-0.99415127307102158</v>
      </c>
      <c r="Z36" s="348"/>
      <c r="AA36" s="348"/>
    </row>
    <row r="37" spans="4:27" x14ac:dyDescent="0.25">
      <c r="D37" s="293"/>
      <c r="F37" s="293" t="s">
        <v>43</v>
      </c>
      <c r="G37" s="293" t="s">
        <v>183</v>
      </c>
      <c r="H37" s="348"/>
      <c r="I37" s="348"/>
      <c r="J37" s="415">
        <f>'Initial unit rates'!J165</f>
        <v>0</v>
      </c>
      <c r="K37" s="415">
        <f>'Initial unit rates'!K165</f>
        <v>0</v>
      </c>
      <c r="L37" s="415">
        <f>'Initial unit rates'!L165</f>
        <v>0</v>
      </c>
      <c r="M37" s="415">
        <f>'Initial unit rates'!M165</f>
        <v>0</v>
      </c>
      <c r="N37" s="415">
        <f>'Initial unit rates'!N165</f>
        <v>0</v>
      </c>
      <c r="O37" s="415">
        <f>'Initial unit rates'!O165</f>
        <v>0</v>
      </c>
      <c r="P37" s="415">
        <f>'Initial unit rates'!P165</f>
        <v>0</v>
      </c>
      <c r="Q37" s="415">
        <f>'Initial unit rates'!Q165</f>
        <v>0</v>
      </c>
      <c r="R37" s="415">
        <f>'Initial unit rates'!R165</f>
        <v>0</v>
      </c>
      <c r="S37" s="415">
        <f>'Initial unit rates'!S165</f>
        <v>0</v>
      </c>
      <c r="T37" s="415">
        <f>'Initial unit rates'!T165</f>
        <v>0</v>
      </c>
      <c r="U37" s="415">
        <f>'Initial unit rates'!U165</f>
        <v>0</v>
      </c>
      <c r="V37" s="415">
        <f>'Initial unit rates'!V165</f>
        <v>0</v>
      </c>
      <c r="W37" s="415">
        <f>'Initial unit rates'!W165</f>
        <v>0</v>
      </c>
      <c r="X37" s="415">
        <f>'Initial unit rates'!X165</f>
        <v>0</v>
      </c>
      <c r="Y37" s="415">
        <f>'Initial unit rates'!Y165</f>
        <v>0</v>
      </c>
      <c r="Z37" s="348"/>
      <c r="AA37" s="348"/>
    </row>
    <row r="38" spans="4:27" x14ac:dyDescent="0.25">
      <c r="D38" s="293"/>
      <c r="F38" s="293" t="s">
        <v>44</v>
      </c>
      <c r="G38" s="293" t="s">
        <v>183</v>
      </c>
      <c r="H38" s="348"/>
      <c r="I38" s="348"/>
      <c r="J38" s="415">
        <f>'Initial unit rates'!J166</f>
        <v>1.5548175567685769</v>
      </c>
      <c r="K38" s="415">
        <f>'Initial unit rates'!K166</f>
        <v>1.5548175567685769</v>
      </c>
      <c r="L38" s="415">
        <f>'Initial unit rates'!L166</f>
        <v>1.8961185434438386</v>
      </c>
      <c r="M38" s="415">
        <f>'Initial unit rates'!M166</f>
        <v>1.8961185434438386</v>
      </c>
      <c r="N38" s="415">
        <f>'Initial unit rates'!N166</f>
        <v>1.3806355703907596</v>
      </c>
      <c r="O38" s="415">
        <f>'Initial unit rates'!O166</f>
        <v>1.3332235755198976</v>
      </c>
      <c r="P38" s="415">
        <f>'Initial unit rates'!P166</f>
        <v>1.1578716329110168</v>
      </c>
      <c r="Q38" s="415">
        <f>'Initial unit rates'!Q166</f>
        <v>2.7432146299785227</v>
      </c>
      <c r="R38" s="415">
        <f>'Initial unit rates'!R166</f>
        <v>-1.1668328276192648</v>
      </c>
      <c r="S38" s="415">
        <f>'Initial unit rates'!S166</f>
        <v>-1.1152310148454885</v>
      </c>
      <c r="T38" s="415">
        <f>'Initial unit rates'!T166</f>
        <v>-1.1668328276192648</v>
      </c>
      <c r="U38" s="415">
        <f>'Initial unit rates'!U166</f>
        <v>-1.1668328276192648</v>
      </c>
      <c r="V38" s="415">
        <f>'Initial unit rates'!V166</f>
        <v>-1.1152310148454885</v>
      </c>
      <c r="W38" s="415">
        <f>'Initial unit rates'!W166</f>
        <v>-1.1152310148454885</v>
      </c>
      <c r="X38" s="415">
        <f>'Initial unit rates'!X166</f>
        <v>-1.0920628540082828</v>
      </c>
      <c r="Y38" s="415">
        <f>'Initial unit rates'!Y166</f>
        <v>-1.0920628540082828</v>
      </c>
      <c r="Z38" s="348"/>
      <c r="AA38" s="348"/>
    </row>
    <row r="39" spans="4:27" x14ac:dyDescent="0.25">
      <c r="D39" s="293"/>
      <c r="F39" s="293" t="s">
        <v>45</v>
      </c>
      <c r="G39" s="293" t="s">
        <v>183</v>
      </c>
      <c r="H39" s="348"/>
      <c r="I39" s="348"/>
      <c r="J39" s="415">
        <f>'Initial unit rates'!J167</f>
        <v>8.82886711717316E-2</v>
      </c>
      <c r="K39" s="415">
        <f>'Initial unit rates'!K167</f>
        <v>8.82886711717316E-2</v>
      </c>
      <c r="L39" s="415">
        <f>'Initial unit rates'!L167</f>
        <v>0.10766908686872573</v>
      </c>
      <c r="M39" s="415">
        <f>'Initial unit rates'!M167</f>
        <v>0.10766908686872573</v>
      </c>
      <c r="N39" s="415">
        <f>'Initial unit rates'!N167</f>
        <v>7.8397931224524361E-2</v>
      </c>
      <c r="O39" s="415">
        <f>'Initial unit rates'!O167</f>
        <v>7.5705691220848859E-2</v>
      </c>
      <c r="P39" s="415">
        <f>'Initial unit rates'!P167</f>
        <v>6.5748516545965668E-2</v>
      </c>
      <c r="Q39" s="415">
        <f>'Initial unit rates'!Q167</f>
        <v>0.11890827250667815</v>
      </c>
      <c r="R39" s="415">
        <f>'Initial unit rates'!R167</f>
        <v>-6.6257368513489553E-2</v>
      </c>
      <c r="S39" s="415">
        <f>'Initial unit rates'!S167</f>
        <v>-6.3327214129770243E-2</v>
      </c>
      <c r="T39" s="415">
        <f>'Initial unit rates'!T167</f>
        <v>-6.6257368513489553E-2</v>
      </c>
      <c r="U39" s="415">
        <f>'Initial unit rates'!U167</f>
        <v>-6.6257368513489553E-2</v>
      </c>
      <c r="V39" s="415">
        <f>'Initial unit rates'!V167</f>
        <v>-6.3327214129770243E-2</v>
      </c>
      <c r="W39" s="415">
        <f>'Initial unit rates'!W167</f>
        <v>-6.3327214129770243E-2</v>
      </c>
      <c r="X39" s="415">
        <f>'Initial unit rates'!X167</f>
        <v>-6.2011634610549329E-2</v>
      </c>
      <c r="Y39" s="415">
        <f>'Initial unit rates'!Y167</f>
        <v>-6.2011634610549329E-2</v>
      </c>
      <c r="Z39" s="348"/>
      <c r="AA39" s="348"/>
    </row>
    <row r="40" spans="4:27" x14ac:dyDescent="0.25">
      <c r="D40" s="293"/>
      <c r="F40" s="293" t="s">
        <v>46</v>
      </c>
      <c r="G40" s="293" t="s">
        <v>183</v>
      </c>
      <c r="H40" s="348"/>
      <c r="I40" s="348"/>
      <c r="J40" s="415">
        <f>'Initial unit rates'!J168</f>
        <v>0.90131298156129236</v>
      </c>
      <c r="K40" s="415">
        <f>'Initial unit rates'!K168</f>
        <v>0.90131298156129236</v>
      </c>
      <c r="L40" s="415">
        <f>'Initial unit rates'!L168</f>
        <v>1.0991619243976629</v>
      </c>
      <c r="M40" s="415">
        <f>'Initial unit rates'!M168</f>
        <v>1.0991619243976629</v>
      </c>
      <c r="N40" s="415">
        <f>'Initial unit rates'!N168</f>
        <v>0.80034133714357636</v>
      </c>
      <c r="O40" s="415">
        <f>'Initial unit rates'!O168</f>
        <v>0.77285705368356816</v>
      </c>
      <c r="P40" s="415">
        <f>'Initial unit rates'!P168</f>
        <v>0.67120719674225016</v>
      </c>
      <c r="Q40" s="415">
        <f>'Initial unit rates'!Q168</f>
        <v>1.2138994528169058</v>
      </c>
      <c r="R40" s="415">
        <f>'Initial unit rates'!R168</f>
        <v>-0.67640191626781854</v>
      </c>
      <c r="S40" s="415">
        <f>'Initial unit rates'!S168</f>
        <v>-0.64648883513323108</v>
      </c>
      <c r="T40" s="415">
        <f>'Initial unit rates'!T168</f>
        <v>-0.67640191626781854</v>
      </c>
      <c r="U40" s="415">
        <f>'Initial unit rates'!U168</f>
        <v>-0.67640191626781854</v>
      </c>
      <c r="V40" s="415">
        <f>'Initial unit rates'!V168</f>
        <v>-0.64648883513323108</v>
      </c>
      <c r="W40" s="415">
        <f>'Initial unit rates'!W168</f>
        <v>-0.64648883513323108</v>
      </c>
      <c r="X40" s="415">
        <f>'Initial unit rates'!X168</f>
        <v>-0.63305847217484457</v>
      </c>
      <c r="Y40" s="415">
        <f>'Initial unit rates'!Y168</f>
        <v>-0.63305847217484457</v>
      </c>
      <c r="Z40" s="348"/>
      <c r="AA40" s="348"/>
    </row>
    <row r="41" spans="4:27" x14ac:dyDescent="0.25">
      <c r="D41" s="293"/>
      <c r="F41" s="293" t="s">
        <v>47</v>
      </c>
      <c r="G41" s="293" t="s">
        <v>183</v>
      </c>
      <c r="H41" s="348"/>
      <c r="I41" s="348"/>
      <c r="J41" s="415">
        <f>'Initial unit rates'!J169</f>
        <v>0.12626415587330883</v>
      </c>
      <c r="K41" s="415">
        <f>'Initial unit rates'!K169</f>
        <v>0.12626415587330883</v>
      </c>
      <c r="L41" s="415">
        <f>'Initial unit rates'!L169</f>
        <v>0.15398064311882403</v>
      </c>
      <c r="M41" s="415">
        <f>'Initial unit rates'!M169</f>
        <v>0.15398064311882403</v>
      </c>
      <c r="N41" s="415">
        <f>'Initial unit rates'!N169</f>
        <v>0.11211912555602847</v>
      </c>
      <c r="O41" s="415">
        <f>'Initial unit rates'!O169</f>
        <v>0.10826887606239606</v>
      </c>
      <c r="P41" s="415">
        <f>'Initial unit rates'!P169</f>
        <v>9.4028835539396796E-2</v>
      </c>
      <c r="Q41" s="415">
        <f>'Initial unit rates'!Q169</f>
        <v>0.21961083399645631</v>
      </c>
      <c r="R41" s="415">
        <f>'Initial unit rates'!R169</f>
        <v>-9.4756559303852406E-2</v>
      </c>
      <c r="S41" s="415">
        <f>'Initial unit rates'!S169</f>
        <v>-9.0566061645108012E-2</v>
      </c>
      <c r="T41" s="415">
        <f>'Initial unit rates'!T169</f>
        <v>-9.4756559303852406E-2</v>
      </c>
      <c r="U41" s="415">
        <f>'Initial unit rates'!U169</f>
        <v>-9.4756559303852406E-2</v>
      </c>
      <c r="V41" s="415">
        <f>'Initial unit rates'!V169</f>
        <v>-9.0566061645108012E-2</v>
      </c>
      <c r="W41" s="415">
        <f>'Initial unit rates'!W169</f>
        <v>-9.0566061645108012E-2</v>
      </c>
      <c r="X41" s="415">
        <f>'Initial unit rates'!X169</f>
        <v>-8.8684613716692173E-2</v>
      </c>
      <c r="Y41" s="415">
        <f>'Initial unit rates'!Y169</f>
        <v>-8.8684613716692173E-2</v>
      </c>
      <c r="Z41" s="348"/>
      <c r="AA41" s="348"/>
    </row>
    <row r="42" spans="4:27" x14ac:dyDescent="0.25">
      <c r="D42" s="293"/>
      <c r="F42" s="293" t="s">
        <v>51</v>
      </c>
      <c r="G42" s="293" t="s">
        <v>183</v>
      </c>
      <c r="H42" s="348"/>
      <c r="I42" s="348"/>
      <c r="J42" s="415">
        <f>'Initial unit rates'!J170</f>
        <v>0</v>
      </c>
      <c r="K42" s="415">
        <f>'Initial unit rates'!K170</f>
        <v>0</v>
      </c>
      <c r="L42" s="415">
        <f>'Initial unit rates'!L170</f>
        <v>0</v>
      </c>
      <c r="M42" s="415">
        <f>'Initial unit rates'!M170</f>
        <v>0</v>
      </c>
      <c r="N42" s="415">
        <f>'Initial unit rates'!N170</f>
        <v>0</v>
      </c>
      <c r="O42" s="415">
        <f>'Initial unit rates'!O170</f>
        <v>0</v>
      </c>
      <c r="P42" s="415">
        <f>'Initial unit rates'!P170</f>
        <v>0</v>
      </c>
      <c r="Q42" s="415">
        <f>'Initial unit rates'!Q170</f>
        <v>0</v>
      </c>
      <c r="R42" s="415">
        <f>'Initial unit rates'!R170</f>
        <v>0</v>
      </c>
      <c r="S42" s="415">
        <f>'Initial unit rates'!S170</f>
        <v>0</v>
      </c>
      <c r="T42" s="415">
        <f>'Initial unit rates'!T170</f>
        <v>0</v>
      </c>
      <c r="U42" s="415">
        <f>'Initial unit rates'!U170</f>
        <v>0</v>
      </c>
      <c r="V42" s="415">
        <f>'Initial unit rates'!V170</f>
        <v>0</v>
      </c>
      <c r="W42" s="415">
        <f>'Initial unit rates'!W170</f>
        <v>0</v>
      </c>
      <c r="X42" s="415">
        <f>'Initial unit rates'!X170</f>
        <v>0</v>
      </c>
      <c r="Y42" s="415">
        <f>'Initial unit rates'!Y170</f>
        <v>0</v>
      </c>
      <c r="Z42" s="348"/>
      <c r="AA42" s="348"/>
    </row>
    <row r="43" spans="4:27" x14ac:dyDescent="0.25">
      <c r="D43" s="293"/>
      <c r="F43" s="293" t="s">
        <v>48</v>
      </c>
      <c r="G43" s="293" t="s">
        <v>183</v>
      </c>
      <c r="H43" s="348"/>
      <c r="I43" s="348"/>
      <c r="J43" s="415">
        <f>'Initial unit rates'!J171</f>
        <v>1.0363090636290471</v>
      </c>
      <c r="K43" s="415">
        <f>'Initial unit rates'!K171</f>
        <v>1.0363090636290471</v>
      </c>
      <c r="L43" s="415">
        <f>'Initial unit rates'!L171</f>
        <v>1.2637912555925865</v>
      </c>
      <c r="M43" s="415">
        <f>'Initial unit rates'!M171</f>
        <v>1.2637912555925865</v>
      </c>
      <c r="N43" s="415">
        <f>'Initial unit rates'!N171</f>
        <v>0.92021417492751034</v>
      </c>
      <c r="O43" s="415">
        <f>'Initial unit rates'!O171</f>
        <v>0.88861337405186058</v>
      </c>
      <c r="P43" s="415">
        <f>'Initial unit rates'!P171</f>
        <v>0.77173869209353785</v>
      </c>
      <c r="Q43" s="415">
        <f>'Initial unit rates'!Q171</f>
        <v>1.8024489703159789</v>
      </c>
      <c r="R43" s="415">
        <f>'Initial unit rates'!R171</f>
        <v>-0.77771146186107432</v>
      </c>
      <c r="S43" s="415">
        <f>'Initial unit rates'!S171</f>
        <v>-0.74331808493761498</v>
      </c>
      <c r="T43" s="415">
        <f>'Initial unit rates'!T171</f>
        <v>-0.77771146186107432</v>
      </c>
      <c r="U43" s="415">
        <f>'Initial unit rates'!U171</f>
        <v>-0.77771146186107432</v>
      </c>
      <c r="V43" s="415">
        <f>'Initial unit rates'!V171</f>
        <v>-0.74331808493761498</v>
      </c>
      <c r="W43" s="415">
        <f>'Initial unit rates'!W171</f>
        <v>-0.74331808493761498</v>
      </c>
      <c r="X43" s="415">
        <f>'Initial unit rates'!X171</f>
        <v>0</v>
      </c>
      <c r="Y43" s="415">
        <f>'Initial unit rates'!Y171</f>
        <v>0</v>
      </c>
      <c r="Z43" s="348"/>
      <c r="AA43" s="348"/>
    </row>
    <row r="44" spans="4:27" x14ac:dyDescent="0.25">
      <c r="D44" s="293"/>
      <c r="F44" s="293" t="s">
        <v>49</v>
      </c>
      <c r="G44" s="293" t="s">
        <v>183</v>
      </c>
      <c r="H44" s="348"/>
      <c r="I44" s="348"/>
      <c r="J44" s="415">
        <f>'Initial unit rates'!J172</f>
        <v>0.4053239231578622</v>
      </c>
      <c r="K44" s="415">
        <f>'Initial unit rates'!K172</f>
        <v>0.4053239231578622</v>
      </c>
      <c r="L44" s="415">
        <f>'Initial unit rates'!L172</f>
        <v>0.49429735563207311</v>
      </c>
      <c r="M44" s="415">
        <f>'Initial unit rates'!M172</f>
        <v>0.49429735563207311</v>
      </c>
      <c r="N44" s="415">
        <f>'Initial unit rates'!N172</f>
        <v>0.35991658532922555</v>
      </c>
      <c r="O44" s="415">
        <f>'Initial unit rates'!O172</f>
        <v>0.34755679708131182</v>
      </c>
      <c r="P44" s="415">
        <f>'Initial unit rates'!P172</f>
        <v>0</v>
      </c>
      <c r="Q44" s="415">
        <f>'Initial unit rates'!Q172</f>
        <v>0.70497857596837099</v>
      </c>
      <c r="R44" s="415">
        <f>'Initial unit rates'!R172</f>
        <v>-0.30418054986654386</v>
      </c>
      <c r="S44" s="415">
        <f>'Initial unit rates'!S172</f>
        <v>0</v>
      </c>
      <c r="T44" s="415">
        <f>'Initial unit rates'!T172</f>
        <v>-0.30418054986654386</v>
      </c>
      <c r="U44" s="415">
        <f>'Initial unit rates'!U172</f>
        <v>-0.30418054986654386</v>
      </c>
      <c r="V44" s="415">
        <f>'Initial unit rates'!V172</f>
        <v>0</v>
      </c>
      <c r="W44" s="415">
        <f>'Initial unit rates'!W172</f>
        <v>0</v>
      </c>
      <c r="X44" s="415">
        <f>'Initial unit rates'!X172</f>
        <v>0</v>
      </c>
      <c r="Y44" s="415">
        <f>'Initial unit rates'!Y172</f>
        <v>0</v>
      </c>
      <c r="Z44" s="348"/>
      <c r="AA44" s="348"/>
    </row>
    <row r="45" spans="4:27" x14ac:dyDescent="0.25">
      <c r="D45" s="293"/>
      <c r="F45" s="293" t="s">
        <v>50</v>
      </c>
      <c r="G45" s="293" t="s">
        <v>183</v>
      </c>
      <c r="H45" s="348"/>
      <c r="I45" s="348"/>
      <c r="J45" s="415">
        <f>'Initial unit rates'!J173</f>
        <v>0.24818775086725325</v>
      </c>
      <c r="K45" s="415">
        <f>'Initial unit rates'!K173</f>
        <v>0.24818775086725325</v>
      </c>
      <c r="L45" s="415">
        <f>'Initial unit rates'!L173</f>
        <v>0.3026679205070637</v>
      </c>
      <c r="M45" s="415">
        <f>'Initial unit rates'!M173</f>
        <v>0.3026679205070637</v>
      </c>
      <c r="N45" s="415">
        <f>'Initial unit rates'!N173</f>
        <v>0.22038395147451495</v>
      </c>
      <c r="O45" s="415">
        <f>'Initial unit rates'!O173</f>
        <v>0</v>
      </c>
      <c r="P45" s="415">
        <f>'Initial unit rates'!P173</f>
        <v>0</v>
      </c>
      <c r="Q45" s="415">
        <f>'Initial unit rates'!Q173</f>
        <v>0.43167214462948028</v>
      </c>
      <c r="R45" s="415">
        <f>'Initial unit rates'!R173</f>
        <v>0</v>
      </c>
      <c r="S45" s="415">
        <f>'Initial unit rates'!S173</f>
        <v>0</v>
      </c>
      <c r="T45" s="415">
        <f>'Initial unit rates'!T173</f>
        <v>0</v>
      </c>
      <c r="U45" s="415">
        <f>'Initial unit rates'!U173</f>
        <v>0</v>
      </c>
      <c r="V45" s="415">
        <f>'Initial unit rates'!V173</f>
        <v>0</v>
      </c>
      <c r="W45" s="415">
        <f>'Initial unit rates'!W173</f>
        <v>0</v>
      </c>
      <c r="X45" s="415">
        <f>'Initial unit rates'!X173</f>
        <v>0</v>
      </c>
      <c r="Y45" s="415">
        <f>'Initial unit rates'!Y173</f>
        <v>0</v>
      </c>
      <c r="Z45" s="348"/>
      <c r="AA45" s="348"/>
    </row>
    <row r="46" spans="4:27" x14ac:dyDescent="0.25">
      <c r="D46" s="293"/>
      <c r="F46" s="91" t="s">
        <v>124</v>
      </c>
      <c r="G46" s="91" t="s">
        <v>183</v>
      </c>
      <c r="H46" s="346"/>
      <c r="I46" s="346" t="s">
        <v>359</v>
      </c>
      <c r="J46" s="358"/>
      <c r="K46" s="358"/>
      <c r="L46" s="358"/>
      <c r="M46" s="358"/>
      <c r="N46" s="358"/>
      <c r="O46" s="358"/>
      <c r="P46" s="358"/>
      <c r="Q46" s="357">
        <f>'Service model charges'!$Q$44</f>
        <v>0.38393089804388564</v>
      </c>
      <c r="R46" s="358"/>
      <c r="S46" s="358"/>
      <c r="T46" s="358"/>
      <c r="U46" s="358"/>
      <c r="V46" s="358"/>
      <c r="W46" s="358"/>
      <c r="X46" s="358"/>
      <c r="Y46" s="358"/>
      <c r="Z46" s="348"/>
      <c r="AA46" s="348" t="s">
        <v>730</v>
      </c>
    </row>
    <row r="47" spans="4:27" x14ac:dyDescent="0.25">
      <c r="D47" s="293"/>
      <c r="F47" s="93" t="s">
        <v>123</v>
      </c>
      <c r="G47" s="93" t="s">
        <v>183</v>
      </c>
      <c r="H47" s="350"/>
      <c r="I47" s="350"/>
      <c r="J47" s="355"/>
      <c r="K47" s="355"/>
      <c r="L47" s="355"/>
      <c r="M47" s="355"/>
      <c r="N47" s="355"/>
      <c r="O47" s="355"/>
      <c r="P47" s="355"/>
      <c r="Q47" s="355"/>
      <c r="R47" s="355"/>
      <c r="S47" s="355"/>
      <c r="T47" s="355"/>
      <c r="U47" s="355"/>
      <c r="V47" s="355"/>
      <c r="W47" s="355"/>
      <c r="X47" s="355"/>
      <c r="Y47" s="355"/>
      <c r="Z47" s="348"/>
      <c r="AA47" s="348"/>
    </row>
    <row r="48" spans="4:27" x14ac:dyDescent="0.2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25">
      <c r="C49" s="7" t="str">
        <f ca="1">INDEX('Version control'!$H$34:$H$60,MATCH($A$1,'Version control'!$F$34:$F$60,0),1)&amp;"-B: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2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2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D52" s="293"/>
      <c r="F52" s="91" t="s">
        <v>267</v>
      </c>
      <c r="G52" s="91" t="s">
        <v>183</v>
      </c>
      <c r="H52" s="346"/>
      <c r="I52" s="346"/>
      <c r="J52" s="357">
        <f>'Initial unit rates'!J181</f>
        <v>0</v>
      </c>
      <c r="K52" s="357">
        <f>'Initial unit rates'!K181</f>
        <v>0</v>
      </c>
      <c r="L52" s="357">
        <f>'Initial unit rates'!L181</f>
        <v>0</v>
      </c>
      <c r="M52" s="357">
        <f>'Initial unit rates'!M181</f>
        <v>0</v>
      </c>
      <c r="N52" s="357">
        <f>'Initial unit rates'!N181</f>
        <v>0</v>
      </c>
      <c r="O52" s="357">
        <f>'Initial unit rates'!O181</f>
        <v>0</v>
      </c>
      <c r="P52" s="357">
        <f>'Initial unit rates'!P181</f>
        <v>0</v>
      </c>
      <c r="Q52" s="357">
        <f>'Initial unit rates'!Q181</f>
        <v>0</v>
      </c>
      <c r="R52" s="357">
        <f>'Initial unit rates'!R181</f>
        <v>0</v>
      </c>
      <c r="S52" s="357">
        <f>'Initial unit rates'!S181</f>
        <v>0</v>
      </c>
      <c r="T52" s="357">
        <f>'Initial unit rates'!T181</f>
        <v>0</v>
      </c>
      <c r="U52" s="357">
        <f>'Initial unit rates'!U181</f>
        <v>0</v>
      </c>
      <c r="V52" s="357">
        <f>'Initial unit rates'!V181</f>
        <v>0</v>
      </c>
      <c r="W52" s="357">
        <f>'Initial unit rates'!W181</f>
        <v>0</v>
      </c>
      <c r="X52" s="357">
        <f>'Initial unit rates'!X181</f>
        <v>0</v>
      </c>
      <c r="Y52" s="357">
        <f>'Initial unit rates'!Y181</f>
        <v>0</v>
      </c>
      <c r="Z52" s="348"/>
      <c r="AA52" s="348"/>
    </row>
    <row r="53" spans="3:27" x14ac:dyDescent="0.25">
      <c r="D53" s="293"/>
      <c r="F53" s="293" t="s">
        <v>43</v>
      </c>
      <c r="G53" s="293" t="s">
        <v>183</v>
      </c>
      <c r="H53" s="348"/>
      <c r="I53" s="348"/>
      <c r="J53" s="415">
        <f>'Initial unit rates'!J182</f>
        <v>0</v>
      </c>
      <c r="K53" s="415">
        <f>'Initial unit rates'!K182</f>
        <v>0</v>
      </c>
      <c r="L53" s="415">
        <f>'Initial unit rates'!L182</f>
        <v>0</v>
      </c>
      <c r="M53" s="415">
        <f>'Initial unit rates'!M182</f>
        <v>0</v>
      </c>
      <c r="N53" s="415">
        <f>'Initial unit rates'!N182</f>
        <v>0</v>
      </c>
      <c r="O53" s="415">
        <f>'Initial unit rates'!O182</f>
        <v>0</v>
      </c>
      <c r="P53" s="415">
        <f>'Initial unit rates'!P182</f>
        <v>0</v>
      </c>
      <c r="Q53" s="415">
        <f>'Initial unit rates'!Q182</f>
        <v>0</v>
      </c>
      <c r="R53" s="415">
        <f>'Initial unit rates'!R182</f>
        <v>0</v>
      </c>
      <c r="S53" s="415">
        <f>'Initial unit rates'!S182</f>
        <v>0</v>
      </c>
      <c r="T53" s="415">
        <f>'Initial unit rates'!T182</f>
        <v>0</v>
      </c>
      <c r="U53" s="415">
        <f>'Initial unit rates'!U182</f>
        <v>0</v>
      </c>
      <c r="V53" s="415">
        <f>'Initial unit rates'!V182</f>
        <v>0</v>
      </c>
      <c r="W53" s="415">
        <f>'Initial unit rates'!W182</f>
        <v>0</v>
      </c>
      <c r="X53" s="415">
        <f>'Initial unit rates'!X182</f>
        <v>0</v>
      </c>
      <c r="Y53" s="415">
        <f>'Initial unit rates'!Y182</f>
        <v>0</v>
      </c>
      <c r="Z53" s="348"/>
      <c r="AA53" s="348"/>
    </row>
    <row r="54" spans="3:27" x14ac:dyDescent="0.25">
      <c r="D54" s="293"/>
      <c r="F54" s="293" t="s">
        <v>44</v>
      </c>
      <c r="G54" s="293" t="s">
        <v>183</v>
      </c>
      <c r="H54" s="348"/>
      <c r="I54" s="348"/>
      <c r="J54" s="415">
        <f>'Initial unit rates'!J183</f>
        <v>0.20751984749562136</v>
      </c>
      <c r="K54" s="415">
        <f>'Initial unit rates'!K183</f>
        <v>0.20751984749562136</v>
      </c>
      <c r="L54" s="415">
        <f>'Initial unit rates'!L183</f>
        <v>0.25307292759600092</v>
      </c>
      <c r="M54" s="415">
        <f>'Initial unit rates'!M183</f>
        <v>0.25307292759600092</v>
      </c>
      <c r="N54" s="415">
        <f>'Initial unit rates'!N183</f>
        <v>0.18427196282114372</v>
      </c>
      <c r="O54" s="415">
        <f>'Initial unit rates'!O183</f>
        <v>0.17794393423526064</v>
      </c>
      <c r="P54" s="415">
        <f>'Initial unit rates'!P183</f>
        <v>0.15453989674556035</v>
      </c>
      <c r="Q54" s="415">
        <f>'Initial unit rates'!Q183</f>
        <v>0.34185700419544779</v>
      </c>
      <c r="R54" s="415">
        <f>'Initial unit rates'!R183</f>
        <v>-0.15573593788308079</v>
      </c>
      <c r="S54" s="415">
        <f>'Initial unit rates'!S183</f>
        <v>-0.14884869875287235</v>
      </c>
      <c r="T54" s="415">
        <f>'Initial unit rates'!T183</f>
        <v>-0.15573593788308079</v>
      </c>
      <c r="U54" s="415">
        <f>'Initial unit rates'!U183</f>
        <v>-0.15573593788308079</v>
      </c>
      <c r="V54" s="415">
        <f>'Initial unit rates'!V183</f>
        <v>-0.14884869875287235</v>
      </c>
      <c r="W54" s="415">
        <f>'Initial unit rates'!W183</f>
        <v>-0.14884869875287235</v>
      </c>
      <c r="X54" s="415">
        <f>'Initial unit rates'!X183</f>
        <v>-0.14575646893930932</v>
      </c>
      <c r="Y54" s="415">
        <f>'Initial unit rates'!Y183</f>
        <v>-0.14575646893930932</v>
      </c>
      <c r="Z54" s="348"/>
      <c r="AA54" s="348"/>
    </row>
    <row r="55" spans="3:27" x14ac:dyDescent="0.25">
      <c r="D55" s="293"/>
      <c r="F55" s="293" t="s">
        <v>45</v>
      </c>
      <c r="G55" s="293" t="s">
        <v>183</v>
      </c>
      <c r="H55" s="348"/>
      <c r="I55" s="348"/>
      <c r="J55" s="415">
        <f>'Initial unit rates'!J184</f>
        <v>2.852888613770312E-2</v>
      </c>
      <c r="K55" s="415">
        <f>'Initial unit rates'!K184</f>
        <v>2.852888613770312E-2</v>
      </c>
      <c r="L55" s="415">
        <f>'Initial unit rates'!L184</f>
        <v>3.4791316700798151E-2</v>
      </c>
      <c r="M55" s="415">
        <f>'Initial unit rates'!M184</f>
        <v>3.4791316700798151E-2</v>
      </c>
      <c r="N55" s="415">
        <f>'Initial unit rates'!N184</f>
        <v>2.5332872537921439E-2</v>
      </c>
      <c r="O55" s="415">
        <f>'Initial unit rates'!O184</f>
        <v>2.4462923908036303E-2</v>
      </c>
      <c r="P55" s="415">
        <f>'Initial unit rates'!P184</f>
        <v>2.1245443128419392E-2</v>
      </c>
      <c r="Q55" s="415">
        <f>'Initial unit rates'!Q184</f>
        <v>3.6824008546511994E-2</v>
      </c>
      <c r="R55" s="415">
        <f>'Initial unit rates'!R184</f>
        <v>-2.1409869431927776E-2</v>
      </c>
      <c r="S55" s="415">
        <f>'Initial unit rates'!S184</f>
        <v>-2.0463043076183678E-2</v>
      </c>
      <c r="T55" s="415">
        <f>'Initial unit rates'!T184</f>
        <v>-2.1409869431927776E-2</v>
      </c>
      <c r="U55" s="415">
        <f>'Initial unit rates'!U184</f>
        <v>-2.1409869431927776E-2</v>
      </c>
      <c r="V55" s="415">
        <f>'Initial unit rates'!V184</f>
        <v>-2.0463043076183678E-2</v>
      </c>
      <c r="W55" s="415">
        <f>'Initial unit rates'!W184</f>
        <v>-2.0463043076183678E-2</v>
      </c>
      <c r="X55" s="415">
        <f>'Initial unit rates'!X184</f>
        <v>-2.0037937365441429E-2</v>
      </c>
      <c r="Y55" s="415">
        <f>'Initial unit rates'!Y184</f>
        <v>-2.0037937365441429E-2</v>
      </c>
      <c r="Z55" s="348"/>
      <c r="AA55" s="348"/>
    </row>
    <row r="56" spans="3:27" x14ac:dyDescent="0.25">
      <c r="D56" s="293"/>
      <c r="F56" s="293" t="s">
        <v>46</v>
      </c>
      <c r="G56" s="293" t="s">
        <v>183</v>
      </c>
      <c r="H56" s="348"/>
      <c r="I56" s="348"/>
      <c r="J56" s="415">
        <f>'Initial unit rates'!J185</f>
        <v>0.29124297697696916</v>
      </c>
      <c r="K56" s="415">
        <f>'Initial unit rates'!K185</f>
        <v>0.29124297697696916</v>
      </c>
      <c r="L56" s="415">
        <f>'Initial unit rates'!L185</f>
        <v>0.35517428195339951</v>
      </c>
      <c r="M56" s="415">
        <f>'Initial unit rates'!M185</f>
        <v>0.35517428195339951</v>
      </c>
      <c r="N56" s="415">
        <f>'Initial unit rates'!N185</f>
        <v>0.25861581758608249</v>
      </c>
      <c r="O56" s="415">
        <f>'Initial unit rates'!O185</f>
        <v>0.24973476882862891</v>
      </c>
      <c r="P56" s="415">
        <f>'Initial unit rates'!P185</f>
        <v>0.15302994558832791</v>
      </c>
      <c r="Q56" s="415">
        <f>'Initial unit rates'!Q185</f>
        <v>0.37592543296451897</v>
      </c>
      <c r="R56" s="415">
        <f>'Initial unit rates'!R185</f>
        <v>-0.21856703693041132</v>
      </c>
      <c r="S56" s="415">
        <f>'Initial unit rates'!S185</f>
        <v>-0.20890116616363313</v>
      </c>
      <c r="T56" s="415">
        <f>'Initial unit rates'!T185</f>
        <v>-0.21856703693041132</v>
      </c>
      <c r="U56" s="415">
        <f>'Initial unit rates'!U185</f>
        <v>-0.21856703693041132</v>
      </c>
      <c r="V56" s="415">
        <f>'Initial unit rates'!V185</f>
        <v>-0.20890116616363313</v>
      </c>
      <c r="W56" s="415">
        <f>'Initial unit rates'!W185</f>
        <v>-0.20890116616363313</v>
      </c>
      <c r="X56" s="415">
        <f>'Initial unit rates'!X185</f>
        <v>-0.14433233734880246</v>
      </c>
      <c r="Y56" s="415">
        <f>'Initial unit rates'!Y185</f>
        <v>-0.14433233734880246</v>
      </c>
      <c r="Z56" s="348"/>
      <c r="AA56" s="348"/>
    </row>
    <row r="57" spans="3:27" x14ac:dyDescent="0.25">
      <c r="D57" s="293"/>
      <c r="F57" s="293" t="s">
        <v>47</v>
      </c>
      <c r="G57" s="293" t="s">
        <v>183</v>
      </c>
      <c r="H57" s="348"/>
      <c r="I57" s="348"/>
      <c r="J57" s="415">
        <f>'Initial unit rates'!J186</f>
        <v>5.9471709866842984E-2</v>
      </c>
      <c r="K57" s="415">
        <f>'Initial unit rates'!K186</f>
        <v>5.9471709866842984E-2</v>
      </c>
      <c r="L57" s="415">
        <f>'Initial unit rates'!L186</f>
        <v>7.2526459067774218E-2</v>
      </c>
      <c r="M57" s="415">
        <f>'Initial unit rates'!M186</f>
        <v>7.2526459067774218E-2</v>
      </c>
      <c r="N57" s="415">
        <f>'Initial unit rates'!N186</f>
        <v>5.2809255797684439E-2</v>
      </c>
      <c r="O57" s="415">
        <f>'Initial unit rates'!O186</f>
        <v>5.0995748874706072E-2</v>
      </c>
      <c r="P57" s="415">
        <f>'Initial unit rates'!P186</f>
        <v>3.7947727125816927E-2</v>
      </c>
      <c r="Q57" s="415">
        <f>'Initial unit rates'!Q186</f>
        <v>6.3154122245249869E-2</v>
      </c>
      <c r="R57" s="415">
        <f>'Initial unit rates'!R186</f>
        <v>-4.4631309368221683E-2</v>
      </c>
      <c r="S57" s="415">
        <f>'Initial unit rates'!S186</f>
        <v>-4.2657542076666749E-2</v>
      </c>
      <c r="T57" s="415">
        <f>'Initial unit rates'!T186</f>
        <v>-4.4631309368221683E-2</v>
      </c>
      <c r="U57" s="415">
        <f>'Initial unit rates'!U186</f>
        <v>-4.4631309368221683E-2</v>
      </c>
      <c r="V57" s="415">
        <f>'Initial unit rates'!V186</f>
        <v>-4.2657542076666749E-2</v>
      </c>
      <c r="W57" s="415">
        <f>'Initial unit rates'!W186</f>
        <v>-4.2657542076666749E-2</v>
      </c>
      <c r="X57" s="415">
        <f>'Initial unit rates'!X186</f>
        <v>-3.5790930540339064E-2</v>
      </c>
      <c r="Y57" s="415">
        <f>'Initial unit rates'!Y186</f>
        <v>-3.5790930540339064E-2</v>
      </c>
      <c r="Z57" s="348"/>
      <c r="AA57" s="348"/>
    </row>
    <row r="58" spans="3:27" x14ac:dyDescent="0.25">
      <c r="D58" s="293"/>
      <c r="F58" s="293" t="s">
        <v>51</v>
      </c>
      <c r="G58" s="293" t="s">
        <v>183</v>
      </c>
      <c r="H58" s="348"/>
      <c r="I58" s="348"/>
      <c r="J58" s="415">
        <f>'Initial unit rates'!J187</f>
        <v>0</v>
      </c>
      <c r="K58" s="415">
        <f>'Initial unit rates'!K187</f>
        <v>0</v>
      </c>
      <c r="L58" s="415">
        <f>'Initial unit rates'!L187</f>
        <v>0</v>
      </c>
      <c r="M58" s="415">
        <f>'Initial unit rates'!M187</f>
        <v>0</v>
      </c>
      <c r="N58" s="415">
        <f>'Initial unit rates'!N187</f>
        <v>0</v>
      </c>
      <c r="O58" s="415">
        <f>'Initial unit rates'!O187</f>
        <v>0</v>
      </c>
      <c r="P58" s="415">
        <f>'Initial unit rates'!P187</f>
        <v>0</v>
      </c>
      <c r="Q58" s="415">
        <f>'Initial unit rates'!Q187</f>
        <v>0</v>
      </c>
      <c r="R58" s="415">
        <f>'Initial unit rates'!R187</f>
        <v>0</v>
      </c>
      <c r="S58" s="415">
        <f>'Initial unit rates'!S187</f>
        <v>0</v>
      </c>
      <c r="T58" s="415">
        <f>'Initial unit rates'!T187</f>
        <v>0</v>
      </c>
      <c r="U58" s="415">
        <f>'Initial unit rates'!U187</f>
        <v>0</v>
      </c>
      <c r="V58" s="415">
        <f>'Initial unit rates'!V187</f>
        <v>0</v>
      </c>
      <c r="W58" s="415">
        <f>'Initial unit rates'!W187</f>
        <v>0</v>
      </c>
      <c r="X58" s="415">
        <f>'Initial unit rates'!X187</f>
        <v>0</v>
      </c>
      <c r="Y58" s="415">
        <f>'Initial unit rates'!Y187</f>
        <v>0</v>
      </c>
      <c r="Z58" s="348"/>
      <c r="AA58" s="348"/>
    </row>
    <row r="59" spans="3:27" x14ac:dyDescent="0.25">
      <c r="D59" s="293"/>
      <c r="F59" s="293" t="s">
        <v>48</v>
      </c>
      <c r="G59" s="293" t="s">
        <v>183</v>
      </c>
      <c r="H59" s="348"/>
      <c r="I59" s="348"/>
      <c r="J59" s="415">
        <f>'Initial unit rates'!J188</f>
        <v>0.32881613809383498</v>
      </c>
      <c r="K59" s="415">
        <f>'Initial unit rates'!K188</f>
        <v>0.32881613809383498</v>
      </c>
      <c r="L59" s="415">
        <f>'Initial unit rates'!L188</f>
        <v>0.40099519979636433</v>
      </c>
      <c r="M59" s="415">
        <f>'Initial unit rates'!M188</f>
        <v>0.40099519979636433</v>
      </c>
      <c r="N59" s="415">
        <f>'Initial unit rates'!N188</f>
        <v>0.29197975955093969</v>
      </c>
      <c r="O59" s="415">
        <f>'Initial unit rates'!O188</f>
        <v>0.28195296960063704</v>
      </c>
      <c r="P59" s="415">
        <f>'Initial unit rates'!P188</f>
        <v>9.6584594535780041E-2</v>
      </c>
      <c r="Q59" s="415">
        <f>'Initial unit rates'!Q188</f>
        <v>0.34917601373635038</v>
      </c>
      <c r="R59" s="415">
        <f>'Initial unit rates'!R188</f>
        <v>-0.24676429881347367</v>
      </c>
      <c r="S59" s="415">
        <f>'Initial unit rates'!S188</f>
        <v>-0.23585143722334714</v>
      </c>
      <c r="T59" s="415">
        <f>'Initial unit rates'!T188</f>
        <v>-0.24676429881347367</v>
      </c>
      <c r="U59" s="415">
        <f>'Initial unit rates'!U188</f>
        <v>-0.24676429881347367</v>
      </c>
      <c r="V59" s="415">
        <f>'Initial unit rates'!V188</f>
        <v>-0.23585143722334714</v>
      </c>
      <c r="W59" s="415">
        <f>'Initial unit rates'!W188</f>
        <v>-0.23585143722334714</v>
      </c>
      <c r="X59" s="415">
        <f>'Initial unit rates'!X188</f>
        <v>0</v>
      </c>
      <c r="Y59" s="415">
        <f>'Initial unit rates'!Y188</f>
        <v>0</v>
      </c>
      <c r="Z59" s="348"/>
      <c r="AA59" s="348"/>
    </row>
    <row r="60" spans="3:27" x14ac:dyDescent="0.25">
      <c r="D60" s="293"/>
      <c r="F60" s="293" t="s">
        <v>49</v>
      </c>
      <c r="G60" s="293" t="s">
        <v>183</v>
      </c>
      <c r="H60" s="348"/>
      <c r="I60" s="348"/>
      <c r="J60" s="415">
        <f>'Initial unit rates'!J189</f>
        <v>5.5178669260555001E-2</v>
      </c>
      <c r="K60" s="415">
        <f>'Initial unit rates'!K189</f>
        <v>5.5178669260555001E-2</v>
      </c>
      <c r="L60" s="415">
        <f>'Initial unit rates'!L189</f>
        <v>6.7291044876634093E-2</v>
      </c>
      <c r="M60" s="415">
        <f>'Initial unit rates'!M189</f>
        <v>6.7291044876634093E-2</v>
      </c>
      <c r="N60" s="415">
        <f>'Initial unit rates'!N189</f>
        <v>4.8997152866140752E-2</v>
      </c>
      <c r="O60" s="415">
        <f>'Initial unit rates'!O189</f>
        <v>4.7314556234417861E-2</v>
      </c>
      <c r="P60" s="415">
        <f>'Initial unit rates'!P189</f>
        <v>0</v>
      </c>
      <c r="Q60" s="415">
        <f>'Initial unit rates'!Q189</f>
        <v>5.8595262043308852E-2</v>
      </c>
      <c r="R60" s="415">
        <f>'Initial unit rates'!R189</f>
        <v>-4.1409541844493553E-2</v>
      </c>
      <c r="S60" s="415">
        <f>'Initial unit rates'!S189</f>
        <v>0</v>
      </c>
      <c r="T60" s="415">
        <f>'Initial unit rates'!T189</f>
        <v>-4.1409541844493553E-2</v>
      </c>
      <c r="U60" s="415">
        <f>'Initial unit rates'!U189</f>
        <v>-4.1409541844493553E-2</v>
      </c>
      <c r="V60" s="415">
        <f>'Initial unit rates'!V189</f>
        <v>0</v>
      </c>
      <c r="W60" s="415">
        <f>'Initial unit rates'!W189</f>
        <v>0</v>
      </c>
      <c r="X60" s="415">
        <f>'Initial unit rates'!X189</f>
        <v>0</v>
      </c>
      <c r="Y60" s="415">
        <f>'Initial unit rates'!Y189</f>
        <v>0</v>
      </c>
      <c r="Z60" s="348"/>
      <c r="AA60" s="348"/>
    </row>
    <row r="61" spans="3:27" x14ac:dyDescent="0.25">
      <c r="D61" s="293"/>
      <c r="F61" s="293" t="s">
        <v>50</v>
      </c>
      <c r="G61" s="293" t="s">
        <v>183</v>
      </c>
      <c r="H61" s="348"/>
      <c r="I61" s="348"/>
      <c r="J61" s="415">
        <f>'Initial unit rates'!J190</f>
        <v>8.0720270055333072E-3</v>
      </c>
      <c r="K61" s="415">
        <f>'Initial unit rates'!K190</f>
        <v>8.0720270055333072E-3</v>
      </c>
      <c r="L61" s="415">
        <f>'Initial unit rates'!L190</f>
        <v>9.843933149417906E-3</v>
      </c>
      <c r="M61" s="415">
        <f>'Initial unit rates'!M190</f>
        <v>9.843933149417906E-3</v>
      </c>
      <c r="N61" s="415">
        <f>'Initial unit rates'!N190</f>
        <v>7.1677397521520752E-3</v>
      </c>
      <c r="O61" s="415">
        <f>'Initial unit rates'!O190</f>
        <v>0</v>
      </c>
      <c r="P61" s="415">
        <f>'Initial unit rates'!P190</f>
        <v>0</v>
      </c>
      <c r="Q61" s="415">
        <f>'Initial unit rates'!Q190</f>
        <v>8.5718366163644692E-3</v>
      </c>
      <c r="R61" s="415">
        <f>'Initial unit rates'!R190</f>
        <v>0</v>
      </c>
      <c r="S61" s="415">
        <f>'Initial unit rates'!S190</f>
        <v>0</v>
      </c>
      <c r="T61" s="415">
        <f>'Initial unit rates'!T190</f>
        <v>0</v>
      </c>
      <c r="U61" s="415">
        <f>'Initial unit rates'!U190</f>
        <v>0</v>
      </c>
      <c r="V61" s="415">
        <f>'Initial unit rates'!V190</f>
        <v>0</v>
      </c>
      <c r="W61" s="415">
        <f>'Initial unit rates'!W190</f>
        <v>0</v>
      </c>
      <c r="X61" s="415">
        <f>'Initial unit rates'!X190</f>
        <v>0</v>
      </c>
      <c r="Y61" s="415">
        <f>'Initial unit rates'!Y190</f>
        <v>0</v>
      </c>
      <c r="Z61" s="348"/>
      <c r="AA61" s="348"/>
    </row>
    <row r="62" spans="3:27" x14ac:dyDescent="0.25">
      <c r="D62" s="293"/>
      <c r="F62" s="91" t="s">
        <v>124</v>
      </c>
      <c r="G62" s="91" t="s">
        <v>183</v>
      </c>
      <c r="H62" s="346"/>
      <c r="I62" s="346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8"/>
      <c r="AA62" s="348"/>
    </row>
    <row r="63" spans="3:27" x14ac:dyDescent="0.25">
      <c r="D63" s="293"/>
      <c r="F63" s="93" t="s">
        <v>123</v>
      </c>
      <c r="G63" s="93" t="s">
        <v>183</v>
      </c>
      <c r="H63" s="350"/>
      <c r="I63" s="350"/>
      <c r="J63" s="355"/>
      <c r="K63" s="355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48"/>
      <c r="AA63" s="348"/>
    </row>
    <row r="64" spans="3:27" x14ac:dyDescent="0.2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2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25">
      <c r="D66" s="293"/>
      <c r="F66" s="91" t="s">
        <v>267</v>
      </c>
      <c r="G66" s="91" t="s">
        <v>183</v>
      </c>
      <c r="H66" s="346"/>
      <c r="I66" s="346"/>
      <c r="J66" s="357">
        <f>'Initial unit rates'!J193</f>
        <v>0.12558943275634141</v>
      </c>
      <c r="K66" s="357">
        <f>'Initial unit rates'!K193</f>
        <v>0.12558943275634141</v>
      </c>
      <c r="L66" s="357">
        <f>'Initial unit rates'!L193</f>
        <v>0.15315781023518263</v>
      </c>
      <c r="M66" s="357">
        <f>'Initial unit rates'!M193</f>
        <v>0.15315781023518263</v>
      </c>
      <c r="N66" s="357">
        <f>'Initial unit rates'!N193</f>
        <v>0.11151998983660287</v>
      </c>
      <c r="O66" s="357">
        <f>'Initial unit rates'!O193</f>
        <v>0.10769031508424581</v>
      </c>
      <c r="P66" s="357">
        <f>'Initial unit rates'!P193</f>
        <v>9.3526369668848267E-2</v>
      </c>
      <c r="Q66" s="357">
        <f>'Initial unit rates'!Q193</f>
        <v>0.20688925786529602</v>
      </c>
      <c r="R66" s="357">
        <f>'Initial unit rates'!R193</f>
        <v>-9.4250204665005E-2</v>
      </c>
      <c r="S66" s="357">
        <f>'Initial unit rates'!S193</f>
        <v>-9.0082099946065239E-2</v>
      </c>
      <c r="T66" s="357">
        <f>'Initial unit rates'!T193</f>
        <v>-9.4250204665005E-2</v>
      </c>
      <c r="U66" s="357">
        <f>'Initial unit rates'!U193</f>
        <v>-9.4250204665005E-2</v>
      </c>
      <c r="V66" s="357">
        <f>'Initial unit rates'!V193</f>
        <v>-9.0082099946065239E-2</v>
      </c>
      <c r="W66" s="357">
        <f>'Initial unit rates'!W193</f>
        <v>-9.0082099946065239E-2</v>
      </c>
      <c r="X66" s="357">
        <f>'Initial unit rates'!X193</f>
        <v>-8.821070599062289E-2</v>
      </c>
      <c r="Y66" s="357">
        <f>'Initial unit rates'!Y193</f>
        <v>-8.821070599062289E-2</v>
      </c>
      <c r="Z66" s="348"/>
      <c r="AA66" s="348"/>
    </row>
    <row r="67" spans="3:27" x14ac:dyDescent="0.25">
      <c r="D67" s="293"/>
      <c r="F67" s="293" t="s">
        <v>43</v>
      </c>
      <c r="G67" s="293" t="s">
        <v>183</v>
      </c>
      <c r="H67" s="348"/>
      <c r="I67" s="348"/>
      <c r="J67" s="415">
        <f>'Initial unit rates'!J194</f>
        <v>0</v>
      </c>
      <c r="K67" s="415">
        <f>'Initial unit rates'!K194</f>
        <v>0</v>
      </c>
      <c r="L67" s="415">
        <f>'Initial unit rates'!L194</f>
        <v>0</v>
      </c>
      <c r="M67" s="415">
        <f>'Initial unit rates'!M194</f>
        <v>0</v>
      </c>
      <c r="N67" s="415">
        <f>'Initial unit rates'!N194</f>
        <v>0</v>
      </c>
      <c r="O67" s="415">
        <f>'Initial unit rates'!O194</f>
        <v>0</v>
      </c>
      <c r="P67" s="415">
        <f>'Initial unit rates'!P194</f>
        <v>0</v>
      </c>
      <c r="Q67" s="415">
        <f>'Initial unit rates'!Q194</f>
        <v>0</v>
      </c>
      <c r="R67" s="415">
        <f>'Initial unit rates'!R194</f>
        <v>0</v>
      </c>
      <c r="S67" s="415">
        <f>'Initial unit rates'!S194</f>
        <v>0</v>
      </c>
      <c r="T67" s="415">
        <f>'Initial unit rates'!T194</f>
        <v>0</v>
      </c>
      <c r="U67" s="415">
        <f>'Initial unit rates'!U194</f>
        <v>0</v>
      </c>
      <c r="V67" s="415">
        <f>'Initial unit rates'!V194</f>
        <v>0</v>
      </c>
      <c r="W67" s="415">
        <f>'Initial unit rates'!W194</f>
        <v>0</v>
      </c>
      <c r="X67" s="415">
        <f>'Initial unit rates'!X194</f>
        <v>0</v>
      </c>
      <c r="Y67" s="415">
        <f>'Initial unit rates'!Y194</f>
        <v>0</v>
      </c>
      <c r="Z67" s="348"/>
      <c r="AA67" s="348"/>
    </row>
    <row r="68" spans="3:27" x14ac:dyDescent="0.25">
      <c r="D68" s="293"/>
      <c r="F68" s="293" t="s">
        <v>44</v>
      </c>
      <c r="G68" s="293" t="s">
        <v>183</v>
      </c>
      <c r="H68" s="348"/>
      <c r="I68" s="348"/>
      <c r="J68" s="415">
        <f>'Initial unit rates'!J195</f>
        <v>0.13795843558646584</v>
      </c>
      <c r="K68" s="415">
        <f>'Initial unit rates'!K195</f>
        <v>0.13795843558646584</v>
      </c>
      <c r="L68" s="415">
        <f>'Initial unit rates'!L195</f>
        <v>0.16824195662136798</v>
      </c>
      <c r="M68" s="415">
        <f>'Initial unit rates'!M195</f>
        <v>0.16824195662136798</v>
      </c>
      <c r="N68" s="415">
        <f>'Initial unit rates'!N195</f>
        <v>0.12250332688678742</v>
      </c>
      <c r="O68" s="415">
        <f>'Initial unit rates'!O195</f>
        <v>0.11829647662841256</v>
      </c>
      <c r="P68" s="415">
        <f>'Initial unit rates'!P195</f>
        <v>0.10273755810832176</v>
      </c>
      <c r="Q68" s="415">
        <f>'Initial unit rates'!Q195</f>
        <v>0.2272652860063179</v>
      </c>
      <c r="R68" s="415">
        <f>'Initial unit rates'!R195</f>
        <v>-0.10353268188188205</v>
      </c>
      <c r="S68" s="415">
        <f>'Initial unit rates'!S195</f>
        <v>-9.8954070499019012E-2</v>
      </c>
      <c r="T68" s="415">
        <f>'Initial unit rates'!T195</f>
        <v>-0.10353268188188205</v>
      </c>
      <c r="U68" s="415">
        <f>'Initial unit rates'!U195</f>
        <v>-0.10353268188188205</v>
      </c>
      <c r="V68" s="415">
        <f>'Initial unit rates'!V195</f>
        <v>-9.8954070499019012E-2</v>
      </c>
      <c r="W68" s="415">
        <f>'Initial unit rates'!W195</f>
        <v>-9.8954070499019012E-2</v>
      </c>
      <c r="X68" s="415">
        <f>'Initial unit rates'!X195</f>
        <v>-9.6898367429162163E-2</v>
      </c>
      <c r="Y68" s="415">
        <f>'Initial unit rates'!Y195</f>
        <v>-9.6898367429162163E-2</v>
      </c>
      <c r="Z68" s="348"/>
      <c r="AA68" s="348"/>
    </row>
    <row r="69" spans="3:27" x14ac:dyDescent="0.25">
      <c r="D69" s="293"/>
      <c r="F69" s="293" t="s">
        <v>45</v>
      </c>
      <c r="G69" s="293" t="s">
        <v>183</v>
      </c>
      <c r="H69" s="348"/>
      <c r="I69" s="348"/>
      <c r="J69" s="415">
        <f>'Initial unit rates'!J196</f>
        <v>1.8965899156537198E-2</v>
      </c>
      <c r="K69" s="415">
        <f>'Initial unit rates'!K196</f>
        <v>1.8965899156537198E-2</v>
      </c>
      <c r="L69" s="415">
        <f>'Initial unit rates'!L196</f>
        <v>2.3129140089295161E-2</v>
      </c>
      <c r="M69" s="415">
        <f>'Initial unit rates'!M196</f>
        <v>2.3129140089295161E-2</v>
      </c>
      <c r="N69" s="415">
        <f>'Initial unit rates'!N196</f>
        <v>1.684120100520373E-2</v>
      </c>
      <c r="O69" s="415">
        <f>'Initial unit rates'!O196</f>
        <v>1.6262862337997088E-2</v>
      </c>
      <c r="P69" s="415">
        <f>'Initial unit rates'!P196</f>
        <v>1.4123892884027935E-2</v>
      </c>
      <c r="Q69" s="415">
        <f>'Initial unit rates'!Q196</f>
        <v>2.4480466193512563E-2</v>
      </c>
      <c r="R69" s="415">
        <f>'Initial unit rates'!R196</f>
        <v>-1.4233202889191471E-2</v>
      </c>
      <c r="S69" s="415">
        <f>'Initial unit rates'!S196</f>
        <v>-1.3603756191023253E-2</v>
      </c>
      <c r="T69" s="415">
        <f>'Initial unit rates'!T196</f>
        <v>-1.4233202889191471E-2</v>
      </c>
      <c r="U69" s="415">
        <f>'Initial unit rates'!U196</f>
        <v>-1.4233202889191471E-2</v>
      </c>
      <c r="V69" s="415">
        <f>'Initial unit rates'!V196</f>
        <v>-1.3603756191023253E-2</v>
      </c>
      <c r="W69" s="415">
        <f>'Initial unit rates'!W196</f>
        <v>-1.3603756191023253E-2</v>
      </c>
      <c r="X69" s="415">
        <f>'Initial unit rates'!X196</f>
        <v>-1.3321147469396707E-2</v>
      </c>
      <c r="Y69" s="415">
        <f>'Initial unit rates'!Y196</f>
        <v>-1.3321147469396707E-2</v>
      </c>
      <c r="Z69" s="348"/>
      <c r="AA69" s="348"/>
    </row>
    <row r="70" spans="3:27" x14ac:dyDescent="0.25">
      <c r="D70" s="293"/>
      <c r="F70" s="293" t="s">
        <v>46</v>
      </c>
      <c r="G70" s="293" t="s">
        <v>183</v>
      </c>
      <c r="H70" s="348"/>
      <c r="I70" s="348"/>
      <c r="J70" s="415">
        <f>'Initial unit rates'!J197</f>
        <v>0.19361726583832187</v>
      </c>
      <c r="K70" s="415">
        <f>'Initial unit rates'!K197</f>
        <v>0.19361726583832187</v>
      </c>
      <c r="L70" s="415">
        <f>'Initial unit rates'!L197</f>
        <v>0.23611856355027044</v>
      </c>
      <c r="M70" s="415">
        <f>'Initial unit rates'!M197</f>
        <v>0.23611856355027044</v>
      </c>
      <c r="N70" s="415">
        <f>'Initial unit rates'!N197</f>
        <v>0.17192684961299207</v>
      </c>
      <c r="O70" s="415">
        <f>'Initial unit rates'!O197</f>
        <v>0.16602276088253334</v>
      </c>
      <c r="P70" s="415">
        <f>'Initial unit rates'!P197</f>
        <v>0.14418665314142212</v>
      </c>
      <c r="Q70" s="415">
        <f>'Initial unit rates'!Q197</f>
        <v>0.2499138528426498</v>
      </c>
      <c r="R70" s="415">
        <f>'Initial unit rates'!R197</f>
        <v>-0.14530256671629957</v>
      </c>
      <c r="S70" s="415">
        <f>'Initial unit rates'!S197</f>
        <v>-0.1388767311846221</v>
      </c>
      <c r="T70" s="415">
        <f>'Initial unit rates'!T197</f>
        <v>-0.14530256671629957</v>
      </c>
      <c r="U70" s="415">
        <f>'Initial unit rates'!U197</f>
        <v>-0.14530256671629957</v>
      </c>
      <c r="V70" s="415">
        <f>'Initial unit rates'!V197</f>
        <v>-0.1388767311846221</v>
      </c>
      <c r="W70" s="415">
        <f>'Initial unit rates'!W197</f>
        <v>-0.1388767311846221</v>
      </c>
      <c r="X70" s="415">
        <f>'Initial unit rates'!X197</f>
        <v>-0.13599166217039949</v>
      </c>
      <c r="Y70" s="415">
        <f>'Initial unit rates'!Y197</f>
        <v>-0.13599166217039949</v>
      </c>
      <c r="Z70" s="348"/>
      <c r="AA70" s="348"/>
    </row>
    <row r="71" spans="3:27" x14ac:dyDescent="0.25">
      <c r="D71" s="293"/>
      <c r="F71" s="293" t="s">
        <v>47</v>
      </c>
      <c r="G71" s="293" t="s">
        <v>183</v>
      </c>
      <c r="H71" s="348"/>
      <c r="I71" s="348"/>
      <c r="J71" s="415">
        <f>'Initial unit rates'!J198</f>
        <v>3.9536575194596545E-2</v>
      </c>
      <c r="K71" s="415">
        <f>'Initial unit rates'!K198</f>
        <v>3.9536575194596545E-2</v>
      </c>
      <c r="L71" s="415">
        <f>'Initial unit rates'!L198</f>
        <v>4.8215324714071493E-2</v>
      </c>
      <c r="M71" s="415">
        <f>'Initial unit rates'!M198</f>
        <v>4.8215324714071493E-2</v>
      </c>
      <c r="N71" s="415">
        <f>'Initial unit rates'!N198</f>
        <v>3.5107400098141311E-2</v>
      </c>
      <c r="O71" s="415">
        <f>'Initial unit rates'!O198</f>
        <v>3.3901787328863418E-2</v>
      </c>
      <c r="P71" s="415">
        <f>'Initial unit rates'!P198</f>
        <v>2.944286207792704E-2</v>
      </c>
      <c r="Q71" s="415">
        <f>'Initial unit rates'!Q198</f>
        <v>4.1984629474898429E-2</v>
      </c>
      <c r="R71" s="415">
        <f>'Initial unit rates'!R198</f>
        <v>-2.9670731223650104E-2</v>
      </c>
      <c r="S71" s="415">
        <f>'Initial unit rates'!S198</f>
        <v>-2.8358577947513945E-2</v>
      </c>
      <c r="T71" s="415">
        <f>'Initial unit rates'!T198</f>
        <v>-2.9670731223650104E-2</v>
      </c>
      <c r="U71" s="415">
        <f>'Initial unit rates'!U198</f>
        <v>-2.9670731223650104E-2</v>
      </c>
      <c r="V71" s="415">
        <f>'Initial unit rates'!V198</f>
        <v>-2.8358577947513945E-2</v>
      </c>
      <c r="W71" s="415">
        <f>'Initial unit rates'!W198</f>
        <v>-2.8358577947513945E-2</v>
      </c>
      <c r="X71" s="415">
        <f>'Initial unit rates'!X198</f>
        <v>-2.7769447905167104E-2</v>
      </c>
      <c r="Y71" s="415">
        <f>'Initial unit rates'!Y198</f>
        <v>-2.7769447905167104E-2</v>
      </c>
      <c r="Z71" s="348"/>
      <c r="AA71" s="348"/>
    </row>
    <row r="72" spans="3:27" x14ac:dyDescent="0.25">
      <c r="D72" s="293"/>
      <c r="F72" s="293" t="s">
        <v>51</v>
      </c>
      <c r="G72" s="293" t="s">
        <v>183</v>
      </c>
      <c r="H72" s="348"/>
      <c r="I72" s="348"/>
      <c r="J72" s="415">
        <f>'Initial unit rates'!J199</f>
        <v>0</v>
      </c>
      <c r="K72" s="415">
        <f>'Initial unit rates'!K199</f>
        <v>0</v>
      </c>
      <c r="L72" s="415">
        <f>'Initial unit rates'!L199</f>
        <v>0</v>
      </c>
      <c r="M72" s="415">
        <f>'Initial unit rates'!M199</f>
        <v>0</v>
      </c>
      <c r="N72" s="415">
        <f>'Initial unit rates'!N199</f>
        <v>0</v>
      </c>
      <c r="O72" s="415">
        <f>'Initial unit rates'!O199</f>
        <v>0</v>
      </c>
      <c r="P72" s="415">
        <f>'Initial unit rates'!P199</f>
        <v>0</v>
      </c>
      <c r="Q72" s="415">
        <f>'Initial unit rates'!Q199</f>
        <v>0</v>
      </c>
      <c r="R72" s="415">
        <f>'Initial unit rates'!R199</f>
        <v>0</v>
      </c>
      <c r="S72" s="415">
        <f>'Initial unit rates'!S199</f>
        <v>0</v>
      </c>
      <c r="T72" s="415">
        <f>'Initial unit rates'!T199</f>
        <v>0</v>
      </c>
      <c r="U72" s="415">
        <f>'Initial unit rates'!U199</f>
        <v>0</v>
      </c>
      <c r="V72" s="415">
        <f>'Initial unit rates'!V199</f>
        <v>0</v>
      </c>
      <c r="W72" s="415">
        <f>'Initial unit rates'!W199</f>
        <v>0</v>
      </c>
      <c r="X72" s="415">
        <f>'Initial unit rates'!X199</f>
        <v>0</v>
      </c>
      <c r="Y72" s="415">
        <f>'Initial unit rates'!Y199</f>
        <v>0</v>
      </c>
      <c r="Z72" s="348"/>
      <c r="AA72" s="348"/>
    </row>
    <row r="73" spans="3:27" x14ac:dyDescent="0.25">
      <c r="D73" s="293"/>
      <c r="F73" s="293" t="s">
        <v>48</v>
      </c>
      <c r="G73" s="293" t="s">
        <v>183</v>
      </c>
      <c r="H73" s="348"/>
      <c r="I73" s="348"/>
      <c r="J73" s="415">
        <f>'Initial unit rates'!J200</f>
        <v>0.32449518975220837</v>
      </c>
      <c r="K73" s="415">
        <f>'Initial unit rates'!K200</f>
        <v>0.32449518975220837</v>
      </c>
      <c r="L73" s="415">
        <f>'Initial unit rates'!L200</f>
        <v>0.39572575178932684</v>
      </c>
      <c r="M73" s="415">
        <f>'Initial unit rates'!M200</f>
        <v>0.39572575178932684</v>
      </c>
      <c r="N73" s="415">
        <f>'Initial unit rates'!N200</f>
        <v>0.28814287531182081</v>
      </c>
      <c r="O73" s="415">
        <f>'Initial unit rates'!O200</f>
        <v>0.2782478466602753</v>
      </c>
      <c r="P73" s="415">
        <f>'Initial unit rates'!P200</f>
        <v>0.24165135876844451</v>
      </c>
      <c r="Q73" s="415">
        <f>'Initial unit rates'!Q200</f>
        <v>0.3445875177877139</v>
      </c>
      <c r="R73" s="415">
        <f>'Initial unit rates'!R200</f>
        <v>-0.24352158757091763</v>
      </c>
      <c r="S73" s="415">
        <f>'Initial unit rates'!S200</f>
        <v>-0.23275213108086798</v>
      </c>
      <c r="T73" s="415">
        <f>'Initial unit rates'!T200</f>
        <v>-0.24352158757091763</v>
      </c>
      <c r="U73" s="415">
        <f>'Initial unit rates'!U200</f>
        <v>-0.24352158757091763</v>
      </c>
      <c r="V73" s="415">
        <f>'Initial unit rates'!V200</f>
        <v>-0.23275213108086798</v>
      </c>
      <c r="W73" s="415">
        <f>'Initial unit rates'!W200</f>
        <v>-0.23275213108086798</v>
      </c>
      <c r="X73" s="415">
        <f>'Initial unit rates'!X200</f>
        <v>0</v>
      </c>
      <c r="Y73" s="415">
        <f>'Initial unit rates'!Y200</f>
        <v>0</v>
      </c>
      <c r="Z73" s="348"/>
      <c r="AA73" s="348"/>
    </row>
    <row r="74" spans="3:27" x14ac:dyDescent="0.25">
      <c r="D74" s="293"/>
      <c r="F74" s="293" t="s">
        <v>49</v>
      </c>
      <c r="G74" s="293" t="s">
        <v>183</v>
      </c>
      <c r="H74" s="348"/>
      <c r="I74" s="348"/>
      <c r="J74" s="415">
        <f>'Initial unit rates'!J201</f>
        <v>0.12691741100442636</v>
      </c>
      <c r="K74" s="415">
        <f>'Initial unit rates'!K201</f>
        <v>0.12691741100442636</v>
      </c>
      <c r="L74" s="415">
        <f>'Initial unit rates'!L201</f>
        <v>0.15477729553782948</v>
      </c>
      <c r="M74" s="415">
        <f>'Initial unit rates'!M201</f>
        <v>0.15477729553782948</v>
      </c>
      <c r="N74" s="415">
        <f>'Initial unit rates'!N201</f>
        <v>0.11269919828972956</v>
      </c>
      <c r="O74" s="415">
        <f>'Initial unit rates'!O201</f>
        <v>0.1088290286911362</v>
      </c>
      <c r="P74" s="415">
        <f>'Initial unit rates'!P201</f>
        <v>0</v>
      </c>
      <c r="Q74" s="415">
        <f>'Initial unit rates'!Q201</f>
        <v>0.13477597512448405</v>
      </c>
      <c r="R74" s="415">
        <f>'Initial unit rates'!R201</f>
        <v>-9.5246803016679316E-2</v>
      </c>
      <c r="S74" s="415">
        <f>'Initial unit rates'!S201</f>
        <v>0</v>
      </c>
      <c r="T74" s="415">
        <f>'Initial unit rates'!T201</f>
        <v>-9.5246803016679316E-2</v>
      </c>
      <c r="U74" s="415">
        <f>'Initial unit rates'!U201</f>
        <v>-9.5246803016679316E-2</v>
      </c>
      <c r="V74" s="415">
        <f>'Initial unit rates'!V201</f>
        <v>0</v>
      </c>
      <c r="W74" s="415">
        <f>'Initial unit rates'!W201</f>
        <v>0</v>
      </c>
      <c r="X74" s="415">
        <f>'Initial unit rates'!X201</f>
        <v>0</v>
      </c>
      <c r="Y74" s="415">
        <f>'Initial unit rates'!Y201</f>
        <v>0</v>
      </c>
      <c r="Z74" s="348"/>
      <c r="AA74" s="348"/>
    </row>
    <row r="75" spans="3:27" x14ac:dyDescent="0.25">
      <c r="D75" s="293"/>
      <c r="F75" s="293" t="s">
        <v>50</v>
      </c>
      <c r="G75" s="293" t="s">
        <v>183</v>
      </c>
      <c r="H75" s="348"/>
      <c r="I75" s="348"/>
      <c r="J75" s="415">
        <f>'Initial unit rates'!J202</f>
        <v>7.7714008434718665E-2</v>
      </c>
      <c r="K75" s="415">
        <f>'Initial unit rates'!K202</f>
        <v>7.7714008434718665E-2</v>
      </c>
      <c r="L75" s="415">
        <f>'Initial unit rates'!L202</f>
        <v>9.4773159614092051E-2</v>
      </c>
      <c r="M75" s="415">
        <f>'Initial unit rates'!M202</f>
        <v>9.4773159614092051E-2</v>
      </c>
      <c r="N75" s="415">
        <f>'Initial unit rates'!N202</f>
        <v>6.9007919222120115E-2</v>
      </c>
      <c r="O75" s="415">
        <f>'Initial unit rates'!O202</f>
        <v>0</v>
      </c>
      <c r="P75" s="415">
        <f>'Initial unit rates'!P202</f>
        <v>0</v>
      </c>
      <c r="Q75" s="415">
        <f>'Initial unit rates'!Q202</f>
        <v>8.2525960660009792E-2</v>
      </c>
      <c r="R75" s="415">
        <f>'Initial unit rates'!R202</f>
        <v>0</v>
      </c>
      <c r="S75" s="415">
        <f>'Initial unit rates'!S202</f>
        <v>0</v>
      </c>
      <c r="T75" s="415">
        <f>'Initial unit rates'!T202</f>
        <v>0</v>
      </c>
      <c r="U75" s="415">
        <f>'Initial unit rates'!U202</f>
        <v>0</v>
      </c>
      <c r="V75" s="415">
        <f>'Initial unit rates'!V202</f>
        <v>0</v>
      </c>
      <c r="W75" s="415">
        <f>'Initial unit rates'!W202</f>
        <v>0</v>
      </c>
      <c r="X75" s="415">
        <f>'Initial unit rates'!X202</f>
        <v>0</v>
      </c>
      <c r="Y75" s="415">
        <f>'Initial unit rates'!Y202</f>
        <v>0</v>
      </c>
      <c r="Z75" s="348"/>
      <c r="AA75" s="348"/>
    </row>
    <row r="76" spans="3:27" x14ac:dyDescent="0.25">
      <c r="D76" s="293"/>
      <c r="F76" s="91" t="s">
        <v>124</v>
      </c>
      <c r="G76" s="91" t="s">
        <v>183</v>
      </c>
      <c r="H76" s="346"/>
      <c r="I76" s="346" t="s">
        <v>359</v>
      </c>
      <c r="J76" s="358"/>
      <c r="K76" s="358"/>
      <c r="L76" s="358"/>
      <c r="M76" s="358"/>
      <c r="N76" s="358"/>
      <c r="O76" s="358"/>
      <c r="P76" s="358"/>
      <c r="Q76" s="357">
        <f>'Service model charges'!$Q$44</f>
        <v>0.38393089804388564</v>
      </c>
      <c r="R76" s="358"/>
      <c r="S76" s="358"/>
      <c r="T76" s="358"/>
      <c r="U76" s="358"/>
      <c r="V76" s="358"/>
      <c r="W76" s="358"/>
      <c r="X76" s="358"/>
      <c r="Y76" s="358"/>
      <c r="Z76" s="348"/>
      <c r="AA76" s="348" t="s">
        <v>730</v>
      </c>
    </row>
    <row r="77" spans="3:27" x14ac:dyDescent="0.25">
      <c r="D77" s="293"/>
      <c r="F77" s="93" t="s">
        <v>123</v>
      </c>
      <c r="G77" s="93" t="s">
        <v>183</v>
      </c>
      <c r="H77" s="350"/>
      <c r="I77" s="350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48"/>
      <c r="AA77" s="348"/>
    </row>
    <row r="78" spans="3:27" x14ac:dyDescent="0.2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25">
      <c r="C79" s="7" t="str">
        <f ca="1">INDEX('Version control'!$H$34:$H$60,MATCH($A$1,'Version control'!$F$34:$F$60,0),1)&amp;"-C: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2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2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25">
      <c r="D82" s="293"/>
      <c r="F82" s="91" t="s">
        <v>267</v>
      </c>
      <c r="G82" s="91" t="s">
        <v>183</v>
      </c>
      <c r="H82" s="346"/>
      <c r="I82" s="346"/>
      <c r="J82" s="357">
        <f>'Initial unit rates'!J210</f>
        <v>0</v>
      </c>
      <c r="K82" s="357">
        <f>'Initial unit rates'!K210</f>
        <v>0</v>
      </c>
      <c r="L82" s="357">
        <f>'Initial unit rates'!L210</f>
        <v>0</v>
      </c>
      <c r="M82" s="357">
        <f>'Initial unit rates'!M210</f>
        <v>0</v>
      </c>
      <c r="N82" s="357">
        <f>'Initial unit rates'!N210</f>
        <v>0</v>
      </c>
      <c r="O82" s="357">
        <f>'Initial unit rates'!O210</f>
        <v>0</v>
      </c>
      <c r="P82" s="357">
        <f>'Initial unit rates'!P210</f>
        <v>0</v>
      </c>
      <c r="Q82" s="357">
        <f>'Initial unit rates'!Q210</f>
        <v>0</v>
      </c>
      <c r="R82" s="357">
        <f>'Initial unit rates'!R210</f>
        <v>0</v>
      </c>
      <c r="S82" s="357">
        <f>'Initial unit rates'!S210</f>
        <v>0</v>
      </c>
      <c r="T82" s="357">
        <f>'Initial unit rates'!T210</f>
        <v>0</v>
      </c>
      <c r="U82" s="357">
        <f>'Initial unit rates'!U210</f>
        <v>0</v>
      </c>
      <c r="V82" s="357">
        <f>'Initial unit rates'!V210</f>
        <v>0</v>
      </c>
      <c r="W82" s="357">
        <f>'Initial unit rates'!W210</f>
        <v>0</v>
      </c>
      <c r="X82" s="357">
        <f>'Initial unit rates'!X210</f>
        <v>0</v>
      </c>
      <c r="Y82" s="357">
        <f>'Initial unit rates'!Y210</f>
        <v>0</v>
      </c>
      <c r="Z82" s="348"/>
      <c r="AA82" s="348"/>
    </row>
    <row r="83" spans="4:27" x14ac:dyDescent="0.25">
      <c r="D83" s="293"/>
      <c r="F83" s="293" t="s">
        <v>43</v>
      </c>
      <c r="G83" s="293" t="s">
        <v>183</v>
      </c>
      <c r="H83" s="348"/>
      <c r="I83" s="348"/>
      <c r="J83" s="415">
        <f>'Initial unit rates'!J211</f>
        <v>0</v>
      </c>
      <c r="K83" s="415">
        <f>'Initial unit rates'!K211</f>
        <v>0</v>
      </c>
      <c r="L83" s="415">
        <f>'Initial unit rates'!L211</f>
        <v>0</v>
      </c>
      <c r="M83" s="415">
        <f>'Initial unit rates'!M211</f>
        <v>0</v>
      </c>
      <c r="N83" s="415">
        <f>'Initial unit rates'!N211</f>
        <v>0</v>
      </c>
      <c r="O83" s="415">
        <f>'Initial unit rates'!O211</f>
        <v>0</v>
      </c>
      <c r="P83" s="415">
        <f>'Initial unit rates'!P211</f>
        <v>0</v>
      </c>
      <c r="Q83" s="415">
        <f>'Initial unit rates'!Q211</f>
        <v>0</v>
      </c>
      <c r="R83" s="415">
        <f>'Initial unit rates'!R211</f>
        <v>0</v>
      </c>
      <c r="S83" s="415">
        <f>'Initial unit rates'!S211</f>
        <v>0</v>
      </c>
      <c r="T83" s="415">
        <f>'Initial unit rates'!T211</f>
        <v>0</v>
      </c>
      <c r="U83" s="415">
        <f>'Initial unit rates'!U211</f>
        <v>0</v>
      </c>
      <c r="V83" s="415">
        <f>'Initial unit rates'!V211</f>
        <v>0</v>
      </c>
      <c r="W83" s="415">
        <f>'Initial unit rates'!W211</f>
        <v>0</v>
      </c>
      <c r="X83" s="415">
        <f>'Initial unit rates'!X211</f>
        <v>0</v>
      </c>
      <c r="Y83" s="415">
        <f>'Initial unit rates'!Y211</f>
        <v>0</v>
      </c>
      <c r="Z83" s="348"/>
      <c r="AA83" s="348"/>
    </row>
    <row r="84" spans="4:27" x14ac:dyDescent="0.25">
      <c r="D84" s="293"/>
      <c r="F84" s="293" t="s">
        <v>44</v>
      </c>
      <c r="G84" s="293" t="s">
        <v>183</v>
      </c>
      <c r="H84" s="348"/>
      <c r="I84" s="348"/>
      <c r="J84" s="415">
        <f>'Initial unit rates'!J212</f>
        <v>2.2367655005322923E-2</v>
      </c>
      <c r="K84" s="415">
        <f>'Initial unit rates'!K212</f>
        <v>2.2367655005322923E-2</v>
      </c>
      <c r="L84" s="415">
        <f>'Initial unit rates'!L212</f>
        <v>2.7277621894811074E-2</v>
      </c>
      <c r="M84" s="415">
        <f>'Initial unit rates'!M212</f>
        <v>2.7277621894811074E-2</v>
      </c>
      <c r="N84" s="415">
        <f>'Initial unit rates'!N212</f>
        <v>1.9861867388968668E-2</v>
      </c>
      <c r="O84" s="415">
        <f>'Initial unit rates'!O212</f>
        <v>1.9179796917247454E-2</v>
      </c>
      <c r="P84" s="415">
        <f>'Initial unit rates'!P212</f>
        <v>1.66571782732052E-2</v>
      </c>
      <c r="Q84" s="415">
        <f>'Initial unit rates'!Q212</f>
        <v>2.1239901083343581E-2</v>
      </c>
      <c r="R84" s="415">
        <f>'Initial unit rates'!R212</f>
        <v>-1.6786094306341721E-2</v>
      </c>
      <c r="S84" s="415">
        <f>'Initial unit rates'!S212</f>
        <v>-1.6043748980519745E-2</v>
      </c>
      <c r="T84" s="415">
        <f>'Initial unit rates'!T212</f>
        <v>-1.6786094306341721E-2</v>
      </c>
      <c r="U84" s="415">
        <f>'Initial unit rates'!U212</f>
        <v>-1.6786094306341721E-2</v>
      </c>
      <c r="V84" s="415">
        <f>'Initial unit rates'!V212</f>
        <v>-1.6043748980519745E-2</v>
      </c>
      <c r="W84" s="415">
        <f>'Initial unit rates'!W212</f>
        <v>-1.6043748980519745E-2</v>
      </c>
      <c r="X84" s="415">
        <f>'Initial unit rates'!X212</f>
        <v>-1.5710451079130286E-2</v>
      </c>
      <c r="Y84" s="415">
        <f>'Initial unit rates'!Y212</f>
        <v>-1.5710451079130286E-2</v>
      </c>
      <c r="Z84" s="348"/>
      <c r="AA84" s="348"/>
    </row>
    <row r="85" spans="4:27" x14ac:dyDescent="0.25">
      <c r="D85" s="293"/>
      <c r="F85" s="293" t="s">
        <v>45</v>
      </c>
      <c r="G85" s="293" t="s">
        <v>183</v>
      </c>
      <c r="H85" s="348"/>
      <c r="I85" s="348"/>
      <c r="J85" s="415">
        <f>'Initial unit rates'!J213</f>
        <v>4.4006040585410494E-3</v>
      </c>
      <c r="K85" s="415">
        <f>'Initial unit rates'!K213</f>
        <v>4.4006040585410494E-3</v>
      </c>
      <c r="L85" s="415">
        <f>'Initial unit rates'!L213</f>
        <v>5.3665891032872197E-3</v>
      </c>
      <c r="M85" s="415">
        <f>'Initial unit rates'!M213</f>
        <v>5.3665891032872197E-3</v>
      </c>
      <c r="N85" s="415">
        <f>'Initial unit rates'!N213</f>
        <v>3.9076163424954357E-3</v>
      </c>
      <c r="O85" s="415">
        <f>'Initial unit rates'!O213</f>
        <v>3.7734260536451685E-3</v>
      </c>
      <c r="P85" s="415">
        <f>'Initial unit rates'!P213</f>
        <v>3.2771270075233512E-3</v>
      </c>
      <c r="Q85" s="415">
        <f>'Initial unit rates'!Q213</f>
        <v>4.1787301748050553E-3</v>
      </c>
      <c r="R85" s="415">
        <f>'Initial unit rates'!R213</f>
        <v>-3.3024898995429467E-3</v>
      </c>
      <c r="S85" s="415">
        <f>'Initial unit rates'!S213</f>
        <v>-3.1564411584981771E-3</v>
      </c>
      <c r="T85" s="415">
        <f>'Initial unit rates'!T213</f>
        <v>-3.3024898995429467E-3</v>
      </c>
      <c r="U85" s="415">
        <f>'Initial unit rates'!U213</f>
        <v>-3.3024898995429467E-3</v>
      </c>
      <c r="V85" s="415">
        <f>'Initial unit rates'!V213</f>
        <v>-3.1564411584981771E-3</v>
      </c>
      <c r="W85" s="415">
        <f>'Initial unit rates'!W213</f>
        <v>-3.1564411584981771E-3</v>
      </c>
      <c r="X85" s="415">
        <f>'Initial unit rates'!X213</f>
        <v>-3.0908682543556278E-3</v>
      </c>
      <c r="Y85" s="415">
        <f>'Initial unit rates'!Y213</f>
        <v>-3.0908682543556278E-3</v>
      </c>
      <c r="Z85" s="348"/>
      <c r="AA85" s="348"/>
    </row>
    <row r="86" spans="4:27" x14ac:dyDescent="0.25">
      <c r="D86" s="293"/>
      <c r="F86" s="293" t="s">
        <v>46</v>
      </c>
      <c r="G86" s="293" t="s">
        <v>183</v>
      </c>
      <c r="H86" s="348"/>
      <c r="I86" s="348"/>
      <c r="J86" s="415">
        <f>'Initial unit rates'!J214</f>
        <v>4.4924467794507948E-2</v>
      </c>
      <c r="K86" s="415">
        <f>'Initial unit rates'!K214</f>
        <v>4.4924467794507948E-2</v>
      </c>
      <c r="L86" s="415">
        <f>'Initial unit rates'!L214</f>
        <v>5.4785923961746724E-2</v>
      </c>
      <c r="M86" s="415">
        <f>'Initial unit rates'!M214</f>
        <v>5.4785923961746724E-2</v>
      </c>
      <c r="N86" s="415">
        <f>'Initial unit rates'!N214</f>
        <v>3.9891701729223308E-2</v>
      </c>
      <c r="O86" s="415">
        <f>'Initial unit rates'!O214</f>
        <v>3.8521792682739316E-2</v>
      </c>
      <c r="P86" s="415">
        <f>'Initial unit rates'!P214</f>
        <v>2.3604994474156139E-2</v>
      </c>
      <c r="Q86" s="415">
        <f>'Initial unit rates'!Q214</f>
        <v>4.2659422811650596E-2</v>
      </c>
      <c r="R86" s="415">
        <f>'Initial unit rates'!R214</f>
        <v>-3.3714144503809815E-2</v>
      </c>
      <c r="S86" s="415">
        <f>'Initial unit rates'!S214</f>
        <v>-3.2223176019435536E-2</v>
      </c>
      <c r="T86" s="415">
        <f>'Initial unit rates'!T214</f>
        <v>-3.3714144503809815E-2</v>
      </c>
      <c r="U86" s="415">
        <f>'Initial unit rates'!U214</f>
        <v>-3.3714144503809815E-2</v>
      </c>
      <c r="V86" s="415">
        <f>'Initial unit rates'!V214</f>
        <v>-3.2223176019435536E-2</v>
      </c>
      <c r="W86" s="415">
        <f>'Initial unit rates'!W214</f>
        <v>-3.2223176019435536E-2</v>
      </c>
      <c r="X86" s="415">
        <f>'Initial unit rates'!X214</f>
        <v>-2.2263381277843063E-2</v>
      </c>
      <c r="Y86" s="415">
        <f>'Initial unit rates'!Y214</f>
        <v>-2.2263381277843063E-2</v>
      </c>
      <c r="Z86" s="348"/>
      <c r="AA86" s="348"/>
    </row>
    <row r="87" spans="4:27" x14ac:dyDescent="0.25">
      <c r="D87" s="293"/>
      <c r="F87" s="293" t="s">
        <v>47</v>
      </c>
      <c r="G87" s="293" t="s">
        <v>183</v>
      </c>
      <c r="H87" s="348"/>
      <c r="I87" s="348"/>
      <c r="J87" s="415">
        <f>'Initial unit rates'!J215</f>
        <v>5.1957440222328687E-3</v>
      </c>
      <c r="K87" s="415">
        <f>'Initial unit rates'!K215</f>
        <v>5.1957440222328687E-3</v>
      </c>
      <c r="L87" s="415">
        <f>'Initial unit rates'!L215</f>
        <v>6.3362717668421472E-3</v>
      </c>
      <c r="M87" s="415">
        <f>'Initial unit rates'!M215</f>
        <v>6.3362717668421472E-3</v>
      </c>
      <c r="N87" s="415">
        <f>'Initial unit rates'!N215</f>
        <v>4.6136789364847452E-3</v>
      </c>
      <c r="O87" s="415">
        <f>'Initial unit rates'!O215</f>
        <v>4.4552419624101841E-3</v>
      </c>
      <c r="P87" s="415">
        <f>'Initial unit rates'!P215</f>
        <v>3.3153019614324715E-3</v>
      </c>
      <c r="Q87" s="415">
        <f>'Initial unit rates'!Q215</f>
        <v>4.9337800077986597E-3</v>
      </c>
      <c r="R87" s="415">
        <f>'Initial unit rates'!R215</f>
        <v>-3.8992129093575957E-3</v>
      </c>
      <c r="S87" s="415">
        <f>'Initial unit rates'!S215</f>
        <v>-3.7267747933300483E-3</v>
      </c>
      <c r="T87" s="415">
        <f>'Initial unit rates'!T215</f>
        <v>-3.8992129093575957E-3</v>
      </c>
      <c r="U87" s="415">
        <f>'Initial unit rates'!U215</f>
        <v>-3.8992129093575957E-3</v>
      </c>
      <c r="V87" s="415">
        <f>'Initial unit rates'!V215</f>
        <v>-3.7267747933300483E-3</v>
      </c>
      <c r="W87" s="415">
        <f>'Initial unit rates'!W215</f>
        <v>-3.7267747933300483E-3</v>
      </c>
      <c r="X87" s="415">
        <f>'Initial unit rates'!X215</f>
        <v>-3.1268734970204101E-3</v>
      </c>
      <c r="Y87" s="415">
        <f>'Initial unit rates'!Y215</f>
        <v>-3.1268734970204101E-3</v>
      </c>
      <c r="Z87" s="348"/>
      <c r="AA87" s="348"/>
    </row>
    <row r="88" spans="4:27" x14ac:dyDescent="0.25">
      <c r="D88" s="293"/>
      <c r="F88" s="293" t="s">
        <v>51</v>
      </c>
      <c r="G88" s="293" t="s">
        <v>183</v>
      </c>
      <c r="H88" s="348"/>
      <c r="I88" s="348"/>
      <c r="J88" s="415">
        <f>'Initial unit rates'!J216</f>
        <v>0</v>
      </c>
      <c r="K88" s="415">
        <f>'Initial unit rates'!K216</f>
        <v>0</v>
      </c>
      <c r="L88" s="415">
        <f>'Initial unit rates'!L216</f>
        <v>0</v>
      </c>
      <c r="M88" s="415">
        <f>'Initial unit rates'!M216</f>
        <v>0</v>
      </c>
      <c r="N88" s="415">
        <f>'Initial unit rates'!N216</f>
        <v>0</v>
      </c>
      <c r="O88" s="415">
        <f>'Initial unit rates'!O216</f>
        <v>0</v>
      </c>
      <c r="P88" s="415">
        <f>'Initial unit rates'!P216</f>
        <v>0</v>
      </c>
      <c r="Q88" s="415">
        <f>'Initial unit rates'!Q216</f>
        <v>0</v>
      </c>
      <c r="R88" s="415">
        <f>'Initial unit rates'!R216</f>
        <v>0</v>
      </c>
      <c r="S88" s="415">
        <f>'Initial unit rates'!S216</f>
        <v>0</v>
      </c>
      <c r="T88" s="415">
        <f>'Initial unit rates'!T216</f>
        <v>0</v>
      </c>
      <c r="U88" s="415">
        <f>'Initial unit rates'!U216</f>
        <v>0</v>
      </c>
      <c r="V88" s="415">
        <f>'Initial unit rates'!V216</f>
        <v>0</v>
      </c>
      <c r="W88" s="415">
        <f>'Initial unit rates'!W216</f>
        <v>0</v>
      </c>
      <c r="X88" s="415">
        <f>'Initial unit rates'!X216</f>
        <v>0</v>
      </c>
      <c r="Y88" s="415">
        <f>'Initial unit rates'!Y216</f>
        <v>0</v>
      </c>
      <c r="Z88" s="348"/>
      <c r="AA88" s="348"/>
    </row>
    <row r="89" spans="4:27" x14ac:dyDescent="0.25">
      <c r="D89" s="293"/>
      <c r="F89" s="293" t="s">
        <v>48</v>
      </c>
      <c r="G89" s="293" t="s">
        <v>183</v>
      </c>
      <c r="H89" s="348"/>
      <c r="I89" s="348"/>
      <c r="J89" s="415">
        <f>'Initial unit rates'!J217</f>
        <v>2.8727011342703002E-2</v>
      </c>
      <c r="K89" s="415">
        <f>'Initial unit rates'!K217</f>
        <v>2.8727011342703002E-2</v>
      </c>
      <c r="L89" s="415">
        <f>'Initial unit rates'!L217</f>
        <v>3.5032932749889251E-2</v>
      </c>
      <c r="M89" s="415">
        <f>'Initial unit rates'!M217</f>
        <v>3.5032932749889251E-2</v>
      </c>
      <c r="N89" s="415">
        <f>'Initial unit rates'!N217</f>
        <v>2.5508802314519987E-2</v>
      </c>
      <c r="O89" s="415">
        <f>'Initial unit rates'!O217</f>
        <v>2.4632812132581148E-2</v>
      </c>
      <c r="P89" s="415">
        <f>'Initial unit rates'!P217</f>
        <v>8.4381099992359085E-3</v>
      </c>
      <c r="Q89" s="415">
        <f>'Initial unit rates'!Q217</f>
        <v>2.7278625282529573E-2</v>
      </c>
      <c r="R89" s="415">
        <f>'Initial unit rates'!R217</f>
        <v>-2.155855503955182E-2</v>
      </c>
      <c r="S89" s="415">
        <f>'Initial unit rates'!S217</f>
        <v>-2.0605153237261167E-2</v>
      </c>
      <c r="T89" s="415">
        <f>'Initial unit rates'!T217</f>
        <v>-2.155855503955182E-2</v>
      </c>
      <c r="U89" s="415">
        <f>'Initial unit rates'!U217</f>
        <v>-2.155855503955182E-2</v>
      </c>
      <c r="V89" s="415">
        <f>'Initial unit rates'!V217</f>
        <v>-2.0605153237261167E-2</v>
      </c>
      <c r="W89" s="415">
        <f>'Initial unit rates'!W217</f>
        <v>-2.0605153237261167E-2</v>
      </c>
      <c r="X89" s="415">
        <f>'Initial unit rates'!X217</f>
        <v>0</v>
      </c>
      <c r="Y89" s="415">
        <f>'Initial unit rates'!Y217</f>
        <v>0</v>
      </c>
      <c r="Z89" s="348"/>
      <c r="AA89" s="348"/>
    </row>
    <row r="90" spans="4:27" x14ac:dyDescent="0.25">
      <c r="D90" s="293"/>
      <c r="F90" s="293" t="s">
        <v>49</v>
      </c>
      <c r="G90" s="293" t="s">
        <v>183</v>
      </c>
      <c r="H90" s="348"/>
      <c r="I90" s="348"/>
      <c r="J90" s="415">
        <f>'Initial unit rates'!J218</f>
        <v>4.8206826675607764E-3</v>
      </c>
      <c r="K90" s="415">
        <f>'Initial unit rates'!K218</f>
        <v>4.8206826675607764E-3</v>
      </c>
      <c r="L90" s="415">
        <f>'Initial unit rates'!L218</f>
        <v>5.8788799741993194E-3</v>
      </c>
      <c r="M90" s="415">
        <f>'Initial unit rates'!M218</f>
        <v>5.8788799741993194E-3</v>
      </c>
      <c r="N90" s="415">
        <f>'Initial unit rates'!N218</f>
        <v>4.2806346863185438E-3</v>
      </c>
      <c r="O90" s="415">
        <f>'Initial unit rates'!O218</f>
        <v>4.1336346856345645E-3</v>
      </c>
      <c r="P90" s="415">
        <f>'Initial unit rates'!P218</f>
        <v>0</v>
      </c>
      <c r="Q90" s="415">
        <f>'Initial unit rates'!Q218</f>
        <v>4.5776288568834516E-3</v>
      </c>
      <c r="R90" s="415">
        <f>'Initial unit rates'!R218</f>
        <v>-3.6177432931331069E-3</v>
      </c>
      <c r="S90" s="415">
        <f>'Initial unit rates'!S218</f>
        <v>0</v>
      </c>
      <c r="T90" s="415">
        <f>'Initial unit rates'!T218</f>
        <v>-3.6177432931331069E-3</v>
      </c>
      <c r="U90" s="415">
        <f>'Initial unit rates'!U218</f>
        <v>-3.6177432931331069E-3</v>
      </c>
      <c r="V90" s="415">
        <f>'Initial unit rates'!V218</f>
        <v>0</v>
      </c>
      <c r="W90" s="415">
        <f>'Initial unit rates'!W218</f>
        <v>0</v>
      </c>
      <c r="X90" s="415">
        <f>'Initial unit rates'!X218</f>
        <v>0</v>
      </c>
      <c r="Y90" s="415">
        <f>'Initial unit rates'!Y218</f>
        <v>0</v>
      </c>
      <c r="Z90" s="348"/>
      <c r="AA90" s="348"/>
    </row>
    <row r="91" spans="4:27" x14ac:dyDescent="0.25">
      <c r="D91" s="293"/>
      <c r="F91" s="293" t="s">
        <v>50</v>
      </c>
      <c r="G91" s="293" t="s">
        <v>183</v>
      </c>
      <c r="H91" s="348"/>
      <c r="I91" s="348"/>
      <c r="J91" s="415">
        <f>'Initial unit rates'!J219</f>
        <v>7.0521238005777798E-4</v>
      </c>
      <c r="K91" s="415">
        <f>'Initial unit rates'!K219</f>
        <v>7.0521238005777798E-4</v>
      </c>
      <c r="L91" s="415">
        <f>'Initial unit rates'!L219</f>
        <v>8.6001490340306479E-4</v>
      </c>
      <c r="M91" s="415">
        <f>'Initial unit rates'!M219</f>
        <v>8.6001490340306479E-4</v>
      </c>
      <c r="N91" s="415">
        <f>'Initial unit rates'!N219</f>
        <v>6.2620935321263196E-4</v>
      </c>
      <c r="O91" s="415">
        <f>'Initial unit rates'!O219</f>
        <v>0</v>
      </c>
      <c r="P91" s="415">
        <f>'Initial unit rates'!P219</f>
        <v>0</v>
      </c>
      <c r="Q91" s="415">
        <f>'Initial unit rates'!Q219</f>
        <v>6.6965630467798144E-4</v>
      </c>
      <c r="R91" s="415">
        <f>'Initial unit rates'!R219</f>
        <v>0</v>
      </c>
      <c r="S91" s="415">
        <f>'Initial unit rates'!S219</f>
        <v>0</v>
      </c>
      <c r="T91" s="415">
        <f>'Initial unit rates'!T219</f>
        <v>0</v>
      </c>
      <c r="U91" s="415">
        <f>'Initial unit rates'!U219</f>
        <v>0</v>
      </c>
      <c r="V91" s="415">
        <f>'Initial unit rates'!V219</f>
        <v>0</v>
      </c>
      <c r="W91" s="415">
        <f>'Initial unit rates'!W219</f>
        <v>0</v>
      </c>
      <c r="X91" s="415">
        <f>'Initial unit rates'!X219</f>
        <v>0</v>
      </c>
      <c r="Y91" s="415">
        <f>'Initial unit rates'!Y219</f>
        <v>0</v>
      </c>
      <c r="Z91" s="348"/>
      <c r="AA91" s="348"/>
    </row>
    <row r="92" spans="4:27" x14ac:dyDescent="0.25">
      <c r="D92" s="293"/>
      <c r="F92" s="91" t="s">
        <v>124</v>
      </c>
      <c r="G92" s="91" t="s">
        <v>183</v>
      </c>
      <c r="H92" s="346"/>
      <c r="I92" s="346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8"/>
      <c r="AA92" s="348"/>
    </row>
    <row r="93" spans="4:27" x14ac:dyDescent="0.25">
      <c r="D93" s="293"/>
      <c r="F93" s="93" t="s">
        <v>123</v>
      </c>
      <c r="G93" s="93" t="s">
        <v>183</v>
      </c>
      <c r="H93" s="350"/>
      <c r="I93" s="350"/>
      <c r="J93" s="355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48"/>
      <c r="AA93" s="348"/>
    </row>
    <row r="94" spans="4:27" x14ac:dyDescent="0.2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2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25">
      <c r="D96" s="293"/>
      <c r="F96" s="91" t="s">
        <v>267</v>
      </c>
      <c r="G96" s="91" t="s">
        <v>183</v>
      </c>
      <c r="H96" s="346"/>
      <c r="I96" s="346"/>
      <c r="J96" s="357">
        <f>'Initial unit rates'!J222</f>
        <v>1.3536734621334564E-2</v>
      </c>
      <c r="K96" s="357">
        <f>'Initial unit rates'!K222</f>
        <v>1.3536734621334564E-2</v>
      </c>
      <c r="L96" s="357">
        <f>'Initial unit rates'!L222</f>
        <v>1.6508209224583039E-2</v>
      </c>
      <c r="M96" s="357">
        <f>'Initial unit rates'!M222</f>
        <v>1.6508209224583039E-2</v>
      </c>
      <c r="N96" s="357">
        <f>'Initial unit rates'!N222</f>
        <v>1.2020251021603529E-2</v>
      </c>
      <c r="O96" s="357">
        <f>'Initial unit rates'!O222</f>
        <v>1.1607467161760315E-2</v>
      </c>
      <c r="P96" s="357">
        <f>'Initial unit rates'!P222</f>
        <v>1.0080797552134072E-2</v>
      </c>
      <c r="Q96" s="357">
        <f>'Initial unit rates'!Q222</f>
        <v>1.2854226528449073E-2</v>
      </c>
      <c r="R96" s="357">
        <f>'Initial unit rates'!R222</f>
        <v>-1.015881655451E-2</v>
      </c>
      <c r="S96" s="357">
        <f>'Initial unit rates'!S222</f>
        <v>-9.709554811575892E-3</v>
      </c>
      <c r="T96" s="357">
        <f>'Initial unit rates'!T222</f>
        <v>-1.015881655451E-2</v>
      </c>
      <c r="U96" s="357">
        <f>'Initial unit rates'!U222</f>
        <v>-1.015881655451E-2</v>
      </c>
      <c r="V96" s="357">
        <f>'Initial unit rates'!V222</f>
        <v>-9.709554811575892E-3</v>
      </c>
      <c r="W96" s="357">
        <f>'Initial unit rates'!W222</f>
        <v>-9.709554811575892E-3</v>
      </c>
      <c r="X96" s="357">
        <f>'Initial unit rates'!X222</f>
        <v>-9.507845457605477E-3</v>
      </c>
      <c r="Y96" s="357">
        <f>'Initial unit rates'!Y222</f>
        <v>-9.507845457605477E-3</v>
      </c>
      <c r="Z96" s="348"/>
      <c r="AA96" s="348"/>
    </row>
    <row r="97" spans="3:42" x14ac:dyDescent="0.25">
      <c r="D97" s="293"/>
      <c r="F97" s="293" t="s">
        <v>43</v>
      </c>
      <c r="G97" s="293" t="s">
        <v>183</v>
      </c>
      <c r="H97" s="348"/>
      <c r="I97" s="348"/>
      <c r="J97" s="415">
        <f>'Initial unit rates'!J223</f>
        <v>0</v>
      </c>
      <c r="K97" s="415">
        <f>'Initial unit rates'!K223</f>
        <v>0</v>
      </c>
      <c r="L97" s="415">
        <f>'Initial unit rates'!L223</f>
        <v>0</v>
      </c>
      <c r="M97" s="415">
        <f>'Initial unit rates'!M223</f>
        <v>0</v>
      </c>
      <c r="N97" s="415">
        <f>'Initial unit rates'!N223</f>
        <v>0</v>
      </c>
      <c r="O97" s="415">
        <f>'Initial unit rates'!O223</f>
        <v>0</v>
      </c>
      <c r="P97" s="415">
        <f>'Initial unit rates'!P223</f>
        <v>0</v>
      </c>
      <c r="Q97" s="415">
        <f>'Initial unit rates'!Q223</f>
        <v>0</v>
      </c>
      <c r="R97" s="415">
        <f>'Initial unit rates'!R223</f>
        <v>0</v>
      </c>
      <c r="S97" s="415">
        <f>'Initial unit rates'!S223</f>
        <v>0</v>
      </c>
      <c r="T97" s="415">
        <f>'Initial unit rates'!T223</f>
        <v>0</v>
      </c>
      <c r="U97" s="415">
        <f>'Initial unit rates'!U223</f>
        <v>0</v>
      </c>
      <c r="V97" s="415">
        <f>'Initial unit rates'!V223</f>
        <v>0</v>
      </c>
      <c r="W97" s="415">
        <f>'Initial unit rates'!W223</f>
        <v>0</v>
      </c>
      <c r="X97" s="415">
        <f>'Initial unit rates'!X223</f>
        <v>0</v>
      </c>
      <c r="Y97" s="415">
        <f>'Initial unit rates'!Y223</f>
        <v>0</v>
      </c>
      <c r="Z97" s="348"/>
      <c r="AA97" s="348"/>
    </row>
    <row r="98" spans="3:42" x14ac:dyDescent="0.25">
      <c r="D98" s="293"/>
      <c r="F98" s="293" t="s">
        <v>44</v>
      </c>
      <c r="G98" s="293" t="s">
        <v>183</v>
      </c>
      <c r="H98" s="348"/>
      <c r="I98" s="348"/>
      <c r="J98" s="415">
        <f>'Initial unit rates'!J224</f>
        <v>1.4869935235169459E-2</v>
      </c>
      <c r="K98" s="415">
        <f>'Initial unit rates'!K224</f>
        <v>1.4869935235169459E-2</v>
      </c>
      <c r="L98" s="415">
        <f>'Initial unit rates'!L224</f>
        <v>1.8134063264510957E-2</v>
      </c>
      <c r="M98" s="415">
        <f>'Initial unit rates'!M224</f>
        <v>1.8134063264510957E-2</v>
      </c>
      <c r="N98" s="415">
        <f>'Initial unit rates'!N224</f>
        <v>1.3204096793034588E-2</v>
      </c>
      <c r="O98" s="415">
        <f>'Initial unit rates'!O224</f>
        <v>1.2750658838188518E-2</v>
      </c>
      <c r="P98" s="415">
        <f>'Initial unit rates'!P224</f>
        <v>1.1073631190408162E-2</v>
      </c>
      <c r="Q98" s="415">
        <f>'Initial unit rates'!Q224</f>
        <v>1.4120208552732234E-2</v>
      </c>
      <c r="R98" s="415">
        <f>'Initial unit rates'!R224</f>
        <v>-1.1159334097711533E-2</v>
      </c>
      <c r="S98" s="415">
        <f>'Initial unit rates'!S224</f>
        <v>-1.0665825640321759E-2</v>
      </c>
      <c r="T98" s="415">
        <f>'Initial unit rates'!T224</f>
        <v>-1.1159334097711533E-2</v>
      </c>
      <c r="U98" s="415">
        <f>'Initial unit rates'!U224</f>
        <v>-1.1159334097711533E-2</v>
      </c>
      <c r="V98" s="415">
        <f>'Initial unit rates'!V224</f>
        <v>-1.0665825640321759E-2</v>
      </c>
      <c r="W98" s="415">
        <f>'Initial unit rates'!W224</f>
        <v>-1.0665825640321759E-2</v>
      </c>
      <c r="X98" s="415">
        <f>'Initial unit rates'!X224</f>
        <v>-1.0444250414554927E-2</v>
      </c>
      <c r="Y98" s="415">
        <f>'Initial unit rates'!Y224</f>
        <v>-1.0444250414554927E-2</v>
      </c>
      <c r="Z98" s="348"/>
      <c r="AA98" s="348"/>
    </row>
    <row r="99" spans="3:42" x14ac:dyDescent="0.25">
      <c r="D99" s="293"/>
      <c r="F99" s="293" t="s">
        <v>45</v>
      </c>
      <c r="G99" s="293" t="s">
        <v>183</v>
      </c>
      <c r="H99" s="348"/>
      <c r="I99" s="348"/>
      <c r="J99" s="415">
        <f>'Initial unit rates'!J225</f>
        <v>2.9255054823832463E-3</v>
      </c>
      <c r="K99" s="415">
        <f>'Initial unit rates'!K225</f>
        <v>2.9255054823832463E-3</v>
      </c>
      <c r="L99" s="415">
        <f>'Initial unit rates'!L225</f>
        <v>3.5676888069248449E-3</v>
      </c>
      <c r="M99" s="415">
        <f>'Initial unit rates'!M225</f>
        <v>3.5676888069248449E-3</v>
      </c>
      <c r="N99" s="415">
        <f>'Initial unit rates'!N225</f>
        <v>2.5977690519175633E-3</v>
      </c>
      <c r="O99" s="415">
        <f>'Initial unit rates'!O225</f>
        <v>2.5085598387069113E-3</v>
      </c>
      <c r="P99" s="415">
        <f>'Initial unit rates'!P225</f>
        <v>2.1786220481181543E-3</v>
      </c>
      <c r="Q99" s="415">
        <f>'Initial unit rates'!Q225</f>
        <v>2.7780045360057816E-3</v>
      </c>
      <c r="R99" s="415">
        <f>'Initial unit rates'!R225</f>
        <v>-2.1954832059649749E-3</v>
      </c>
      <c r="S99" s="415">
        <f>'Initial unit rates'!S225</f>
        <v>-2.0983905371091231E-3</v>
      </c>
      <c r="T99" s="415">
        <f>'Initial unit rates'!T225</f>
        <v>-2.1954832059649749E-3</v>
      </c>
      <c r="U99" s="415">
        <f>'Initial unit rates'!U225</f>
        <v>-2.1954832059649749E-3</v>
      </c>
      <c r="V99" s="415">
        <f>'Initial unit rates'!V225</f>
        <v>-2.0983905371091231E-3</v>
      </c>
      <c r="W99" s="415">
        <f>'Initial unit rates'!W225</f>
        <v>-2.0983905371091231E-3</v>
      </c>
      <c r="X99" s="415">
        <f>'Initial unit rates'!X225</f>
        <v>-2.0547979102758834E-3</v>
      </c>
      <c r="Y99" s="415">
        <f>'Initial unit rates'!Y225</f>
        <v>-2.0547979102758834E-3</v>
      </c>
      <c r="Z99" s="348"/>
      <c r="AA99" s="348"/>
    </row>
    <row r="100" spans="3:42" x14ac:dyDescent="0.25">
      <c r="D100" s="293"/>
      <c r="F100" s="293" t="s">
        <v>46</v>
      </c>
      <c r="G100" s="293" t="s">
        <v>183</v>
      </c>
      <c r="H100" s="348"/>
      <c r="I100" s="348"/>
      <c r="J100" s="415">
        <f>'Initial unit rates'!J226</f>
        <v>2.9865621873183246E-2</v>
      </c>
      <c r="K100" s="415">
        <f>'Initial unit rates'!K226</f>
        <v>2.9865621873183246E-2</v>
      </c>
      <c r="L100" s="415">
        <f>'Initial unit rates'!L226</f>
        <v>3.6421481863710047E-2</v>
      </c>
      <c r="M100" s="415">
        <f>'Initial unit rates'!M226</f>
        <v>3.6421481863710047E-2</v>
      </c>
      <c r="N100" s="415">
        <f>'Initial unit rates'!N226</f>
        <v>2.6519857400924891E-2</v>
      </c>
      <c r="O100" s="415">
        <f>'Initial unit rates'!O226</f>
        <v>2.5609146877428272E-2</v>
      </c>
      <c r="P100" s="415">
        <f>'Initial unit rates'!P226</f>
        <v>2.2240909369505357E-2</v>
      </c>
      <c r="Q100" s="415">
        <f>'Initial unit rates'!Q226</f>
        <v>2.8359828253252187E-2</v>
      </c>
      <c r="R100" s="415">
        <f>'Initial unit rates'!R226</f>
        <v>-2.2413039952623247E-2</v>
      </c>
      <c r="S100" s="415">
        <f>'Initial unit rates'!S226</f>
        <v>-2.142184955760652E-2</v>
      </c>
      <c r="T100" s="415">
        <f>'Initial unit rates'!T226</f>
        <v>-2.2413039952623247E-2</v>
      </c>
      <c r="U100" s="415">
        <f>'Initial unit rates'!U226</f>
        <v>-2.2413039952623247E-2</v>
      </c>
      <c r="V100" s="415">
        <f>'Initial unit rates'!V226</f>
        <v>-2.142184955760652E-2</v>
      </c>
      <c r="W100" s="415">
        <f>'Initial unit rates'!W226</f>
        <v>-2.142184955760652E-2</v>
      </c>
      <c r="X100" s="415">
        <f>'Initial unit rates'!X226</f>
        <v>-2.0976825298619408E-2</v>
      </c>
      <c r="Y100" s="415">
        <f>'Initial unit rates'!Y226</f>
        <v>-2.0976825298619408E-2</v>
      </c>
      <c r="Z100" s="348"/>
      <c r="AA100" s="348"/>
    </row>
    <row r="101" spans="3:42" x14ac:dyDescent="0.25">
      <c r="D101" s="293"/>
      <c r="F101" s="293" t="s">
        <v>47</v>
      </c>
      <c r="G101" s="293" t="s">
        <v>183</v>
      </c>
      <c r="H101" s="348"/>
      <c r="I101" s="348"/>
      <c r="J101" s="415">
        <f>'Initial unit rates'!J227</f>
        <v>3.4541116219261991E-3</v>
      </c>
      <c r="K101" s="415">
        <f>'Initial unit rates'!K227</f>
        <v>3.4541116219261991E-3</v>
      </c>
      <c r="L101" s="415">
        <f>'Initial unit rates'!L227</f>
        <v>4.2123302949260248E-3</v>
      </c>
      <c r="M101" s="415">
        <f>'Initial unit rates'!M227</f>
        <v>4.2123302949260248E-3</v>
      </c>
      <c r="N101" s="415">
        <f>'Initial unit rates'!N227</f>
        <v>3.0671568818934044E-3</v>
      </c>
      <c r="O101" s="415">
        <f>'Initial unit rates'!O227</f>
        <v>2.9618285610307888E-3</v>
      </c>
      <c r="P101" s="415">
        <f>'Initial unit rates'!P227</f>
        <v>2.5722746997073513E-3</v>
      </c>
      <c r="Q101" s="415">
        <f>'Initial unit rates'!Q227</f>
        <v>3.2799589032950021E-3</v>
      </c>
      <c r="R101" s="415">
        <f>'Initial unit rates'!R227</f>
        <v>-2.5921824803040883E-3</v>
      </c>
      <c r="S101" s="415">
        <f>'Initial unit rates'!S227</f>
        <v>-2.4775462514819756E-3</v>
      </c>
      <c r="T101" s="415">
        <f>'Initial unit rates'!T227</f>
        <v>-2.5921824803040883E-3</v>
      </c>
      <c r="U101" s="415">
        <f>'Initial unit rates'!U227</f>
        <v>-2.5921824803040883E-3</v>
      </c>
      <c r="V101" s="415">
        <f>'Initial unit rates'!V227</f>
        <v>-2.4775462514819756E-3</v>
      </c>
      <c r="W101" s="415">
        <f>'Initial unit rates'!W227</f>
        <v>-2.4775462514819756E-3</v>
      </c>
      <c r="X101" s="415">
        <f>'Initial unit rates'!X227</f>
        <v>-2.4260769242557215E-3</v>
      </c>
      <c r="Y101" s="415">
        <f>'Initial unit rates'!Y227</f>
        <v>-2.4260769242557215E-3</v>
      </c>
      <c r="Z101" s="348"/>
      <c r="AA101" s="348"/>
    </row>
    <row r="102" spans="3:42" x14ac:dyDescent="0.25">
      <c r="D102" s="293"/>
      <c r="F102" s="293" t="s">
        <v>51</v>
      </c>
      <c r="G102" s="293" t="s">
        <v>183</v>
      </c>
      <c r="H102" s="348"/>
      <c r="I102" s="348"/>
      <c r="J102" s="415">
        <f>'Initial unit rates'!J228</f>
        <v>0</v>
      </c>
      <c r="K102" s="415">
        <f>'Initial unit rates'!K228</f>
        <v>0</v>
      </c>
      <c r="L102" s="415">
        <f>'Initial unit rates'!L228</f>
        <v>0</v>
      </c>
      <c r="M102" s="415">
        <f>'Initial unit rates'!M228</f>
        <v>0</v>
      </c>
      <c r="N102" s="415">
        <f>'Initial unit rates'!N228</f>
        <v>0</v>
      </c>
      <c r="O102" s="415">
        <f>'Initial unit rates'!O228</f>
        <v>0</v>
      </c>
      <c r="P102" s="415">
        <f>'Initial unit rates'!P228</f>
        <v>0</v>
      </c>
      <c r="Q102" s="415">
        <f>'Initial unit rates'!Q228</f>
        <v>0</v>
      </c>
      <c r="R102" s="415">
        <f>'Initial unit rates'!R228</f>
        <v>0</v>
      </c>
      <c r="S102" s="415">
        <f>'Initial unit rates'!S228</f>
        <v>0</v>
      </c>
      <c r="T102" s="415">
        <f>'Initial unit rates'!T228</f>
        <v>0</v>
      </c>
      <c r="U102" s="415">
        <f>'Initial unit rates'!U228</f>
        <v>0</v>
      </c>
      <c r="V102" s="415">
        <f>'Initial unit rates'!V228</f>
        <v>0</v>
      </c>
      <c r="W102" s="415">
        <f>'Initial unit rates'!W228</f>
        <v>0</v>
      </c>
      <c r="X102" s="415">
        <f>'Initial unit rates'!X228</f>
        <v>0</v>
      </c>
      <c r="Y102" s="415">
        <f>'Initial unit rates'!Y228</f>
        <v>0</v>
      </c>
      <c r="Z102" s="348"/>
      <c r="AA102" s="348"/>
    </row>
    <row r="103" spans="3:42" x14ac:dyDescent="0.25">
      <c r="D103" s="293"/>
      <c r="F103" s="293" t="s">
        <v>48</v>
      </c>
      <c r="G103" s="293" t="s">
        <v>183</v>
      </c>
      <c r="H103" s="348"/>
      <c r="I103" s="348"/>
      <c r="J103" s="415">
        <f>'Initial unit rates'!J229</f>
        <v>2.8349511829629477E-2</v>
      </c>
      <c r="K103" s="415">
        <f>'Initial unit rates'!K229</f>
        <v>2.8349511829629477E-2</v>
      </c>
      <c r="L103" s="415">
        <f>'Initial unit rates'!L229</f>
        <v>3.4572567594013746E-2</v>
      </c>
      <c r="M103" s="415">
        <f>'Initial unit rates'!M229</f>
        <v>3.4572567594013746E-2</v>
      </c>
      <c r="N103" s="415">
        <f>'Initial unit rates'!N229</f>
        <v>2.5173593046213482E-2</v>
      </c>
      <c r="O103" s="415">
        <f>'Initial unit rates'!O229</f>
        <v>2.4309114185908271E-2</v>
      </c>
      <c r="P103" s="415">
        <f>'Initial unit rates'!P229</f>
        <v>2.1111863196749996E-2</v>
      </c>
      <c r="Q103" s="415">
        <f>'Initial unit rates'!Q229</f>
        <v>2.6920158902625908E-2</v>
      </c>
      <c r="R103" s="415">
        <f>'Initial unit rates'!R229</f>
        <v>-2.1275255676004662E-2</v>
      </c>
      <c r="S103" s="415">
        <f>'Initial unit rates'!S229</f>
        <v>-2.0334382455675929E-2</v>
      </c>
      <c r="T103" s="415">
        <f>'Initial unit rates'!T229</f>
        <v>-2.1275255676004662E-2</v>
      </c>
      <c r="U103" s="415">
        <f>'Initial unit rates'!U229</f>
        <v>-2.1275255676004662E-2</v>
      </c>
      <c r="V103" s="415">
        <f>'Initial unit rates'!V229</f>
        <v>-2.0334382455675929E-2</v>
      </c>
      <c r="W103" s="415">
        <f>'Initial unit rates'!W229</f>
        <v>-2.0334382455675929E-2</v>
      </c>
      <c r="X103" s="415">
        <f>'Initial unit rates'!X229</f>
        <v>0</v>
      </c>
      <c r="Y103" s="415">
        <f>'Initial unit rates'!Y229</f>
        <v>0</v>
      </c>
      <c r="Z103" s="348"/>
      <c r="AA103" s="348"/>
    </row>
    <row r="104" spans="3:42" x14ac:dyDescent="0.25">
      <c r="D104" s="293"/>
      <c r="F104" s="293" t="s">
        <v>49</v>
      </c>
      <c r="G104" s="293" t="s">
        <v>183</v>
      </c>
      <c r="H104" s="348"/>
      <c r="I104" s="348"/>
      <c r="J104" s="415">
        <f>'Initial unit rates'!J230</f>
        <v>1.1088135535702329E-2</v>
      </c>
      <c r="K104" s="415">
        <f>'Initial unit rates'!K230</f>
        <v>1.1088135535702329E-2</v>
      </c>
      <c r="L104" s="415">
        <f>'Initial unit rates'!L230</f>
        <v>1.3522113453078985E-2</v>
      </c>
      <c r="M104" s="415">
        <f>'Initial unit rates'!M230</f>
        <v>1.3522113453078985E-2</v>
      </c>
      <c r="N104" s="415">
        <f>'Initial unit rates'!N230</f>
        <v>9.8459618385843967E-3</v>
      </c>
      <c r="O104" s="415">
        <f>'Initial unit rates'!O230</f>
        <v>9.5078445959165554E-3</v>
      </c>
      <c r="P104" s="415">
        <f>'Initial unit rates'!P230</f>
        <v>0</v>
      </c>
      <c r="Q104" s="415">
        <f>'Initial unit rates'!Q230</f>
        <v>1.0529083264248257E-2</v>
      </c>
      <c r="R104" s="415">
        <f>'Initial unit rates'!R230</f>
        <v>-8.3212338861407189E-3</v>
      </c>
      <c r="S104" s="415">
        <f>'Initial unit rates'!S230</f>
        <v>0</v>
      </c>
      <c r="T104" s="415">
        <f>'Initial unit rates'!T230</f>
        <v>-8.3212338861407189E-3</v>
      </c>
      <c r="U104" s="415">
        <f>'Initial unit rates'!U230</f>
        <v>-8.3212338861407189E-3</v>
      </c>
      <c r="V104" s="415">
        <f>'Initial unit rates'!V230</f>
        <v>0</v>
      </c>
      <c r="W104" s="415">
        <f>'Initial unit rates'!W230</f>
        <v>0</v>
      </c>
      <c r="X104" s="415">
        <f>'Initial unit rates'!X230</f>
        <v>0</v>
      </c>
      <c r="Y104" s="415">
        <f>'Initial unit rates'!Y230</f>
        <v>0</v>
      </c>
      <c r="Z104" s="348"/>
      <c r="AA104" s="348"/>
    </row>
    <row r="105" spans="3:42" x14ac:dyDescent="0.25">
      <c r="D105" s="293"/>
      <c r="F105" s="293" t="s">
        <v>50</v>
      </c>
      <c r="G105" s="293" t="s">
        <v>183</v>
      </c>
      <c r="H105" s="348"/>
      <c r="I105" s="348"/>
      <c r="J105" s="415">
        <f>'Initial unit rates'!J231</f>
        <v>6.789481850656579E-3</v>
      </c>
      <c r="K105" s="415">
        <f>'Initial unit rates'!K231</f>
        <v>6.789481850656579E-3</v>
      </c>
      <c r="L105" s="415">
        <f>'Initial unit rates'!L231</f>
        <v>8.2798540454875266E-3</v>
      </c>
      <c r="M105" s="415">
        <f>'Initial unit rates'!M231</f>
        <v>8.2798540454875266E-3</v>
      </c>
      <c r="N105" s="415">
        <f>'Initial unit rates'!N231</f>
        <v>6.028874646245185E-3</v>
      </c>
      <c r="O105" s="415">
        <f>'Initial unit rates'!O231</f>
        <v>0</v>
      </c>
      <c r="P105" s="415">
        <f>'Initial unit rates'!P231</f>
        <v>0</v>
      </c>
      <c r="Q105" s="415">
        <f>'Initial unit rates'!Q231</f>
        <v>6.4471632310487857E-3</v>
      </c>
      <c r="R105" s="415">
        <f>'Initial unit rates'!R231</f>
        <v>0</v>
      </c>
      <c r="S105" s="415">
        <f>'Initial unit rates'!S231</f>
        <v>0</v>
      </c>
      <c r="T105" s="415">
        <f>'Initial unit rates'!T231</f>
        <v>0</v>
      </c>
      <c r="U105" s="415">
        <f>'Initial unit rates'!U231</f>
        <v>0</v>
      </c>
      <c r="V105" s="415">
        <f>'Initial unit rates'!V231</f>
        <v>0</v>
      </c>
      <c r="W105" s="415">
        <f>'Initial unit rates'!W231</f>
        <v>0</v>
      </c>
      <c r="X105" s="415">
        <f>'Initial unit rates'!X231</f>
        <v>0</v>
      </c>
      <c r="Y105" s="415">
        <f>'Initial unit rates'!Y231</f>
        <v>0</v>
      </c>
      <c r="Z105" s="348"/>
      <c r="AA105" s="348"/>
    </row>
    <row r="106" spans="3:42" x14ac:dyDescent="0.25">
      <c r="D106" s="293"/>
      <c r="F106" s="91" t="s">
        <v>124</v>
      </c>
      <c r="G106" s="91" t="s">
        <v>183</v>
      </c>
      <c r="H106" s="346"/>
      <c r="I106" s="346" t="s">
        <v>359</v>
      </c>
      <c r="J106" s="358"/>
      <c r="K106" s="358"/>
      <c r="L106" s="358"/>
      <c r="M106" s="358"/>
      <c r="N106" s="358"/>
      <c r="O106" s="358"/>
      <c r="P106" s="358"/>
      <c r="Q106" s="357">
        <f>'Service model charges'!$Q$44</f>
        <v>0.38393089804388564</v>
      </c>
      <c r="R106" s="358"/>
      <c r="S106" s="358"/>
      <c r="T106" s="358"/>
      <c r="U106" s="358"/>
      <c r="V106" s="358"/>
      <c r="W106" s="358"/>
      <c r="X106" s="358"/>
      <c r="Y106" s="358"/>
      <c r="Z106" s="348"/>
      <c r="AA106" s="348" t="s">
        <v>730</v>
      </c>
    </row>
    <row r="107" spans="3:42" x14ac:dyDescent="0.25">
      <c r="D107" s="293"/>
      <c r="F107" s="93" t="s">
        <v>123</v>
      </c>
      <c r="G107" s="93" t="s">
        <v>183</v>
      </c>
      <c r="H107" s="350"/>
      <c r="I107" s="350"/>
      <c r="J107" s="355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48"/>
      <c r="AA107" s="348"/>
    </row>
    <row r="109" spans="3:42" x14ac:dyDescent="0.25">
      <c r="C109" s="7" t="str">
        <f ca="1">INDEX('Version control'!$H$34:$H$60,MATCH($A$1,'Version control'!$F$34:$F$60,0),1)&amp;"-D: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704</v>
      </c>
      <c r="AP111" s="88"/>
    </row>
    <row r="112" spans="3:42" x14ac:dyDescent="0.2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89">
        <f>'Standing charge factors'!J52</f>
        <v>1</v>
      </c>
      <c r="K120" s="389">
        <f>'Standing charge factors'!K52</f>
        <v>1</v>
      </c>
      <c r="L120" s="389">
        <f>'Standing charge factors'!L52</f>
        <v>1</v>
      </c>
      <c r="M120" s="389">
        <f>'Standing charge factors'!M52</f>
        <v>1</v>
      </c>
      <c r="N120" s="389">
        <f>'Standing charge factors'!N52</f>
        <v>1</v>
      </c>
      <c r="O120" s="389">
        <f>'Standing charge factors'!O52</f>
        <v>0</v>
      </c>
      <c r="P120" s="389">
        <f>'Standing charge factors'!P52</f>
        <v>0</v>
      </c>
      <c r="Q120" s="389">
        <f>'Standing charge factors'!Q52</f>
        <v>0</v>
      </c>
      <c r="R120" s="389">
        <f>'Standing charge factors'!R52</f>
        <v>0</v>
      </c>
      <c r="S120" s="389">
        <f>'Standing charge factors'!S52</f>
        <v>0</v>
      </c>
      <c r="T120" s="389">
        <f>'Standing charge factors'!T52</f>
        <v>0</v>
      </c>
      <c r="U120" s="389">
        <f>'Standing charge factors'!U52</f>
        <v>0</v>
      </c>
      <c r="V120" s="389">
        <f>'Standing charge factors'!V52</f>
        <v>0</v>
      </c>
      <c r="W120" s="389">
        <f>'Standing charge factors'!W52</f>
        <v>0</v>
      </c>
      <c r="X120" s="389">
        <f>'Standing charge factors'!X52</f>
        <v>0</v>
      </c>
      <c r="Y120" s="389">
        <f>'Standing charge factors'!Y52</f>
        <v>0</v>
      </c>
      <c r="AP120" s="88"/>
    </row>
    <row r="122" spans="2:42" x14ac:dyDescent="0.25">
      <c r="B122" s="95" t="s">
        <v>419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control'!$H$34:$H$60,MATCH($A$1,'Version control'!$F$34:$F$60,0),1)&amp;"-E: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3"/>
      <c r="E125" s="96"/>
      <c r="I125" s="293" t="s">
        <v>359</v>
      </c>
      <c r="AA125" s="293" t="s">
        <v>731</v>
      </c>
    </row>
    <row r="126" spans="2:42" x14ac:dyDescent="0.25">
      <c r="E126" s="96" t="s">
        <v>139</v>
      </c>
    </row>
    <row r="127" spans="2:42" x14ac:dyDescent="0.25">
      <c r="F127" s="91" t="s">
        <v>267</v>
      </c>
      <c r="G127" s="91" t="s">
        <v>183</v>
      </c>
      <c r="H127" s="346"/>
      <c r="I127" s="346"/>
      <c r="J127" s="530">
        <f t="shared" ref="J127:Y128" si="0">J22 * (1 - J$112)</f>
        <v>0</v>
      </c>
      <c r="K127" s="530">
        <f t="shared" si="0"/>
        <v>0</v>
      </c>
      <c r="L127" s="530">
        <f t="shared" si="0"/>
        <v>0</v>
      </c>
      <c r="M127" s="530">
        <f t="shared" si="0"/>
        <v>0</v>
      </c>
      <c r="N127" s="530">
        <f t="shared" si="0"/>
        <v>0</v>
      </c>
      <c r="O127" s="530">
        <f t="shared" si="0"/>
        <v>0</v>
      </c>
      <c r="P127" s="530">
        <f t="shared" si="0"/>
        <v>0</v>
      </c>
      <c r="Q127" s="530">
        <f t="shared" si="0"/>
        <v>0</v>
      </c>
      <c r="R127" s="530">
        <f t="shared" si="0"/>
        <v>0</v>
      </c>
      <c r="S127" s="530">
        <f t="shared" si="0"/>
        <v>0</v>
      </c>
      <c r="T127" s="530">
        <f t="shared" si="0"/>
        <v>0</v>
      </c>
      <c r="U127" s="530">
        <f t="shared" si="0"/>
        <v>0</v>
      </c>
      <c r="V127" s="530">
        <f t="shared" si="0"/>
        <v>0</v>
      </c>
      <c r="W127" s="530">
        <f t="shared" si="0"/>
        <v>0</v>
      </c>
      <c r="X127" s="530">
        <f t="shared" si="0"/>
        <v>0</v>
      </c>
      <c r="Y127" s="530">
        <f t="shared" si="0"/>
        <v>0</v>
      </c>
      <c r="Z127" s="348"/>
      <c r="AA127" s="348"/>
    </row>
    <row r="128" spans="2:42" x14ac:dyDescent="0.25">
      <c r="F128" s="293" t="s">
        <v>43</v>
      </c>
      <c r="G128" s="293" t="s">
        <v>183</v>
      </c>
      <c r="H128" s="348"/>
      <c r="I128" s="348"/>
      <c r="J128" s="416">
        <f t="shared" si="0"/>
        <v>0</v>
      </c>
      <c r="K128" s="416">
        <f t="shared" si="0"/>
        <v>0</v>
      </c>
      <c r="L128" s="416">
        <f t="shared" si="0"/>
        <v>0</v>
      </c>
      <c r="M128" s="416">
        <f t="shared" si="0"/>
        <v>0</v>
      </c>
      <c r="N128" s="416">
        <f t="shared" si="0"/>
        <v>0</v>
      </c>
      <c r="O128" s="416">
        <f t="shared" si="0"/>
        <v>0</v>
      </c>
      <c r="P128" s="416">
        <f t="shared" si="0"/>
        <v>0</v>
      </c>
      <c r="Q128" s="416">
        <f t="shared" si="0"/>
        <v>0</v>
      </c>
      <c r="R128" s="416">
        <f t="shared" si="0"/>
        <v>0</v>
      </c>
      <c r="S128" s="416">
        <f t="shared" si="0"/>
        <v>0</v>
      </c>
      <c r="T128" s="416">
        <f t="shared" si="0"/>
        <v>0</v>
      </c>
      <c r="U128" s="416">
        <f t="shared" si="0"/>
        <v>0</v>
      </c>
      <c r="V128" s="416">
        <f t="shared" si="0"/>
        <v>0</v>
      </c>
      <c r="W128" s="416">
        <f t="shared" si="0"/>
        <v>0</v>
      </c>
      <c r="X128" s="416">
        <f t="shared" si="0"/>
        <v>0</v>
      </c>
      <c r="Y128" s="416">
        <f t="shared" si="0"/>
        <v>0</v>
      </c>
      <c r="Z128" s="348"/>
      <c r="AA128" s="348"/>
    </row>
    <row r="129" spans="4:27" x14ac:dyDescent="0.25">
      <c r="F129" s="293" t="s">
        <v>44</v>
      </c>
      <c r="G129" s="293" t="s">
        <v>183</v>
      </c>
      <c r="H129" s="348"/>
      <c r="I129" s="348"/>
      <c r="J129" s="416">
        <f t="shared" ref="J129:Y129" si="1">J24 * (1 - J$113)</f>
        <v>2.3387877725092383</v>
      </c>
      <c r="K129" s="416">
        <f t="shared" si="1"/>
        <v>2.3387877725092383</v>
      </c>
      <c r="L129" s="416">
        <f t="shared" si="1"/>
        <v>2.8521795662322442</v>
      </c>
      <c r="M129" s="416">
        <f t="shared" si="1"/>
        <v>2.8521795662322442</v>
      </c>
      <c r="N129" s="416">
        <f t="shared" si="1"/>
        <v>2.0767797329431885</v>
      </c>
      <c r="O129" s="416">
        <f t="shared" si="1"/>
        <v>2.0054616587475893</v>
      </c>
      <c r="P129" s="416">
        <f t="shared" si="1"/>
        <v>1.7416937475389338</v>
      </c>
      <c r="Q129" s="416">
        <f t="shared" si="1"/>
        <v>4.1263984999605769</v>
      </c>
      <c r="R129" s="416">
        <f t="shared" si="1"/>
        <v>-1.7551733564612071</v>
      </c>
      <c r="S129" s="416">
        <f t="shared" si="1"/>
        <v>-1.67755287409063</v>
      </c>
      <c r="T129" s="416">
        <f t="shared" si="1"/>
        <v>-1.7551733564612071</v>
      </c>
      <c r="U129" s="416">
        <f t="shared" si="1"/>
        <v>-1.7551733564612071</v>
      </c>
      <c r="V129" s="416">
        <f t="shared" si="1"/>
        <v>-1.67755287409063</v>
      </c>
      <c r="W129" s="416">
        <f t="shared" si="1"/>
        <v>-1.67755287409063</v>
      </c>
      <c r="X129" s="416">
        <f t="shared" si="1"/>
        <v>-1.6427028615977179</v>
      </c>
      <c r="Y129" s="416">
        <f t="shared" si="1"/>
        <v>-1.6427028615977179</v>
      </c>
      <c r="Z129" s="348"/>
      <c r="AA129" s="348"/>
    </row>
    <row r="130" spans="4:27" x14ac:dyDescent="0.25">
      <c r="F130" s="293" t="s">
        <v>45</v>
      </c>
      <c r="G130" s="293" t="s">
        <v>183</v>
      </c>
      <c r="H130" s="348"/>
      <c r="I130" s="348"/>
      <c r="J130" s="416">
        <f t="shared" ref="J130:Y130" si="2">J25 * (1 - J$114)</f>
        <v>0.13280559104097453</v>
      </c>
      <c r="K130" s="416">
        <f t="shared" si="2"/>
        <v>0.13280559104097453</v>
      </c>
      <c r="L130" s="416">
        <f t="shared" si="2"/>
        <v>0.16195800127776125</v>
      </c>
      <c r="M130" s="416">
        <f t="shared" si="2"/>
        <v>0.16195800127776125</v>
      </c>
      <c r="N130" s="416">
        <f t="shared" si="2"/>
        <v>0.11792774151522464</v>
      </c>
      <c r="O130" s="416">
        <f t="shared" si="2"/>
        <v>0.11387802007115835</v>
      </c>
      <c r="P130" s="416">
        <f t="shared" si="2"/>
        <v>9.8900238094760423E-2</v>
      </c>
      <c r="Q130" s="416">
        <f t="shared" si="2"/>
        <v>0.17886420987347307</v>
      </c>
      <c r="R130" s="416">
        <f t="shared" si="2"/>
        <v>-9.966566343645486E-2</v>
      </c>
      <c r="S130" s="416">
        <f t="shared" si="2"/>
        <v>-9.5258066407225353E-2</v>
      </c>
      <c r="T130" s="416">
        <f t="shared" si="2"/>
        <v>-9.966566343645486E-2</v>
      </c>
      <c r="U130" s="416">
        <f t="shared" si="2"/>
        <v>-9.966566343645486E-2</v>
      </c>
      <c r="V130" s="416">
        <f t="shared" si="2"/>
        <v>-9.5258066407225353E-2</v>
      </c>
      <c r="W130" s="416">
        <f t="shared" si="2"/>
        <v>-9.5258066407225353E-2</v>
      </c>
      <c r="X130" s="416">
        <f t="shared" si="2"/>
        <v>-9.3279145292061091E-2</v>
      </c>
      <c r="Y130" s="416">
        <f t="shared" si="2"/>
        <v>-9.3279145292061091E-2</v>
      </c>
      <c r="Z130" s="348"/>
      <c r="AA130" s="348"/>
    </row>
    <row r="131" spans="4:27" x14ac:dyDescent="0.25">
      <c r="F131" s="293" t="s">
        <v>46</v>
      </c>
      <c r="G131" s="293" t="s">
        <v>183</v>
      </c>
      <c r="H131" s="348"/>
      <c r="I131" s="348"/>
      <c r="J131" s="416">
        <f t="shared" ref="J131:Y131" si="3">J26 * (1 - J$115)</f>
        <v>1.3557730753056794</v>
      </c>
      <c r="K131" s="416">
        <f t="shared" si="3"/>
        <v>1.3557730753056794</v>
      </c>
      <c r="L131" s="416">
        <f t="shared" si="3"/>
        <v>1.6533814257485966</v>
      </c>
      <c r="M131" s="416">
        <f t="shared" si="3"/>
        <v>1.6533814257485966</v>
      </c>
      <c r="N131" s="416">
        <f t="shared" si="3"/>
        <v>1.2038895013736322</v>
      </c>
      <c r="O131" s="416">
        <f t="shared" si="3"/>
        <v>1.1625470906112785</v>
      </c>
      <c r="P131" s="416">
        <f t="shared" si="3"/>
        <v>0.56989907766409009</v>
      </c>
      <c r="Q131" s="416">
        <f t="shared" si="3"/>
        <v>1.8259719186631285</v>
      </c>
      <c r="R131" s="416">
        <f t="shared" si="3"/>
        <v>-1.0174573371533235</v>
      </c>
      <c r="S131" s="416">
        <f t="shared" si="3"/>
        <v>-0.97246148018535117</v>
      </c>
      <c r="T131" s="416">
        <f t="shared" si="3"/>
        <v>-1.0174573371533235</v>
      </c>
      <c r="U131" s="416">
        <f t="shared" si="3"/>
        <v>-1.0174573371533235</v>
      </c>
      <c r="V131" s="416">
        <f t="shared" si="3"/>
        <v>-0.97246148018535117</v>
      </c>
      <c r="W131" s="416">
        <f t="shared" si="3"/>
        <v>-0.97246148018535117</v>
      </c>
      <c r="X131" s="416">
        <f t="shared" si="3"/>
        <v>-0.67188537524431624</v>
      </c>
      <c r="Y131" s="416">
        <f t="shared" si="3"/>
        <v>-0.67188537524431624</v>
      </c>
      <c r="Z131" s="348"/>
      <c r="AA131" s="348"/>
    </row>
    <row r="132" spans="4:27" x14ac:dyDescent="0.25">
      <c r="F132" s="293" t="s">
        <v>47</v>
      </c>
      <c r="G132" s="293" t="s">
        <v>183</v>
      </c>
      <c r="H132" s="348"/>
      <c r="I132" s="348"/>
      <c r="J132" s="416">
        <f t="shared" ref="J132:Y132" si="4">J27 * (1 - J$116)</f>
        <v>0.18992907725870836</v>
      </c>
      <c r="K132" s="416">
        <f t="shared" si="4"/>
        <v>0.18992907725870836</v>
      </c>
      <c r="L132" s="416">
        <f t="shared" si="4"/>
        <v>0.23162077361531677</v>
      </c>
      <c r="M132" s="416">
        <f t="shared" si="4"/>
        <v>0.23162077361531677</v>
      </c>
      <c r="N132" s="416">
        <f t="shared" si="4"/>
        <v>0.16865183877898379</v>
      </c>
      <c r="O132" s="416">
        <f t="shared" si="4"/>
        <v>0.16286021622004343</v>
      </c>
      <c r="P132" s="416">
        <f t="shared" si="4"/>
        <v>0</v>
      </c>
      <c r="Q132" s="416">
        <f t="shared" si="4"/>
        <v>0.3303430238650934</v>
      </c>
      <c r="R132" s="416">
        <f t="shared" si="4"/>
        <v>-0.14253471817329263</v>
      </c>
      <c r="S132" s="416">
        <f t="shared" si="4"/>
        <v>-0.13623128749595387</v>
      </c>
      <c r="T132" s="416">
        <f t="shared" si="4"/>
        <v>-0.14253471817329263</v>
      </c>
      <c r="U132" s="416">
        <f t="shared" si="4"/>
        <v>-0.14253471817329263</v>
      </c>
      <c r="V132" s="416">
        <f t="shared" si="4"/>
        <v>-0.13623128749595387</v>
      </c>
      <c r="W132" s="416">
        <f t="shared" si="4"/>
        <v>-0.13623128749595387</v>
      </c>
      <c r="X132" s="416">
        <f t="shared" si="4"/>
        <v>-0.11430205095796377</v>
      </c>
      <c r="Y132" s="416">
        <f t="shared" si="4"/>
        <v>-0.11430205095796377</v>
      </c>
      <c r="Z132" s="348"/>
      <c r="AA132" s="348"/>
    </row>
    <row r="133" spans="4:27" x14ac:dyDescent="0.25">
      <c r="F133" s="293" t="s">
        <v>51</v>
      </c>
      <c r="G133" s="293" t="s">
        <v>183</v>
      </c>
      <c r="H133" s="348"/>
      <c r="I133" s="348"/>
      <c r="J133" s="416">
        <f t="shared" ref="J133:Y133" si="5">J28 * (1 - J$117)</f>
        <v>0</v>
      </c>
      <c r="K133" s="416">
        <f t="shared" si="5"/>
        <v>0</v>
      </c>
      <c r="L133" s="416">
        <f t="shared" si="5"/>
        <v>0</v>
      </c>
      <c r="M133" s="416">
        <f t="shared" si="5"/>
        <v>0</v>
      </c>
      <c r="N133" s="416">
        <f t="shared" si="5"/>
        <v>0</v>
      </c>
      <c r="O133" s="416">
        <f t="shared" si="5"/>
        <v>0</v>
      </c>
      <c r="P133" s="416">
        <f t="shared" si="5"/>
        <v>0</v>
      </c>
      <c r="Q133" s="416">
        <f t="shared" si="5"/>
        <v>0</v>
      </c>
      <c r="R133" s="416">
        <f t="shared" si="5"/>
        <v>0</v>
      </c>
      <c r="S133" s="416">
        <f t="shared" si="5"/>
        <v>0</v>
      </c>
      <c r="T133" s="416">
        <f t="shared" si="5"/>
        <v>0</v>
      </c>
      <c r="U133" s="416">
        <f t="shared" si="5"/>
        <v>0</v>
      </c>
      <c r="V133" s="416">
        <f t="shared" si="5"/>
        <v>0</v>
      </c>
      <c r="W133" s="416">
        <f t="shared" si="5"/>
        <v>0</v>
      </c>
      <c r="X133" s="416">
        <f t="shared" si="5"/>
        <v>0</v>
      </c>
      <c r="Y133" s="416">
        <f t="shared" si="5"/>
        <v>0</v>
      </c>
      <c r="Z133" s="348"/>
      <c r="AA133" s="348"/>
    </row>
    <row r="134" spans="4:27" x14ac:dyDescent="0.25">
      <c r="F134" s="293" t="s">
        <v>48</v>
      </c>
      <c r="G134" s="293" t="s">
        <v>183</v>
      </c>
      <c r="H134" s="348"/>
      <c r="I134" s="348"/>
      <c r="J134" s="416">
        <f t="shared" ref="J134:Y134" si="6">J29 * (1 - J$118)</f>
        <v>1.0501084605733282</v>
      </c>
      <c r="K134" s="416">
        <f t="shared" si="6"/>
        <v>1.0501084605733282</v>
      </c>
      <c r="L134" s="416">
        <f t="shared" si="6"/>
        <v>1.28061978465086</v>
      </c>
      <c r="M134" s="416">
        <f t="shared" si="6"/>
        <v>1.28061978465086</v>
      </c>
      <c r="N134" s="416">
        <f t="shared" si="6"/>
        <v>0.74597413034054849</v>
      </c>
      <c r="O134" s="416">
        <f t="shared" si="6"/>
        <v>0</v>
      </c>
      <c r="P134" s="416">
        <f t="shared" si="6"/>
        <v>0</v>
      </c>
      <c r="Q134" s="416">
        <f t="shared" si="6"/>
        <v>1.8264502163594121</v>
      </c>
      <c r="R134" s="416">
        <f t="shared" si="6"/>
        <v>-0.78806739673320203</v>
      </c>
      <c r="S134" s="416">
        <f t="shared" si="6"/>
        <v>-0.75321604074048831</v>
      </c>
      <c r="T134" s="416">
        <f t="shared" si="6"/>
        <v>-0.78806739673320203</v>
      </c>
      <c r="U134" s="416">
        <f t="shared" si="6"/>
        <v>-0.78806739673320203</v>
      </c>
      <c r="V134" s="416">
        <f t="shared" si="6"/>
        <v>-0.75321604074048831</v>
      </c>
      <c r="W134" s="416">
        <f t="shared" si="6"/>
        <v>-0.75321604074048831</v>
      </c>
      <c r="X134" s="416">
        <f t="shared" si="6"/>
        <v>0</v>
      </c>
      <c r="Y134" s="416">
        <f t="shared" si="6"/>
        <v>0</v>
      </c>
      <c r="Z134" s="348"/>
      <c r="AA134" s="348"/>
    </row>
    <row r="135" spans="4:27" x14ac:dyDescent="0.25">
      <c r="F135" s="293" t="s">
        <v>49</v>
      </c>
      <c r="G135" s="293" t="s">
        <v>183</v>
      </c>
      <c r="H135" s="348"/>
      <c r="I135" s="348"/>
      <c r="J135" s="416">
        <f t="shared" ref="J135:Y135" si="7">J30 * (1 - J$119)</f>
        <v>0.17621880656341374</v>
      </c>
      <c r="K135" s="416">
        <f t="shared" si="7"/>
        <v>0.17621880656341374</v>
      </c>
      <c r="L135" s="416">
        <f t="shared" si="7"/>
        <v>0.21490093508004085</v>
      </c>
      <c r="M135" s="416">
        <f t="shared" si="7"/>
        <v>0.21490093508004085</v>
      </c>
      <c r="N135" s="416">
        <f t="shared" si="7"/>
        <v>0</v>
      </c>
      <c r="O135" s="416">
        <f t="shared" si="7"/>
        <v>0</v>
      </c>
      <c r="P135" s="416">
        <f t="shared" si="7"/>
        <v>0</v>
      </c>
      <c r="Q135" s="416">
        <f t="shared" si="7"/>
        <v>0.30649679481548142</v>
      </c>
      <c r="R135" s="416">
        <f t="shared" si="7"/>
        <v>-0.13224566924071918</v>
      </c>
      <c r="S135" s="416">
        <f t="shared" si="7"/>
        <v>0</v>
      </c>
      <c r="T135" s="416">
        <f t="shared" si="7"/>
        <v>-0.13224566924071918</v>
      </c>
      <c r="U135" s="416">
        <f t="shared" si="7"/>
        <v>-0.13224566924071918</v>
      </c>
      <c r="V135" s="416">
        <f t="shared" si="7"/>
        <v>0</v>
      </c>
      <c r="W135" s="416">
        <f t="shared" si="7"/>
        <v>0</v>
      </c>
      <c r="X135" s="416">
        <f t="shared" si="7"/>
        <v>0</v>
      </c>
      <c r="Y135" s="416">
        <f t="shared" si="7"/>
        <v>0</v>
      </c>
      <c r="Z135" s="348"/>
      <c r="AA135" s="348"/>
    </row>
    <row r="136" spans="4:27" x14ac:dyDescent="0.25">
      <c r="F136" s="293" t="s">
        <v>50</v>
      </c>
      <c r="G136" s="293" t="s">
        <v>183</v>
      </c>
      <c r="H136" s="348"/>
      <c r="I136" s="348"/>
      <c r="J136" s="416">
        <f t="shared" ref="J136:Y136" si="8">J31 * (1 - J$120)</f>
        <v>0</v>
      </c>
      <c r="K136" s="416">
        <f t="shared" si="8"/>
        <v>0</v>
      </c>
      <c r="L136" s="416">
        <f t="shared" si="8"/>
        <v>0</v>
      </c>
      <c r="M136" s="416">
        <f t="shared" si="8"/>
        <v>0</v>
      </c>
      <c r="N136" s="416">
        <f t="shared" si="8"/>
        <v>0</v>
      </c>
      <c r="O136" s="416">
        <f t="shared" si="8"/>
        <v>0</v>
      </c>
      <c r="P136" s="416">
        <f t="shared" si="8"/>
        <v>0</v>
      </c>
      <c r="Q136" s="416">
        <f t="shared" si="8"/>
        <v>4.4837079944379264E-2</v>
      </c>
      <c r="R136" s="416">
        <f t="shared" si="8"/>
        <v>0</v>
      </c>
      <c r="S136" s="416">
        <f t="shared" si="8"/>
        <v>0</v>
      </c>
      <c r="T136" s="416">
        <f t="shared" si="8"/>
        <v>0</v>
      </c>
      <c r="U136" s="416">
        <f t="shared" si="8"/>
        <v>0</v>
      </c>
      <c r="V136" s="416">
        <f t="shared" si="8"/>
        <v>0</v>
      </c>
      <c r="W136" s="416">
        <f t="shared" si="8"/>
        <v>0</v>
      </c>
      <c r="X136" s="416">
        <f t="shared" si="8"/>
        <v>0</v>
      </c>
      <c r="Y136" s="416">
        <f t="shared" si="8"/>
        <v>0</v>
      </c>
      <c r="Z136" s="348"/>
      <c r="AA136" s="348"/>
    </row>
    <row r="137" spans="4:27" x14ac:dyDescent="0.25">
      <c r="D137" s="293"/>
      <c r="F137" s="91" t="s">
        <v>124</v>
      </c>
      <c r="G137" s="91" t="s">
        <v>183</v>
      </c>
      <c r="H137" s="346"/>
      <c r="I137" s="346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D138" s="293"/>
      <c r="F138" s="93" t="s">
        <v>123</v>
      </c>
      <c r="G138" s="93" t="s">
        <v>183</v>
      </c>
      <c r="H138" s="350"/>
      <c r="I138" s="350"/>
      <c r="J138" s="355"/>
      <c r="K138" s="355"/>
      <c r="L138" s="355"/>
      <c r="M138" s="355"/>
      <c r="N138" s="355"/>
      <c r="O138" s="355"/>
      <c r="P138" s="355"/>
      <c r="Q138" s="355"/>
      <c r="R138" s="355"/>
      <c r="S138" s="355"/>
      <c r="T138" s="355"/>
      <c r="U138" s="355"/>
      <c r="V138" s="355"/>
      <c r="W138" s="355"/>
      <c r="X138" s="355"/>
      <c r="Y138" s="355"/>
      <c r="Z138" s="348"/>
      <c r="AA138" s="348"/>
    </row>
    <row r="139" spans="4:27" x14ac:dyDescent="0.2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2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25">
      <c r="F141" s="91" t="s">
        <v>267</v>
      </c>
      <c r="G141" s="91" t="s">
        <v>183</v>
      </c>
      <c r="H141" s="346"/>
      <c r="I141" s="346"/>
      <c r="J141" s="530">
        <f t="shared" ref="J141:Y142" si="9">J36 * (1 - J$112)</f>
        <v>1.4154165648811017</v>
      </c>
      <c r="K141" s="530">
        <f t="shared" si="9"/>
        <v>1.4154165648811017</v>
      </c>
      <c r="L141" s="530">
        <f t="shared" si="9"/>
        <v>1.7261173722185463</v>
      </c>
      <c r="M141" s="530">
        <f t="shared" si="9"/>
        <v>1.7261173722185463</v>
      </c>
      <c r="N141" s="530">
        <f t="shared" si="9"/>
        <v>1.2568512928658766</v>
      </c>
      <c r="O141" s="530">
        <f t="shared" si="9"/>
        <v>1.2136901369976942</v>
      </c>
      <c r="P141" s="530">
        <f t="shared" si="9"/>
        <v>1.0540598040546294</v>
      </c>
      <c r="Q141" s="530">
        <f t="shared" si="9"/>
        <v>2.4972649758120196</v>
      </c>
      <c r="R141" s="530">
        <f t="shared" si="9"/>
        <v>-1.062217560812625</v>
      </c>
      <c r="S141" s="530">
        <f t="shared" si="9"/>
        <v>-1.0152422354698283</v>
      </c>
      <c r="T141" s="530">
        <f t="shared" si="9"/>
        <v>-1.062217560812625</v>
      </c>
      <c r="U141" s="530">
        <f t="shared" si="9"/>
        <v>-1.062217560812625</v>
      </c>
      <c r="V141" s="530">
        <f t="shared" si="9"/>
        <v>-1.0152422354698283</v>
      </c>
      <c r="W141" s="530">
        <f t="shared" si="9"/>
        <v>-1.0152422354698283</v>
      </c>
      <c r="X141" s="530">
        <f t="shared" si="9"/>
        <v>-0.99415127307102158</v>
      </c>
      <c r="Y141" s="530">
        <f t="shared" si="9"/>
        <v>-0.99415127307102158</v>
      </c>
      <c r="Z141" s="348"/>
      <c r="AA141" s="348"/>
    </row>
    <row r="142" spans="4:27" x14ac:dyDescent="0.25">
      <c r="F142" s="293" t="s">
        <v>43</v>
      </c>
      <c r="G142" s="293" t="s">
        <v>183</v>
      </c>
      <c r="H142" s="348"/>
      <c r="I142" s="348"/>
      <c r="J142" s="416">
        <f t="shared" si="9"/>
        <v>0</v>
      </c>
      <c r="K142" s="416">
        <f t="shared" si="9"/>
        <v>0</v>
      </c>
      <c r="L142" s="416">
        <f t="shared" si="9"/>
        <v>0</v>
      </c>
      <c r="M142" s="416">
        <f t="shared" si="9"/>
        <v>0</v>
      </c>
      <c r="N142" s="416">
        <f t="shared" si="9"/>
        <v>0</v>
      </c>
      <c r="O142" s="416">
        <f t="shared" si="9"/>
        <v>0</v>
      </c>
      <c r="P142" s="416">
        <f t="shared" si="9"/>
        <v>0</v>
      </c>
      <c r="Q142" s="416">
        <f t="shared" si="9"/>
        <v>0</v>
      </c>
      <c r="R142" s="416">
        <f t="shared" si="9"/>
        <v>0</v>
      </c>
      <c r="S142" s="416">
        <f t="shared" si="9"/>
        <v>0</v>
      </c>
      <c r="T142" s="416">
        <f t="shared" si="9"/>
        <v>0</v>
      </c>
      <c r="U142" s="416">
        <f t="shared" si="9"/>
        <v>0</v>
      </c>
      <c r="V142" s="416">
        <f t="shared" si="9"/>
        <v>0</v>
      </c>
      <c r="W142" s="416">
        <f t="shared" si="9"/>
        <v>0</v>
      </c>
      <c r="X142" s="416">
        <f t="shared" si="9"/>
        <v>0</v>
      </c>
      <c r="Y142" s="416">
        <f t="shared" si="9"/>
        <v>0</v>
      </c>
      <c r="Z142" s="348"/>
      <c r="AA142" s="348"/>
    </row>
    <row r="143" spans="4:27" x14ac:dyDescent="0.25">
      <c r="F143" s="293" t="s">
        <v>44</v>
      </c>
      <c r="G143" s="293" t="s">
        <v>183</v>
      </c>
      <c r="H143" s="348"/>
      <c r="I143" s="348"/>
      <c r="J143" s="416">
        <f t="shared" ref="J143:Y143" si="10">J38 * (1 - J$113)</f>
        <v>1.5548175567685769</v>
      </c>
      <c r="K143" s="416">
        <f t="shared" si="10"/>
        <v>1.5548175567685769</v>
      </c>
      <c r="L143" s="416">
        <f t="shared" si="10"/>
        <v>1.8961185434438386</v>
      </c>
      <c r="M143" s="416">
        <f t="shared" si="10"/>
        <v>1.8961185434438386</v>
      </c>
      <c r="N143" s="416">
        <f t="shared" si="10"/>
        <v>1.3806355703907596</v>
      </c>
      <c r="O143" s="416">
        <f t="shared" si="10"/>
        <v>1.3332235755198976</v>
      </c>
      <c r="P143" s="416">
        <f t="shared" si="10"/>
        <v>1.1578716329110168</v>
      </c>
      <c r="Q143" s="416">
        <f t="shared" si="10"/>
        <v>2.7432146299785227</v>
      </c>
      <c r="R143" s="416">
        <f t="shared" si="10"/>
        <v>-1.1668328276192648</v>
      </c>
      <c r="S143" s="416">
        <f t="shared" si="10"/>
        <v>-1.1152310148454885</v>
      </c>
      <c r="T143" s="416">
        <f t="shared" si="10"/>
        <v>-1.1668328276192648</v>
      </c>
      <c r="U143" s="416">
        <f t="shared" si="10"/>
        <v>-1.1668328276192648</v>
      </c>
      <c r="V143" s="416">
        <f t="shared" si="10"/>
        <v>-1.1152310148454885</v>
      </c>
      <c r="W143" s="416">
        <f t="shared" si="10"/>
        <v>-1.1152310148454885</v>
      </c>
      <c r="X143" s="416">
        <f t="shared" si="10"/>
        <v>-1.0920628540082828</v>
      </c>
      <c r="Y143" s="416">
        <f t="shared" si="10"/>
        <v>-1.0920628540082828</v>
      </c>
      <c r="Z143" s="348"/>
      <c r="AA143" s="348"/>
    </row>
    <row r="144" spans="4:27" x14ac:dyDescent="0.25">
      <c r="F144" s="293" t="s">
        <v>45</v>
      </c>
      <c r="G144" s="293" t="s">
        <v>183</v>
      </c>
      <c r="H144" s="348"/>
      <c r="I144" s="348"/>
      <c r="J144" s="416">
        <f t="shared" ref="J144:Y144" si="11">J39 * (1 - J$114)</f>
        <v>8.82886711717316E-2</v>
      </c>
      <c r="K144" s="416">
        <f t="shared" si="11"/>
        <v>8.82886711717316E-2</v>
      </c>
      <c r="L144" s="416">
        <f t="shared" si="11"/>
        <v>0.10766908686872573</v>
      </c>
      <c r="M144" s="416">
        <f t="shared" si="11"/>
        <v>0.10766908686872573</v>
      </c>
      <c r="N144" s="416">
        <f t="shared" si="11"/>
        <v>7.8397931224524361E-2</v>
      </c>
      <c r="O144" s="416">
        <f t="shared" si="11"/>
        <v>7.5705691220848859E-2</v>
      </c>
      <c r="P144" s="416">
        <f t="shared" si="11"/>
        <v>6.5748516545965668E-2</v>
      </c>
      <c r="Q144" s="416">
        <f t="shared" si="11"/>
        <v>0.11890827250667815</v>
      </c>
      <c r="R144" s="416">
        <f t="shared" si="11"/>
        <v>-6.6257368513489553E-2</v>
      </c>
      <c r="S144" s="416">
        <f t="shared" si="11"/>
        <v>-6.3327214129770243E-2</v>
      </c>
      <c r="T144" s="416">
        <f t="shared" si="11"/>
        <v>-6.6257368513489553E-2</v>
      </c>
      <c r="U144" s="416">
        <f t="shared" si="11"/>
        <v>-6.6257368513489553E-2</v>
      </c>
      <c r="V144" s="416">
        <f t="shared" si="11"/>
        <v>-6.3327214129770243E-2</v>
      </c>
      <c r="W144" s="416">
        <f t="shared" si="11"/>
        <v>-6.3327214129770243E-2</v>
      </c>
      <c r="X144" s="416">
        <f t="shared" si="11"/>
        <v>-6.2011634610549329E-2</v>
      </c>
      <c r="Y144" s="416">
        <f t="shared" si="11"/>
        <v>-6.2011634610549329E-2</v>
      </c>
      <c r="Z144" s="348"/>
      <c r="AA144" s="348"/>
    </row>
    <row r="145" spans="3:27" x14ac:dyDescent="0.25">
      <c r="F145" s="293" t="s">
        <v>46</v>
      </c>
      <c r="G145" s="293" t="s">
        <v>183</v>
      </c>
      <c r="H145" s="348"/>
      <c r="I145" s="348"/>
      <c r="J145" s="416">
        <f t="shared" ref="J145:Y145" si="12">J40 * (1 - J$115)</f>
        <v>0.90131298156129236</v>
      </c>
      <c r="K145" s="416">
        <f t="shared" si="12"/>
        <v>0.90131298156129236</v>
      </c>
      <c r="L145" s="416">
        <f t="shared" si="12"/>
        <v>1.0991619243976629</v>
      </c>
      <c r="M145" s="416">
        <f t="shared" si="12"/>
        <v>1.0991619243976629</v>
      </c>
      <c r="N145" s="416">
        <f t="shared" si="12"/>
        <v>0.80034133714357636</v>
      </c>
      <c r="O145" s="416">
        <f t="shared" si="12"/>
        <v>0.77285705368356816</v>
      </c>
      <c r="P145" s="416">
        <f t="shared" si="12"/>
        <v>0.53696575739380015</v>
      </c>
      <c r="Q145" s="416">
        <f t="shared" si="12"/>
        <v>1.2138994528169058</v>
      </c>
      <c r="R145" s="416">
        <f t="shared" si="12"/>
        <v>-0.67640191626781854</v>
      </c>
      <c r="S145" s="416">
        <f t="shared" si="12"/>
        <v>-0.64648883513323108</v>
      </c>
      <c r="T145" s="416">
        <f t="shared" si="12"/>
        <v>-0.67640191626781854</v>
      </c>
      <c r="U145" s="416">
        <f t="shared" si="12"/>
        <v>-0.67640191626781854</v>
      </c>
      <c r="V145" s="416">
        <f t="shared" si="12"/>
        <v>-0.64648883513323108</v>
      </c>
      <c r="W145" s="416">
        <f t="shared" si="12"/>
        <v>-0.64648883513323108</v>
      </c>
      <c r="X145" s="416">
        <f t="shared" si="12"/>
        <v>-0.63305847217484457</v>
      </c>
      <c r="Y145" s="416">
        <f t="shared" si="12"/>
        <v>-0.63305847217484457</v>
      </c>
      <c r="Z145" s="348"/>
      <c r="AA145" s="348"/>
    </row>
    <row r="146" spans="3:27" x14ac:dyDescent="0.25">
      <c r="F146" s="293" t="s">
        <v>47</v>
      </c>
      <c r="G146" s="293" t="s">
        <v>183</v>
      </c>
      <c r="H146" s="348"/>
      <c r="I146" s="348"/>
      <c r="J146" s="416">
        <f t="shared" ref="J146:Y146" si="13">J41 * (1 - J$116)</f>
        <v>0.12626415587330883</v>
      </c>
      <c r="K146" s="416">
        <f t="shared" si="13"/>
        <v>0.12626415587330883</v>
      </c>
      <c r="L146" s="416">
        <f t="shared" si="13"/>
        <v>0.15398064311882403</v>
      </c>
      <c r="M146" s="416">
        <f t="shared" si="13"/>
        <v>0.15398064311882403</v>
      </c>
      <c r="N146" s="416">
        <f t="shared" si="13"/>
        <v>0.11211912555602847</v>
      </c>
      <c r="O146" s="416">
        <f t="shared" si="13"/>
        <v>0.10826887606239606</v>
      </c>
      <c r="P146" s="416">
        <f t="shared" si="13"/>
        <v>0</v>
      </c>
      <c r="Q146" s="416">
        <f t="shared" si="13"/>
        <v>0.21961083399645631</v>
      </c>
      <c r="R146" s="416">
        <f t="shared" si="13"/>
        <v>-9.4756559303852406E-2</v>
      </c>
      <c r="S146" s="416">
        <f t="shared" si="13"/>
        <v>-9.0566061645108012E-2</v>
      </c>
      <c r="T146" s="416">
        <f t="shared" si="13"/>
        <v>-9.4756559303852406E-2</v>
      </c>
      <c r="U146" s="416">
        <f t="shared" si="13"/>
        <v>-9.4756559303852406E-2</v>
      </c>
      <c r="V146" s="416">
        <f t="shared" si="13"/>
        <v>-9.0566061645108012E-2</v>
      </c>
      <c r="W146" s="416">
        <f t="shared" si="13"/>
        <v>-9.0566061645108012E-2</v>
      </c>
      <c r="X146" s="416">
        <f t="shared" si="13"/>
        <v>-8.8684613716692173E-2</v>
      </c>
      <c r="Y146" s="416">
        <f t="shared" si="13"/>
        <v>-8.8684613716692173E-2</v>
      </c>
      <c r="Z146" s="348"/>
      <c r="AA146" s="348"/>
    </row>
    <row r="147" spans="3:27" x14ac:dyDescent="0.25">
      <c r="F147" s="293" t="s">
        <v>51</v>
      </c>
      <c r="G147" s="293" t="s">
        <v>183</v>
      </c>
      <c r="H147" s="348"/>
      <c r="I147" s="348"/>
      <c r="J147" s="416">
        <f t="shared" ref="J147:Y147" si="14">J42 * (1 - J$117)</f>
        <v>0</v>
      </c>
      <c r="K147" s="416">
        <f t="shared" si="14"/>
        <v>0</v>
      </c>
      <c r="L147" s="416">
        <f t="shared" si="14"/>
        <v>0</v>
      </c>
      <c r="M147" s="416">
        <f t="shared" si="14"/>
        <v>0</v>
      </c>
      <c r="N147" s="416">
        <f t="shared" si="14"/>
        <v>0</v>
      </c>
      <c r="O147" s="416">
        <f t="shared" si="14"/>
        <v>0</v>
      </c>
      <c r="P147" s="416">
        <f t="shared" si="14"/>
        <v>0</v>
      </c>
      <c r="Q147" s="416">
        <f t="shared" si="14"/>
        <v>0</v>
      </c>
      <c r="R147" s="416">
        <f t="shared" si="14"/>
        <v>0</v>
      </c>
      <c r="S147" s="416">
        <f t="shared" si="14"/>
        <v>0</v>
      </c>
      <c r="T147" s="416">
        <f t="shared" si="14"/>
        <v>0</v>
      </c>
      <c r="U147" s="416">
        <f t="shared" si="14"/>
        <v>0</v>
      </c>
      <c r="V147" s="416">
        <f t="shared" si="14"/>
        <v>0</v>
      </c>
      <c r="W147" s="416">
        <f t="shared" si="14"/>
        <v>0</v>
      </c>
      <c r="X147" s="416">
        <f t="shared" si="14"/>
        <v>0</v>
      </c>
      <c r="Y147" s="416">
        <f t="shared" si="14"/>
        <v>0</v>
      </c>
      <c r="Z147" s="348"/>
      <c r="AA147" s="348"/>
    </row>
    <row r="148" spans="3:27" x14ac:dyDescent="0.25">
      <c r="F148" s="293" t="s">
        <v>48</v>
      </c>
      <c r="G148" s="293" t="s">
        <v>183</v>
      </c>
      <c r="H148" s="348"/>
      <c r="I148" s="348"/>
      <c r="J148" s="416">
        <f t="shared" ref="J148:Y148" si="15">J43 * (1 - J$118)</f>
        <v>1.0363090636290471</v>
      </c>
      <c r="K148" s="416">
        <f t="shared" si="15"/>
        <v>1.0363090636290471</v>
      </c>
      <c r="L148" s="416">
        <f t="shared" si="15"/>
        <v>1.2637912555925865</v>
      </c>
      <c r="M148" s="416">
        <f t="shared" si="15"/>
        <v>1.2637912555925865</v>
      </c>
      <c r="N148" s="416">
        <f t="shared" si="15"/>
        <v>0.73617133994200834</v>
      </c>
      <c r="O148" s="416">
        <f t="shared" si="15"/>
        <v>0</v>
      </c>
      <c r="P148" s="416">
        <f t="shared" si="15"/>
        <v>0</v>
      </c>
      <c r="Q148" s="416">
        <f t="shared" si="15"/>
        <v>1.8024489703159789</v>
      </c>
      <c r="R148" s="416">
        <f t="shared" si="15"/>
        <v>-0.77771146186107432</v>
      </c>
      <c r="S148" s="416">
        <f t="shared" si="15"/>
        <v>-0.74331808493761498</v>
      </c>
      <c r="T148" s="416">
        <f t="shared" si="15"/>
        <v>-0.77771146186107432</v>
      </c>
      <c r="U148" s="416">
        <f t="shared" si="15"/>
        <v>-0.77771146186107432</v>
      </c>
      <c r="V148" s="416">
        <f t="shared" si="15"/>
        <v>-0.74331808493761498</v>
      </c>
      <c r="W148" s="416">
        <f t="shared" si="15"/>
        <v>-0.74331808493761498</v>
      </c>
      <c r="X148" s="416">
        <f t="shared" si="15"/>
        <v>0</v>
      </c>
      <c r="Y148" s="416">
        <f t="shared" si="15"/>
        <v>0</v>
      </c>
      <c r="Z148" s="348"/>
      <c r="AA148" s="348"/>
    </row>
    <row r="149" spans="3:27" x14ac:dyDescent="0.25">
      <c r="F149" s="293" t="s">
        <v>49</v>
      </c>
      <c r="G149" s="293" t="s">
        <v>183</v>
      </c>
      <c r="H149" s="348"/>
      <c r="I149" s="348"/>
      <c r="J149" s="416">
        <f t="shared" ref="J149:Y149" si="16">J44 * (1 - J$119)</f>
        <v>0.4053239231578622</v>
      </c>
      <c r="K149" s="416">
        <f t="shared" si="16"/>
        <v>0.4053239231578622</v>
      </c>
      <c r="L149" s="416">
        <f t="shared" si="16"/>
        <v>0.49429735563207311</v>
      </c>
      <c r="M149" s="416">
        <f t="shared" si="16"/>
        <v>0.49429735563207311</v>
      </c>
      <c r="N149" s="416">
        <f t="shared" si="16"/>
        <v>0</v>
      </c>
      <c r="O149" s="416">
        <f t="shared" si="16"/>
        <v>0</v>
      </c>
      <c r="P149" s="416">
        <f t="shared" si="16"/>
        <v>0</v>
      </c>
      <c r="Q149" s="416">
        <f t="shared" si="16"/>
        <v>0.70497857596837099</v>
      </c>
      <c r="R149" s="416">
        <f t="shared" si="16"/>
        <v>-0.30418054986654386</v>
      </c>
      <c r="S149" s="416">
        <f t="shared" si="16"/>
        <v>0</v>
      </c>
      <c r="T149" s="416">
        <f t="shared" si="16"/>
        <v>-0.30418054986654386</v>
      </c>
      <c r="U149" s="416">
        <f t="shared" si="16"/>
        <v>-0.30418054986654386</v>
      </c>
      <c r="V149" s="416">
        <f t="shared" si="16"/>
        <v>0</v>
      </c>
      <c r="W149" s="416">
        <f t="shared" si="16"/>
        <v>0</v>
      </c>
      <c r="X149" s="416">
        <f t="shared" si="16"/>
        <v>0</v>
      </c>
      <c r="Y149" s="416">
        <f t="shared" si="16"/>
        <v>0</v>
      </c>
      <c r="Z149" s="348"/>
      <c r="AA149" s="348"/>
    </row>
    <row r="150" spans="3:27" x14ac:dyDescent="0.25">
      <c r="F150" s="293" t="s">
        <v>50</v>
      </c>
      <c r="G150" s="293" t="s">
        <v>183</v>
      </c>
      <c r="H150" s="348"/>
      <c r="I150" s="348"/>
      <c r="J150" s="416">
        <f t="shared" ref="J150:Y150" si="17">J45 * (1 - J$120)</f>
        <v>0</v>
      </c>
      <c r="K150" s="416">
        <f t="shared" si="17"/>
        <v>0</v>
      </c>
      <c r="L150" s="416">
        <f t="shared" si="17"/>
        <v>0</v>
      </c>
      <c r="M150" s="416">
        <f t="shared" si="17"/>
        <v>0</v>
      </c>
      <c r="N150" s="416">
        <f t="shared" si="17"/>
        <v>0</v>
      </c>
      <c r="O150" s="416">
        <f t="shared" si="17"/>
        <v>0</v>
      </c>
      <c r="P150" s="416">
        <f t="shared" si="17"/>
        <v>0</v>
      </c>
      <c r="Q150" s="416">
        <f t="shared" si="17"/>
        <v>0.43167214462948028</v>
      </c>
      <c r="R150" s="416">
        <f t="shared" si="17"/>
        <v>0</v>
      </c>
      <c r="S150" s="416">
        <f t="shared" si="17"/>
        <v>0</v>
      </c>
      <c r="T150" s="416">
        <f t="shared" si="17"/>
        <v>0</v>
      </c>
      <c r="U150" s="416">
        <f t="shared" si="17"/>
        <v>0</v>
      </c>
      <c r="V150" s="416">
        <f t="shared" si="17"/>
        <v>0</v>
      </c>
      <c r="W150" s="416">
        <f t="shared" si="17"/>
        <v>0</v>
      </c>
      <c r="X150" s="416">
        <f t="shared" si="17"/>
        <v>0</v>
      </c>
      <c r="Y150" s="416">
        <f t="shared" si="17"/>
        <v>0</v>
      </c>
      <c r="Z150" s="348"/>
      <c r="AA150" s="348"/>
    </row>
    <row r="151" spans="3:27" x14ac:dyDescent="0.25">
      <c r="D151" s="293"/>
      <c r="F151" s="91" t="s">
        <v>124</v>
      </c>
      <c r="G151" s="91" t="s">
        <v>183</v>
      </c>
      <c r="H151" s="346"/>
      <c r="I151" s="346" t="s">
        <v>359</v>
      </c>
      <c r="J151" s="358"/>
      <c r="K151" s="358"/>
      <c r="L151" s="358"/>
      <c r="M151" s="358"/>
      <c r="N151" s="358"/>
      <c r="O151" s="358"/>
      <c r="P151" s="358"/>
      <c r="Q151" s="359">
        <f t="shared" ref="Q151" si="18">Q46</f>
        <v>0.38393089804388564</v>
      </c>
      <c r="R151" s="358"/>
      <c r="S151" s="358"/>
      <c r="T151" s="358"/>
      <c r="U151" s="358"/>
      <c r="V151" s="358"/>
      <c r="W151" s="358"/>
      <c r="X151" s="358"/>
      <c r="Y151" s="358"/>
      <c r="Z151" s="348"/>
      <c r="AA151" s="348" t="s">
        <v>730</v>
      </c>
    </row>
    <row r="152" spans="3:27" x14ac:dyDescent="0.25">
      <c r="D152" s="293"/>
      <c r="F152" s="93" t="s">
        <v>123</v>
      </c>
      <c r="G152" s="93" t="s">
        <v>183</v>
      </c>
      <c r="H152" s="350"/>
      <c r="I152" s="350"/>
      <c r="J152" s="355"/>
      <c r="K152" s="355"/>
      <c r="L152" s="355"/>
      <c r="M152" s="355"/>
      <c r="N152" s="355"/>
      <c r="O152" s="355"/>
      <c r="P152" s="355"/>
      <c r="Q152" s="355"/>
      <c r="R152" s="355"/>
      <c r="S152" s="355"/>
      <c r="T152" s="355"/>
      <c r="U152" s="355"/>
      <c r="V152" s="355"/>
      <c r="W152" s="355"/>
      <c r="X152" s="355"/>
      <c r="Y152" s="355"/>
      <c r="Z152" s="348"/>
      <c r="AA152" s="348"/>
    </row>
    <row r="153" spans="3:27" x14ac:dyDescent="0.2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25">
      <c r="C154" s="7" t="str">
        <f ca="1">INDEX('Version control'!$H$34:$H$60,MATCH($A$1,'Version control'!$F$34:$F$60,0),1)&amp;"-F: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2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731</v>
      </c>
    </row>
    <row r="156" spans="3:27" x14ac:dyDescent="0.2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25">
      <c r="F157" s="91" t="s">
        <v>267</v>
      </c>
      <c r="G157" s="91" t="s">
        <v>183</v>
      </c>
      <c r="H157" s="346"/>
      <c r="I157" s="346"/>
      <c r="J157" s="530">
        <f t="shared" ref="J157:Y158" si="19">J52 * (1 - J$112)</f>
        <v>0</v>
      </c>
      <c r="K157" s="530">
        <f t="shared" si="19"/>
        <v>0</v>
      </c>
      <c r="L157" s="530">
        <f t="shared" si="19"/>
        <v>0</v>
      </c>
      <c r="M157" s="530">
        <f t="shared" si="19"/>
        <v>0</v>
      </c>
      <c r="N157" s="530">
        <f t="shared" si="19"/>
        <v>0</v>
      </c>
      <c r="O157" s="530">
        <f t="shared" si="19"/>
        <v>0</v>
      </c>
      <c r="P157" s="530">
        <f t="shared" si="19"/>
        <v>0</v>
      </c>
      <c r="Q157" s="530">
        <f t="shared" si="19"/>
        <v>0</v>
      </c>
      <c r="R157" s="530">
        <f t="shared" si="19"/>
        <v>0</v>
      </c>
      <c r="S157" s="530">
        <f t="shared" si="19"/>
        <v>0</v>
      </c>
      <c r="T157" s="530">
        <f t="shared" si="19"/>
        <v>0</v>
      </c>
      <c r="U157" s="530">
        <f t="shared" si="19"/>
        <v>0</v>
      </c>
      <c r="V157" s="530">
        <f t="shared" si="19"/>
        <v>0</v>
      </c>
      <c r="W157" s="530">
        <f t="shared" si="19"/>
        <v>0</v>
      </c>
      <c r="X157" s="530">
        <f t="shared" si="19"/>
        <v>0</v>
      </c>
      <c r="Y157" s="530">
        <f t="shared" si="19"/>
        <v>0</v>
      </c>
      <c r="Z157" s="348"/>
      <c r="AA157" s="348"/>
    </row>
    <row r="158" spans="3:27" x14ac:dyDescent="0.25">
      <c r="F158" s="293" t="s">
        <v>43</v>
      </c>
      <c r="G158" s="293" t="s">
        <v>183</v>
      </c>
      <c r="H158" s="348"/>
      <c r="I158" s="348"/>
      <c r="J158" s="416">
        <f t="shared" si="19"/>
        <v>0</v>
      </c>
      <c r="K158" s="416">
        <f t="shared" si="19"/>
        <v>0</v>
      </c>
      <c r="L158" s="416">
        <f t="shared" si="19"/>
        <v>0</v>
      </c>
      <c r="M158" s="416">
        <f t="shared" si="19"/>
        <v>0</v>
      </c>
      <c r="N158" s="416">
        <f t="shared" si="19"/>
        <v>0</v>
      </c>
      <c r="O158" s="416">
        <f t="shared" si="19"/>
        <v>0</v>
      </c>
      <c r="P158" s="416">
        <f t="shared" si="19"/>
        <v>0</v>
      </c>
      <c r="Q158" s="416">
        <f t="shared" si="19"/>
        <v>0</v>
      </c>
      <c r="R158" s="416">
        <f t="shared" si="19"/>
        <v>0</v>
      </c>
      <c r="S158" s="416">
        <f t="shared" si="19"/>
        <v>0</v>
      </c>
      <c r="T158" s="416">
        <f t="shared" si="19"/>
        <v>0</v>
      </c>
      <c r="U158" s="416">
        <f t="shared" si="19"/>
        <v>0</v>
      </c>
      <c r="V158" s="416">
        <f t="shared" si="19"/>
        <v>0</v>
      </c>
      <c r="W158" s="416">
        <f t="shared" si="19"/>
        <v>0</v>
      </c>
      <c r="X158" s="416">
        <f t="shared" si="19"/>
        <v>0</v>
      </c>
      <c r="Y158" s="416">
        <f t="shared" si="19"/>
        <v>0</v>
      </c>
      <c r="Z158" s="348"/>
      <c r="AA158" s="348"/>
    </row>
    <row r="159" spans="3:27" x14ac:dyDescent="0.25">
      <c r="F159" s="293" t="s">
        <v>44</v>
      </c>
      <c r="G159" s="293" t="s">
        <v>183</v>
      </c>
      <c r="H159" s="348"/>
      <c r="I159" s="348"/>
      <c r="J159" s="416">
        <f t="shared" ref="J159:Y159" si="20">J54 * (1 - J$113)</f>
        <v>0.20751984749562136</v>
      </c>
      <c r="K159" s="416">
        <f t="shared" si="20"/>
        <v>0.20751984749562136</v>
      </c>
      <c r="L159" s="416">
        <f t="shared" si="20"/>
        <v>0.25307292759600092</v>
      </c>
      <c r="M159" s="416">
        <f t="shared" si="20"/>
        <v>0.25307292759600092</v>
      </c>
      <c r="N159" s="416">
        <f t="shared" si="20"/>
        <v>0.18427196282114372</v>
      </c>
      <c r="O159" s="416">
        <f t="shared" si="20"/>
        <v>0.17794393423526064</v>
      </c>
      <c r="P159" s="416">
        <f t="shared" si="20"/>
        <v>0.15453989674556035</v>
      </c>
      <c r="Q159" s="416">
        <f t="shared" si="20"/>
        <v>0.34185700419544779</v>
      </c>
      <c r="R159" s="416">
        <f t="shared" si="20"/>
        <v>-0.15573593788308079</v>
      </c>
      <c r="S159" s="416">
        <f t="shared" si="20"/>
        <v>-0.14884869875287235</v>
      </c>
      <c r="T159" s="416">
        <f t="shared" si="20"/>
        <v>-0.15573593788308079</v>
      </c>
      <c r="U159" s="416">
        <f t="shared" si="20"/>
        <v>-0.15573593788308079</v>
      </c>
      <c r="V159" s="416">
        <f t="shared" si="20"/>
        <v>-0.14884869875287235</v>
      </c>
      <c r="W159" s="416">
        <f t="shared" si="20"/>
        <v>-0.14884869875287235</v>
      </c>
      <c r="X159" s="416">
        <f t="shared" si="20"/>
        <v>-0.14575646893930932</v>
      </c>
      <c r="Y159" s="416">
        <f t="shared" si="20"/>
        <v>-0.14575646893930932</v>
      </c>
      <c r="Z159" s="348"/>
      <c r="AA159" s="348"/>
    </row>
    <row r="160" spans="3:27" x14ac:dyDescent="0.25">
      <c r="F160" s="293" t="s">
        <v>45</v>
      </c>
      <c r="G160" s="293" t="s">
        <v>183</v>
      </c>
      <c r="H160" s="348"/>
      <c r="I160" s="348"/>
      <c r="J160" s="416">
        <f t="shared" ref="J160:Y160" si="21">J55 * (1 - J$114)</f>
        <v>2.852888613770312E-2</v>
      </c>
      <c r="K160" s="416">
        <f t="shared" si="21"/>
        <v>2.852888613770312E-2</v>
      </c>
      <c r="L160" s="416">
        <f t="shared" si="21"/>
        <v>3.4791316700798151E-2</v>
      </c>
      <c r="M160" s="416">
        <f t="shared" si="21"/>
        <v>3.4791316700798151E-2</v>
      </c>
      <c r="N160" s="416">
        <f t="shared" si="21"/>
        <v>2.5332872537921439E-2</v>
      </c>
      <c r="O160" s="416">
        <f t="shared" si="21"/>
        <v>2.4462923908036303E-2</v>
      </c>
      <c r="P160" s="416">
        <f t="shared" si="21"/>
        <v>2.1245443128419392E-2</v>
      </c>
      <c r="Q160" s="416">
        <f t="shared" si="21"/>
        <v>3.6824008546511994E-2</v>
      </c>
      <c r="R160" s="416">
        <f t="shared" si="21"/>
        <v>-2.1409869431927776E-2</v>
      </c>
      <c r="S160" s="416">
        <f t="shared" si="21"/>
        <v>-2.0463043076183678E-2</v>
      </c>
      <c r="T160" s="416">
        <f t="shared" si="21"/>
        <v>-2.1409869431927776E-2</v>
      </c>
      <c r="U160" s="416">
        <f t="shared" si="21"/>
        <v>-2.1409869431927776E-2</v>
      </c>
      <c r="V160" s="416">
        <f t="shared" si="21"/>
        <v>-2.0463043076183678E-2</v>
      </c>
      <c r="W160" s="416">
        <f t="shared" si="21"/>
        <v>-2.0463043076183678E-2</v>
      </c>
      <c r="X160" s="416">
        <f t="shared" si="21"/>
        <v>-2.0037937365441429E-2</v>
      </c>
      <c r="Y160" s="416">
        <f t="shared" si="21"/>
        <v>-2.0037937365441429E-2</v>
      </c>
      <c r="Z160" s="348"/>
      <c r="AA160" s="348"/>
    </row>
    <row r="161" spans="4:27" x14ac:dyDescent="0.25">
      <c r="F161" s="293" t="s">
        <v>46</v>
      </c>
      <c r="G161" s="293" t="s">
        <v>183</v>
      </c>
      <c r="H161" s="348"/>
      <c r="I161" s="348"/>
      <c r="J161" s="416">
        <f t="shared" ref="J161:Y161" si="22">J56 * (1 - J$115)</f>
        <v>0.29124297697696916</v>
      </c>
      <c r="K161" s="416">
        <f t="shared" si="22"/>
        <v>0.29124297697696916</v>
      </c>
      <c r="L161" s="416">
        <f t="shared" si="22"/>
        <v>0.35517428195339951</v>
      </c>
      <c r="M161" s="416">
        <f t="shared" si="22"/>
        <v>0.35517428195339951</v>
      </c>
      <c r="N161" s="416">
        <f t="shared" si="22"/>
        <v>0.25861581758608249</v>
      </c>
      <c r="O161" s="416">
        <f t="shared" si="22"/>
        <v>0.24973476882862891</v>
      </c>
      <c r="P161" s="416">
        <f t="shared" si="22"/>
        <v>0.12242395647066234</v>
      </c>
      <c r="Q161" s="416">
        <f t="shared" si="22"/>
        <v>0.37592543296451897</v>
      </c>
      <c r="R161" s="416">
        <f t="shared" si="22"/>
        <v>-0.21856703693041132</v>
      </c>
      <c r="S161" s="416">
        <f t="shared" si="22"/>
        <v>-0.20890116616363313</v>
      </c>
      <c r="T161" s="416">
        <f t="shared" si="22"/>
        <v>-0.21856703693041132</v>
      </c>
      <c r="U161" s="416">
        <f t="shared" si="22"/>
        <v>-0.21856703693041132</v>
      </c>
      <c r="V161" s="416">
        <f t="shared" si="22"/>
        <v>-0.20890116616363313</v>
      </c>
      <c r="W161" s="416">
        <f t="shared" si="22"/>
        <v>-0.20890116616363313</v>
      </c>
      <c r="X161" s="416">
        <f t="shared" si="22"/>
        <v>-0.14433233734880246</v>
      </c>
      <c r="Y161" s="416">
        <f t="shared" si="22"/>
        <v>-0.14433233734880246</v>
      </c>
      <c r="Z161" s="348"/>
      <c r="AA161" s="348"/>
    </row>
    <row r="162" spans="4:27" x14ac:dyDescent="0.25">
      <c r="F162" s="293" t="s">
        <v>47</v>
      </c>
      <c r="G162" s="293" t="s">
        <v>183</v>
      </c>
      <c r="H162" s="348"/>
      <c r="I162" s="348"/>
      <c r="J162" s="416">
        <f t="shared" ref="J162:Y162" si="23">J57 * (1 - J$116)</f>
        <v>5.9471709866842984E-2</v>
      </c>
      <c r="K162" s="416">
        <f t="shared" si="23"/>
        <v>5.9471709866842984E-2</v>
      </c>
      <c r="L162" s="416">
        <f t="shared" si="23"/>
        <v>7.2526459067774218E-2</v>
      </c>
      <c r="M162" s="416">
        <f t="shared" si="23"/>
        <v>7.2526459067774218E-2</v>
      </c>
      <c r="N162" s="416">
        <f t="shared" si="23"/>
        <v>5.2809255797684439E-2</v>
      </c>
      <c r="O162" s="416">
        <f t="shared" si="23"/>
        <v>5.0995748874706072E-2</v>
      </c>
      <c r="P162" s="416">
        <f t="shared" si="23"/>
        <v>0</v>
      </c>
      <c r="Q162" s="416">
        <f t="shared" si="23"/>
        <v>6.3154122245249869E-2</v>
      </c>
      <c r="R162" s="416">
        <f t="shared" si="23"/>
        <v>-4.4631309368221683E-2</v>
      </c>
      <c r="S162" s="416">
        <f t="shared" si="23"/>
        <v>-4.2657542076666749E-2</v>
      </c>
      <c r="T162" s="416">
        <f t="shared" si="23"/>
        <v>-4.4631309368221683E-2</v>
      </c>
      <c r="U162" s="416">
        <f t="shared" si="23"/>
        <v>-4.4631309368221683E-2</v>
      </c>
      <c r="V162" s="416">
        <f t="shared" si="23"/>
        <v>-4.2657542076666749E-2</v>
      </c>
      <c r="W162" s="416">
        <f t="shared" si="23"/>
        <v>-4.2657542076666749E-2</v>
      </c>
      <c r="X162" s="416">
        <f t="shared" si="23"/>
        <v>-3.5790930540339064E-2</v>
      </c>
      <c r="Y162" s="416">
        <f t="shared" si="23"/>
        <v>-3.5790930540339064E-2</v>
      </c>
      <c r="Z162" s="348"/>
      <c r="AA162" s="348"/>
    </row>
    <row r="163" spans="4:27" x14ac:dyDescent="0.25">
      <c r="F163" s="293" t="s">
        <v>51</v>
      </c>
      <c r="G163" s="293" t="s">
        <v>183</v>
      </c>
      <c r="H163" s="348"/>
      <c r="I163" s="348"/>
      <c r="J163" s="416">
        <f t="shared" ref="J163:Y163" si="24">J58 * (1 - J$117)</f>
        <v>0</v>
      </c>
      <c r="K163" s="416">
        <f t="shared" si="24"/>
        <v>0</v>
      </c>
      <c r="L163" s="416">
        <f t="shared" si="24"/>
        <v>0</v>
      </c>
      <c r="M163" s="416">
        <f t="shared" si="24"/>
        <v>0</v>
      </c>
      <c r="N163" s="416">
        <f t="shared" si="24"/>
        <v>0</v>
      </c>
      <c r="O163" s="416">
        <f t="shared" si="24"/>
        <v>0</v>
      </c>
      <c r="P163" s="416">
        <f t="shared" si="24"/>
        <v>0</v>
      </c>
      <c r="Q163" s="416">
        <f t="shared" si="24"/>
        <v>0</v>
      </c>
      <c r="R163" s="416">
        <f t="shared" si="24"/>
        <v>0</v>
      </c>
      <c r="S163" s="416">
        <f t="shared" si="24"/>
        <v>0</v>
      </c>
      <c r="T163" s="416">
        <f t="shared" si="24"/>
        <v>0</v>
      </c>
      <c r="U163" s="416">
        <f t="shared" si="24"/>
        <v>0</v>
      </c>
      <c r="V163" s="416">
        <f t="shared" si="24"/>
        <v>0</v>
      </c>
      <c r="W163" s="416">
        <f t="shared" si="24"/>
        <v>0</v>
      </c>
      <c r="X163" s="416">
        <f t="shared" si="24"/>
        <v>0</v>
      </c>
      <c r="Y163" s="416">
        <f t="shared" si="24"/>
        <v>0</v>
      </c>
      <c r="Z163" s="348"/>
      <c r="AA163" s="348"/>
    </row>
    <row r="164" spans="4:27" x14ac:dyDescent="0.25">
      <c r="F164" s="293" t="s">
        <v>48</v>
      </c>
      <c r="G164" s="293" t="s">
        <v>183</v>
      </c>
      <c r="H164" s="348"/>
      <c r="I164" s="348"/>
      <c r="J164" s="416">
        <f t="shared" ref="J164:Y164" si="25">J59 * (1 - J$118)</f>
        <v>0.32881613809383498</v>
      </c>
      <c r="K164" s="416">
        <f t="shared" si="25"/>
        <v>0.32881613809383498</v>
      </c>
      <c r="L164" s="416">
        <f t="shared" si="25"/>
        <v>0.40099519979636433</v>
      </c>
      <c r="M164" s="416">
        <f t="shared" si="25"/>
        <v>0.40099519979636433</v>
      </c>
      <c r="N164" s="416">
        <f t="shared" si="25"/>
        <v>0.23358380764075176</v>
      </c>
      <c r="O164" s="416">
        <f t="shared" si="25"/>
        <v>0</v>
      </c>
      <c r="P164" s="416">
        <f t="shared" si="25"/>
        <v>0</v>
      </c>
      <c r="Q164" s="416">
        <f t="shared" si="25"/>
        <v>0.34917601373635038</v>
      </c>
      <c r="R164" s="416">
        <f t="shared" si="25"/>
        <v>-0.24676429881347367</v>
      </c>
      <c r="S164" s="416">
        <f t="shared" si="25"/>
        <v>-0.23585143722334714</v>
      </c>
      <c r="T164" s="416">
        <f t="shared" si="25"/>
        <v>-0.24676429881347367</v>
      </c>
      <c r="U164" s="416">
        <f t="shared" si="25"/>
        <v>-0.24676429881347367</v>
      </c>
      <c r="V164" s="416">
        <f t="shared" si="25"/>
        <v>-0.23585143722334714</v>
      </c>
      <c r="W164" s="416">
        <f t="shared" si="25"/>
        <v>-0.23585143722334714</v>
      </c>
      <c r="X164" s="416">
        <f t="shared" si="25"/>
        <v>0</v>
      </c>
      <c r="Y164" s="416">
        <f t="shared" si="25"/>
        <v>0</v>
      </c>
      <c r="Z164" s="348"/>
      <c r="AA164" s="348"/>
    </row>
    <row r="165" spans="4:27" x14ac:dyDescent="0.25">
      <c r="F165" s="293" t="s">
        <v>49</v>
      </c>
      <c r="G165" s="293" t="s">
        <v>183</v>
      </c>
      <c r="H165" s="348"/>
      <c r="I165" s="348"/>
      <c r="J165" s="416">
        <f t="shared" ref="J165:Y165" si="26">J60 * (1 - J$119)</f>
        <v>5.5178669260555001E-2</v>
      </c>
      <c r="K165" s="416">
        <f t="shared" si="26"/>
        <v>5.5178669260555001E-2</v>
      </c>
      <c r="L165" s="416">
        <f t="shared" si="26"/>
        <v>6.7291044876634093E-2</v>
      </c>
      <c r="M165" s="416">
        <f t="shared" si="26"/>
        <v>6.7291044876634093E-2</v>
      </c>
      <c r="N165" s="416">
        <f t="shared" si="26"/>
        <v>0</v>
      </c>
      <c r="O165" s="416">
        <f t="shared" si="26"/>
        <v>0</v>
      </c>
      <c r="P165" s="416">
        <f t="shared" si="26"/>
        <v>0</v>
      </c>
      <c r="Q165" s="416">
        <f t="shared" si="26"/>
        <v>5.8595262043308852E-2</v>
      </c>
      <c r="R165" s="416">
        <f t="shared" si="26"/>
        <v>-4.1409541844493553E-2</v>
      </c>
      <c r="S165" s="416">
        <f t="shared" si="26"/>
        <v>0</v>
      </c>
      <c r="T165" s="416">
        <f t="shared" si="26"/>
        <v>-4.1409541844493553E-2</v>
      </c>
      <c r="U165" s="416">
        <f t="shared" si="26"/>
        <v>-4.1409541844493553E-2</v>
      </c>
      <c r="V165" s="416">
        <f t="shared" si="26"/>
        <v>0</v>
      </c>
      <c r="W165" s="416">
        <f t="shared" si="26"/>
        <v>0</v>
      </c>
      <c r="X165" s="416">
        <f t="shared" si="26"/>
        <v>0</v>
      </c>
      <c r="Y165" s="416">
        <f t="shared" si="26"/>
        <v>0</v>
      </c>
      <c r="Z165" s="348"/>
      <c r="AA165" s="348"/>
    </row>
    <row r="166" spans="4:27" x14ac:dyDescent="0.25">
      <c r="F166" s="293" t="s">
        <v>50</v>
      </c>
      <c r="G166" s="293" t="s">
        <v>183</v>
      </c>
      <c r="H166" s="348"/>
      <c r="I166" s="348"/>
      <c r="J166" s="416">
        <f t="shared" ref="J166:Y166" si="27">J61 * (1 - J$120)</f>
        <v>0</v>
      </c>
      <c r="K166" s="416">
        <f t="shared" si="27"/>
        <v>0</v>
      </c>
      <c r="L166" s="416">
        <f t="shared" si="27"/>
        <v>0</v>
      </c>
      <c r="M166" s="416">
        <f t="shared" si="27"/>
        <v>0</v>
      </c>
      <c r="N166" s="416">
        <f t="shared" si="27"/>
        <v>0</v>
      </c>
      <c r="O166" s="416">
        <f t="shared" si="27"/>
        <v>0</v>
      </c>
      <c r="P166" s="416">
        <f t="shared" si="27"/>
        <v>0</v>
      </c>
      <c r="Q166" s="416">
        <f t="shared" si="27"/>
        <v>8.5718366163644692E-3</v>
      </c>
      <c r="R166" s="416">
        <f t="shared" si="27"/>
        <v>0</v>
      </c>
      <c r="S166" s="416">
        <f t="shared" si="27"/>
        <v>0</v>
      </c>
      <c r="T166" s="416">
        <f t="shared" si="27"/>
        <v>0</v>
      </c>
      <c r="U166" s="416">
        <f t="shared" si="27"/>
        <v>0</v>
      </c>
      <c r="V166" s="416">
        <f t="shared" si="27"/>
        <v>0</v>
      </c>
      <c r="W166" s="416">
        <f t="shared" si="27"/>
        <v>0</v>
      </c>
      <c r="X166" s="416">
        <f t="shared" si="27"/>
        <v>0</v>
      </c>
      <c r="Y166" s="416">
        <f t="shared" si="27"/>
        <v>0</v>
      </c>
      <c r="Z166" s="348"/>
      <c r="AA166" s="348"/>
    </row>
    <row r="167" spans="4:27" x14ac:dyDescent="0.25">
      <c r="D167" s="293"/>
      <c r="F167" s="91" t="s">
        <v>124</v>
      </c>
      <c r="G167" s="91" t="s">
        <v>183</v>
      </c>
      <c r="H167" s="346"/>
      <c r="I167" s="346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8"/>
      <c r="AA167" s="348"/>
    </row>
    <row r="168" spans="4:27" x14ac:dyDescent="0.25">
      <c r="D168" s="293"/>
      <c r="F168" s="93" t="s">
        <v>123</v>
      </c>
      <c r="G168" s="93" t="s">
        <v>183</v>
      </c>
      <c r="H168" s="350"/>
      <c r="I168" s="350"/>
      <c r="J168" s="355"/>
      <c r="K168" s="355"/>
      <c r="L168" s="355"/>
      <c r="M168" s="355"/>
      <c r="N168" s="355"/>
      <c r="O168" s="355"/>
      <c r="P168" s="355"/>
      <c r="Q168" s="355"/>
      <c r="R168" s="355"/>
      <c r="S168" s="355"/>
      <c r="T168" s="355"/>
      <c r="U168" s="355"/>
      <c r="V168" s="355"/>
      <c r="W168" s="355"/>
      <c r="X168" s="355"/>
      <c r="Y168" s="355"/>
      <c r="Z168" s="348"/>
      <c r="AA168" s="348"/>
    </row>
    <row r="169" spans="4:27" x14ac:dyDescent="0.2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2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25">
      <c r="F171" s="91" t="s">
        <v>267</v>
      </c>
      <c r="G171" s="91" t="s">
        <v>183</v>
      </c>
      <c r="H171" s="346"/>
      <c r="I171" s="346"/>
      <c r="J171" s="530">
        <f t="shared" ref="J171:Y172" si="28">J66 * (1 - J$112)</f>
        <v>0.12558943275634141</v>
      </c>
      <c r="K171" s="530">
        <f t="shared" si="28"/>
        <v>0.12558943275634141</v>
      </c>
      <c r="L171" s="530">
        <f t="shared" si="28"/>
        <v>0.15315781023518263</v>
      </c>
      <c r="M171" s="530">
        <f t="shared" si="28"/>
        <v>0.15315781023518263</v>
      </c>
      <c r="N171" s="530">
        <f t="shared" si="28"/>
        <v>0.11151998983660287</v>
      </c>
      <c r="O171" s="530">
        <f t="shared" si="28"/>
        <v>0.10769031508424581</v>
      </c>
      <c r="P171" s="530">
        <f t="shared" si="28"/>
        <v>9.3526369668848267E-2</v>
      </c>
      <c r="Q171" s="530">
        <f t="shared" si="28"/>
        <v>0.20688925786529602</v>
      </c>
      <c r="R171" s="530">
        <f t="shared" si="28"/>
        <v>-9.4250204665005E-2</v>
      </c>
      <c r="S171" s="530">
        <f t="shared" si="28"/>
        <v>-9.0082099946065239E-2</v>
      </c>
      <c r="T171" s="530">
        <f t="shared" si="28"/>
        <v>-9.4250204665005E-2</v>
      </c>
      <c r="U171" s="530">
        <f t="shared" si="28"/>
        <v>-9.4250204665005E-2</v>
      </c>
      <c r="V171" s="530">
        <f t="shared" si="28"/>
        <v>-9.0082099946065239E-2</v>
      </c>
      <c r="W171" s="530">
        <f t="shared" si="28"/>
        <v>-9.0082099946065239E-2</v>
      </c>
      <c r="X171" s="530">
        <f t="shared" si="28"/>
        <v>-8.821070599062289E-2</v>
      </c>
      <c r="Y171" s="530">
        <f t="shared" si="28"/>
        <v>-8.821070599062289E-2</v>
      </c>
      <c r="Z171" s="348"/>
      <c r="AA171" s="348"/>
    </row>
    <row r="172" spans="4:27" x14ac:dyDescent="0.25">
      <c r="F172" s="293" t="s">
        <v>43</v>
      </c>
      <c r="G172" s="293" t="s">
        <v>183</v>
      </c>
      <c r="H172" s="348"/>
      <c r="I172" s="348"/>
      <c r="J172" s="416">
        <f t="shared" si="28"/>
        <v>0</v>
      </c>
      <c r="K172" s="416">
        <f t="shared" si="28"/>
        <v>0</v>
      </c>
      <c r="L172" s="416">
        <f t="shared" si="28"/>
        <v>0</v>
      </c>
      <c r="M172" s="416">
        <f t="shared" si="28"/>
        <v>0</v>
      </c>
      <c r="N172" s="416">
        <f t="shared" si="28"/>
        <v>0</v>
      </c>
      <c r="O172" s="416">
        <f t="shared" si="28"/>
        <v>0</v>
      </c>
      <c r="P172" s="416">
        <f t="shared" si="28"/>
        <v>0</v>
      </c>
      <c r="Q172" s="416">
        <f t="shared" si="28"/>
        <v>0</v>
      </c>
      <c r="R172" s="416">
        <f t="shared" si="28"/>
        <v>0</v>
      </c>
      <c r="S172" s="416">
        <f t="shared" si="28"/>
        <v>0</v>
      </c>
      <c r="T172" s="416">
        <f t="shared" si="28"/>
        <v>0</v>
      </c>
      <c r="U172" s="416">
        <f t="shared" si="28"/>
        <v>0</v>
      </c>
      <c r="V172" s="416">
        <f t="shared" si="28"/>
        <v>0</v>
      </c>
      <c r="W172" s="416">
        <f t="shared" si="28"/>
        <v>0</v>
      </c>
      <c r="X172" s="416">
        <f t="shared" si="28"/>
        <v>0</v>
      </c>
      <c r="Y172" s="416">
        <f t="shared" si="28"/>
        <v>0</v>
      </c>
      <c r="Z172" s="348"/>
      <c r="AA172" s="348"/>
    </row>
    <row r="173" spans="4:27" x14ac:dyDescent="0.25">
      <c r="F173" s="293" t="s">
        <v>44</v>
      </c>
      <c r="G173" s="293" t="s">
        <v>183</v>
      </c>
      <c r="H173" s="348"/>
      <c r="I173" s="348"/>
      <c r="J173" s="416">
        <f t="shared" ref="J173:Y173" si="29">J68 * (1 - J$113)</f>
        <v>0.13795843558646584</v>
      </c>
      <c r="K173" s="416">
        <f t="shared" si="29"/>
        <v>0.13795843558646584</v>
      </c>
      <c r="L173" s="416">
        <f t="shared" si="29"/>
        <v>0.16824195662136798</v>
      </c>
      <c r="M173" s="416">
        <f t="shared" si="29"/>
        <v>0.16824195662136798</v>
      </c>
      <c r="N173" s="416">
        <f t="shared" si="29"/>
        <v>0.12250332688678742</v>
      </c>
      <c r="O173" s="416">
        <f t="shared" si="29"/>
        <v>0.11829647662841256</v>
      </c>
      <c r="P173" s="416">
        <f t="shared" si="29"/>
        <v>0.10273755810832176</v>
      </c>
      <c r="Q173" s="416">
        <f t="shared" si="29"/>
        <v>0.2272652860063179</v>
      </c>
      <c r="R173" s="416">
        <f t="shared" si="29"/>
        <v>-0.10353268188188205</v>
      </c>
      <c r="S173" s="416">
        <f t="shared" si="29"/>
        <v>-9.8954070499019012E-2</v>
      </c>
      <c r="T173" s="416">
        <f t="shared" si="29"/>
        <v>-0.10353268188188205</v>
      </c>
      <c r="U173" s="416">
        <f t="shared" si="29"/>
        <v>-0.10353268188188205</v>
      </c>
      <c r="V173" s="416">
        <f t="shared" si="29"/>
        <v>-9.8954070499019012E-2</v>
      </c>
      <c r="W173" s="416">
        <f t="shared" si="29"/>
        <v>-9.8954070499019012E-2</v>
      </c>
      <c r="X173" s="416">
        <f t="shared" si="29"/>
        <v>-9.6898367429162163E-2</v>
      </c>
      <c r="Y173" s="416">
        <f t="shared" si="29"/>
        <v>-9.6898367429162163E-2</v>
      </c>
      <c r="Z173" s="348"/>
      <c r="AA173" s="348"/>
    </row>
    <row r="174" spans="4:27" x14ac:dyDescent="0.25">
      <c r="F174" s="293" t="s">
        <v>45</v>
      </c>
      <c r="G174" s="293" t="s">
        <v>183</v>
      </c>
      <c r="H174" s="348"/>
      <c r="I174" s="348"/>
      <c r="J174" s="416">
        <f t="shared" ref="J174:Y174" si="30">J69 * (1 - J$114)</f>
        <v>1.8965899156537198E-2</v>
      </c>
      <c r="K174" s="416">
        <f t="shared" si="30"/>
        <v>1.8965899156537198E-2</v>
      </c>
      <c r="L174" s="416">
        <f t="shared" si="30"/>
        <v>2.3129140089295161E-2</v>
      </c>
      <c r="M174" s="416">
        <f t="shared" si="30"/>
        <v>2.3129140089295161E-2</v>
      </c>
      <c r="N174" s="416">
        <f t="shared" si="30"/>
        <v>1.684120100520373E-2</v>
      </c>
      <c r="O174" s="416">
        <f t="shared" si="30"/>
        <v>1.6262862337997088E-2</v>
      </c>
      <c r="P174" s="416">
        <f t="shared" si="30"/>
        <v>1.4123892884027935E-2</v>
      </c>
      <c r="Q174" s="416">
        <f t="shared" si="30"/>
        <v>2.4480466193512563E-2</v>
      </c>
      <c r="R174" s="416">
        <f t="shared" si="30"/>
        <v>-1.4233202889191471E-2</v>
      </c>
      <c r="S174" s="416">
        <f t="shared" si="30"/>
        <v>-1.3603756191023253E-2</v>
      </c>
      <c r="T174" s="416">
        <f t="shared" si="30"/>
        <v>-1.4233202889191471E-2</v>
      </c>
      <c r="U174" s="416">
        <f t="shared" si="30"/>
        <v>-1.4233202889191471E-2</v>
      </c>
      <c r="V174" s="416">
        <f t="shared" si="30"/>
        <v>-1.3603756191023253E-2</v>
      </c>
      <c r="W174" s="416">
        <f t="shared" si="30"/>
        <v>-1.3603756191023253E-2</v>
      </c>
      <c r="X174" s="416">
        <f t="shared" si="30"/>
        <v>-1.3321147469396707E-2</v>
      </c>
      <c r="Y174" s="416">
        <f t="shared" si="30"/>
        <v>-1.3321147469396707E-2</v>
      </c>
      <c r="Z174" s="348"/>
      <c r="AA174" s="348"/>
    </row>
    <row r="175" spans="4:27" x14ac:dyDescent="0.25">
      <c r="F175" s="293" t="s">
        <v>46</v>
      </c>
      <c r="G175" s="293" t="s">
        <v>183</v>
      </c>
      <c r="H175" s="348"/>
      <c r="I175" s="348"/>
      <c r="J175" s="416">
        <f t="shared" ref="J175:Y175" si="31">J70 * (1 - J$115)</f>
        <v>0.19361726583832187</v>
      </c>
      <c r="K175" s="416">
        <f t="shared" si="31"/>
        <v>0.19361726583832187</v>
      </c>
      <c r="L175" s="416">
        <f t="shared" si="31"/>
        <v>0.23611856355027044</v>
      </c>
      <c r="M175" s="416">
        <f t="shared" si="31"/>
        <v>0.23611856355027044</v>
      </c>
      <c r="N175" s="416">
        <f t="shared" si="31"/>
        <v>0.17192684961299207</v>
      </c>
      <c r="O175" s="416">
        <f t="shared" si="31"/>
        <v>0.16602276088253334</v>
      </c>
      <c r="P175" s="416">
        <f t="shared" si="31"/>
        <v>0.1153493225131377</v>
      </c>
      <c r="Q175" s="416">
        <f t="shared" si="31"/>
        <v>0.2499138528426498</v>
      </c>
      <c r="R175" s="416">
        <f t="shared" si="31"/>
        <v>-0.14530256671629957</v>
      </c>
      <c r="S175" s="416">
        <f t="shared" si="31"/>
        <v>-0.1388767311846221</v>
      </c>
      <c r="T175" s="416">
        <f t="shared" si="31"/>
        <v>-0.14530256671629957</v>
      </c>
      <c r="U175" s="416">
        <f t="shared" si="31"/>
        <v>-0.14530256671629957</v>
      </c>
      <c r="V175" s="416">
        <f t="shared" si="31"/>
        <v>-0.1388767311846221</v>
      </c>
      <c r="W175" s="416">
        <f t="shared" si="31"/>
        <v>-0.1388767311846221</v>
      </c>
      <c r="X175" s="416">
        <f t="shared" si="31"/>
        <v>-0.13599166217039949</v>
      </c>
      <c r="Y175" s="416">
        <f t="shared" si="31"/>
        <v>-0.13599166217039949</v>
      </c>
      <c r="Z175" s="348"/>
      <c r="AA175" s="348"/>
    </row>
    <row r="176" spans="4:27" x14ac:dyDescent="0.25">
      <c r="F176" s="293" t="s">
        <v>47</v>
      </c>
      <c r="G176" s="293" t="s">
        <v>183</v>
      </c>
      <c r="H176" s="348"/>
      <c r="I176" s="348"/>
      <c r="J176" s="416">
        <f t="shared" ref="J176:Y176" si="32">J71 * (1 - J$116)</f>
        <v>3.9536575194596545E-2</v>
      </c>
      <c r="K176" s="416">
        <f t="shared" si="32"/>
        <v>3.9536575194596545E-2</v>
      </c>
      <c r="L176" s="416">
        <f t="shared" si="32"/>
        <v>4.8215324714071493E-2</v>
      </c>
      <c r="M176" s="416">
        <f t="shared" si="32"/>
        <v>4.8215324714071493E-2</v>
      </c>
      <c r="N176" s="416">
        <f t="shared" si="32"/>
        <v>3.5107400098141311E-2</v>
      </c>
      <c r="O176" s="416">
        <f t="shared" si="32"/>
        <v>3.3901787328863418E-2</v>
      </c>
      <c r="P176" s="416">
        <f t="shared" si="32"/>
        <v>0</v>
      </c>
      <c r="Q176" s="416">
        <f t="shared" si="32"/>
        <v>4.1984629474898429E-2</v>
      </c>
      <c r="R176" s="416">
        <f t="shared" si="32"/>
        <v>-2.9670731223650104E-2</v>
      </c>
      <c r="S176" s="416">
        <f t="shared" si="32"/>
        <v>-2.8358577947513945E-2</v>
      </c>
      <c r="T176" s="416">
        <f t="shared" si="32"/>
        <v>-2.9670731223650104E-2</v>
      </c>
      <c r="U176" s="416">
        <f t="shared" si="32"/>
        <v>-2.9670731223650104E-2</v>
      </c>
      <c r="V176" s="416">
        <f t="shared" si="32"/>
        <v>-2.8358577947513945E-2</v>
      </c>
      <c r="W176" s="416">
        <f t="shared" si="32"/>
        <v>-2.8358577947513945E-2</v>
      </c>
      <c r="X176" s="416">
        <f t="shared" si="32"/>
        <v>-2.7769447905167104E-2</v>
      </c>
      <c r="Y176" s="416">
        <f t="shared" si="32"/>
        <v>-2.7769447905167104E-2</v>
      </c>
      <c r="Z176" s="348"/>
      <c r="AA176" s="348"/>
    </row>
    <row r="177" spans="3:27" x14ac:dyDescent="0.25">
      <c r="F177" s="293" t="s">
        <v>51</v>
      </c>
      <c r="G177" s="293" t="s">
        <v>183</v>
      </c>
      <c r="H177" s="348"/>
      <c r="I177" s="348"/>
      <c r="J177" s="416">
        <f t="shared" ref="J177:Y177" si="33">J72 * (1 - J$117)</f>
        <v>0</v>
      </c>
      <c r="K177" s="416">
        <f t="shared" si="33"/>
        <v>0</v>
      </c>
      <c r="L177" s="416">
        <f t="shared" si="33"/>
        <v>0</v>
      </c>
      <c r="M177" s="416">
        <f t="shared" si="33"/>
        <v>0</v>
      </c>
      <c r="N177" s="416">
        <f t="shared" si="33"/>
        <v>0</v>
      </c>
      <c r="O177" s="416">
        <f t="shared" si="33"/>
        <v>0</v>
      </c>
      <c r="P177" s="416">
        <f t="shared" si="33"/>
        <v>0</v>
      </c>
      <c r="Q177" s="416">
        <f t="shared" si="33"/>
        <v>0</v>
      </c>
      <c r="R177" s="416">
        <f t="shared" si="33"/>
        <v>0</v>
      </c>
      <c r="S177" s="416">
        <f t="shared" si="33"/>
        <v>0</v>
      </c>
      <c r="T177" s="416">
        <f t="shared" si="33"/>
        <v>0</v>
      </c>
      <c r="U177" s="416">
        <f t="shared" si="33"/>
        <v>0</v>
      </c>
      <c r="V177" s="416">
        <f t="shared" si="33"/>
        <v>0</v>
      </c>
      <c r="W177" s="416">
        <f t="shared" si="33"/>
        <v>0</v>
      </c>
      <c r="X177" s="416">
        <f t="shared" si="33"/>
        <v>0</v>
      </c>
      <c r="Y177" s="416">
        <f t="shared" si="33"/>
        <v>0</v>
      </c>
      <c r="Z177" s="348"/>
      <c r="AA177" s="348"/>
    </row>
    <row r="178" spans="3:27" x14ac:dyDescent="0.25">
      <c r="F178" s="293" t="s">
        <v>48</v>
      </c>
      <c r="G178" s="293" t="s">
        <v>183</v>
      </c>
      <c r="H178" s="348"/>
      <c r="I178" s="348"/>
      <c r="J178" s="416">
        <f t="shared" ref="J178:Y178" si="34">J73 * (1 - J$118)</f>
        <v>0.32449518975220837</v>
      </c>
      <c r="K178" s="416">
        <f t="shared" si="34"/>
        <v>0.32449518975220837</v>
      </c>
      <c r="L178" s="416">
        <f t="shared" si="34"/>
        <v>0.39572575178932684</v>
      </c>
      <c r="M178" s="416">
        <f t="shared" si="34"/>
        <v>0.39572575178932684</v>
      </c>
      <c r="N178" s="416">
        <f t="shared" si="34"/>
        <v>0.23051430024945666</v>
      </c>
      <c r="O178" s="416">
        <f t="shared" si="34"/>
        <v>0</v>
      </c>
      <c r="P178" s="416">
        <f t="shared" si="34"/>
        <v>0</v>
      </c>
      <c r="Q178" s="416">
        <f t="shared" si="34"/>
        <v>0.3445875177877139</v>
      </c>
      <c r="R178" s="416">
        <f t="shared" si="34"/>
        <v>-0.24352158757091763</v>
      </c>
      <c r="S178" s="416">
        <f t="shared" si="34"/>
        <v>-0.23275213108086798</v>
      </c>
      <c r="T178" s="416">
        <f t="shared" si="34"/>
        <v>-0.24352158757091763</v>
      </c>
      <c r="U178" s="416">
        <f t="shared" si="34"/>
        <v>-0.24352158757091763</v>
      </c>
      <c r="V178" s="416">
        <f t="shared" si="34"/>
        <v>-0.23275213108086798</v>
      </c>
      <c r="W178" s="416">
        <f t="shared" si="34"/>
        <v>-0.23275213108086798</v>
      </c>
      <c r="X178" s="416">
        <f t="shared" si="34"/>
        <v>0</v>
      </c>
      <c r="Y178" s="416">
        <f t="shared" si="34"/>
        <v>0</v>
      </c>
      <c r="Z178" s="348"/>
      <c r="AA178" s="348"/>
    </row>
    <row r="179" spans="3:27" x14ac:dyDescent="0.25">
      <c r="F179" s="293" t="s">
        <v>49</v>
      </c>
      <c r="G179" s="293" t="s">
        <v>183</v>
      </c>
      <c r="H179" s="348"/>
      <c r="I179" s="348"/>
      <c r="J179" s="416">
        <f t="shared" ref="J179:Y179" si="35">J74 * (1 - J$119)</f>
        <v>0.12691741100442636</v>
      </c>
      <c r="K179" s="416">
        <f t="shared" si="35"/>
        <v>0.12691741100442636</v>
      </c>
      <c r="L179" s="416">
        <f t="shared" si="35"/>
        <v>0.15477729553782948</v>
      </c>
      <c r="M179" s="416">
        <f t="shared" si="35"/>
        <v>0.15477729553782948</v>
      </c>
      <c r="N179" s="416">
        <f t="shared" si="35"/>
        <v>0</v>
      </c>
      <c r="O179" s="416">
        <f t="shared" si="35"/>
        <v>0</v>
      </c>
      <c r="P179" s="416">
        <f t="shared" si="35"/>
        <v>0</v>
      </c>
      <c r="Q179" s="416">
        <f t="shared" si="35"/>
        <v>0.13477597512448405</v>
      </c>
      <c r="R179" s="416">
        <f t="shared" si="35"/>
        <v>-9.5246803016679316E-2</v>
      </c>
      <c r="S179" s="416">
        <f t="shared" si="35"/>
        <v>0</v>
      </c>
      <c r="T179" s="416">
        <f t="shared" si="35"/>
        <v>-9.5246803016679316E-2</v>
      </c>
      <c r="U179" s="416">
        <f t="shared" si="35"/>
        <v>-9.5246803016679316E-2</v>
      </c>
      <c r="V179" s="416">
        <f t="shared" si="35"/>
        <v>0</v>
      </c>
      <c r="W179" s="416">
        <f t="shared" si="35"/>
        <v>0</v>
      </c>
      <c r="X179" s="416">
        <f t="shared" si="35"/>
        <v>0</v>
      </c>
      <c r="Y179" s="416">
        <f t="shared" si="35"/>
        <v>0</v>
      </c>
      <c r="Z179" s="348"/>
      <c r="AA179" s="348"/>
    </row>
    <row r="180" spans="3:27" x14ac:dyDescent="0.25">
      <c r="F180" s="293" t="s">
        <v>50</v>
      </c>
      <c r="G180" s="293" t="s">
        <v>183</v>
      </c>
      <c r="H180" s="348"/>
      <c r="I180" s="348"/>
      <c r="J180" s="416">
        <f t="shared" ref="J180:Y180" si="36">J75 * (1 - J$120)</f>
        <v>0</v>
      </c>
      <c r="K180" s="416">
        <f t="shared" si="36"/>
        <v>0</v>
      </c>
      <c r="L180" s="416">
        <f t="shared" si="36"/>
        <v>0</v>
      </c>
      <c r="M180" s="416">
        <f t="shared" si="36"/>
        <v>0</v>
      </c>
      <c r="N180" s="416">
        <f t="shared" si="36"/>
        <v>0</v>
      </c>
      <c r="O180" s="416">
        <f t="shared" si="36"/>
        <v>0</v>
      </c>
      <c r="P180" s="416">
        <f t="shared" si="36"/>
        <v>0</v>
      </c>
      <c r="Q180" s="416">
        <f t="shared" si="36"/>
        <v>8.2525960660009792E-2</v>
      </c>
      <c r="R180" s="416">
        <f t="shared" si="36"/>
        <v>0</v>
      </c>
      <c r="S180" s="416">
        <f t="shared" si="36"/>
        <v>0</v>
      </c>
      <c r="T180" s="416">
        <f t="shared" si="36"/>
        <v>0</v>
      </c>
      <c r="U180" s="416">
        <f t="shared" si="36"/>
        <v>0</v>
      </c>
      <c r="V180" s="416">
        <f t="shared" si="36"/>
        <v>0</v>
      </c>
      <c r="W180" s="416">
        <f t="shared" si="36"/>
        <v>0</v>
      </c>
      <c r="X180" s="416">
        <f t="shared" si="36"/>
        <v>0</v>
      </c>
      <c r="Y180" s="416">
        <f t="shared" si="36"/>
        <v>0</v>
      </c>
      <c r="Z180" s="348"/>
      <c r="AA180" s="348"/>
    </row>
    <row r="181" spans="3:27" x14ac:dyDescent="0.25">
      <c r="F181" s="91" t="s">
        <v>124</v>
      </c>
      <c r="G181" s="91" t="s">
        <v>183</v>
      </c>
      <c r="H181" s="346"/>
      <c r="I181" s="346" t="s">
        <v>359</v>
      </c>
      <c r="J181" s="358"/>
      <c r="K181" s="358"/>
      <c r="L181" s="358"/>
      <c r="M181" s="358"/>
      <c r="N181" s="358"/>
      <c r="O181" s="358"/>
      <c r="P181" s="358"/>
      <c r="Q181" s="359">
        <f>Q76</f>
        <v>0.38393089804388564</v>
      </c>
      <c r="R181" s="358"/>
      <c r="S181" s="358"/>
      <c r="T181" s="358"/>
      <c r="U181" s="358"/>
      <c r="V181" s="358"/>
      <c r="W181" s="358"/>
      <c r="X181" s="358"/>
      <c r="Y181" s="358"/>
      <c r="Z181" s="348"/>
      <c r="AA181" s="348" t="s">
        <v>730</v>
      </c>
    </row>
    <row r="182" spans="3:27" x14ac:dyDescent="0.25">
      <c r="F182" s="93" t="s">
        <v>123</v>
      </c>
      <c r="G182" s="93" t="s">
        <v>183</v>
      </c>
      <c r="H182" s="350"/>
      <c r="I182" s="350"/>
      <c r="J182" s="355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48"/>
      <c r="AA182" s="348"/>
    </row>
    <row r="183" spans="3:27" x14ac:dyDescent="0.2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25">
      <c r="C184" s="7" t="str">
        <f ca="1">INDEX('Version control'!$H$34:$H$60,MATCH($A$1,'Version control'!$F$34:$F$60,0),1)&amp;"-G: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2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731</v>
      </c>
    </row>
    <row r="186" spans="3:27" x14ac:dyDescent="0.2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25">
      <c r="F187" s="91" t="s">
        <v>267</v>
      </c>
      <c r="G187" s="91" t="s">
        <v>183</v>
      </c>
      <c r="H187" s="346"/>
      <c r="I187" s="346"/>
      <c r="J187" s="530">
        <f t="shared" ref="J187:Y188" si="37">J82 * (1 - J$112)</f>
        <v>0</v>
      </c>
      <c r="K187" s="530">
        <f t="shared" si="37"/>
        <v>0</v>
      </c>
      <c r="L187" s="530">
        <f t="shared" si="37"/>
        <v>0</v>
      </c>
      <c r="M187" s="530">
        <f t="shared" si="37"/>
        <v>0</v>
      </c>
      <c r="N187" s="530">
        <f t="shared" si="37"/>
        <v>0</v>
      </c>
      <c r="O187" s="530">
        <f t="shared" si="37"/>
        <v>0</v>
      </c>
      <c r="P187" s="530">
        <f t="shared" si="37"/>
        <v>0</v>
      </c>
      <c r="Q187" s="530">
        <f t="shared" si="37"/>
        <v>0</v>
      </c>
      <c r="R187" s="530">
        <f t="shared" si="37"/>
        <v>0</v>
      </c>
      <c r="S187" s="530">
        <f t="shared" si="37"/>
        <v>0</v>
      </c>
      <c r="T187" s="530">
        <f t="shared" si="37"/>
        <v>0</v>
      </c>
      <c r="U187" s="530">
        <f t="shared" si="37"/>
        <v>0</v>
      </c>
      <c r="V187" s="530">
        <f t="shared" si="37"/>
        <v>0</v>
      </c>
      <c r="W187" s="530">
        <f t="shared" si="37"/>
        <v>0</v>
      </c>
      <c r="X187" s="530">
        <f t="shared" si="37"/>
        <v>0</v>
      </c>
      <c r="Y187" s="530">
        <f t="shared" si="37"/>
        <v>0</v>
      </c>
      <c r="Z187" s="348"/>
      <c r="AA187" s="348"/>
    </row>
    <row r="188" spans="3:27" x14ac:dyDescent="0.25">
      <c r="F188" s="293" t="s">
        <v>43</v>
      </c>
      <c r="G188" s="293" t="s">
        <v>183</v>
      </c>
      <c r="H188" s="348"/>
      <c r="I188" s="348"/>
      <c r="J188" s="416">
        <f t="shared" si="37"/>
        <v>0</v>
      </c>
      <c r="K188" s="416">
        <f t="shared" si="37"/>
        <v>0</v>
      </c>
      <c r="L188" s="416">
        <f t="shared" si="37"/>
        <v>0</v>
      </c>
      <c r="M188" s="416">
        <f t="shared" si="37"/>
        <v>0</v>
      </c>
      <c r="N188" s="416">
        <f t="shared" si="37"/>
        <v>0</v>
      </c>
      <c r="O188" s="416">
        <f t="shared" si="37"/>
        <v>0</v>
      </c>
      <c r="P188" s="416">
        <f t="shared" si="37"/>
        <v>0</v>
      </c>
      <c r="Q188" s="416">
        <f t="shared" si="37"/>
        <v>0</v>
      </c>
      <c r="R188" s="416">
        <f t="shared" si="37"/>
        <v>0</v>
      </c>
      <c r="S188" s="416">
        <f t="shared" si="37"/>
        <v>0</v>
      </c>
      <c r="T188" s="416">
        <f t="shared" si="37"/>
        <v>0</v>
      </c>
      <c r="U188" s="416">
        <f t="shared" si="37"/>
        <v>0</v>
      </c>
      <c r="V188" s="416">
        <f t="shared" si="37"/>
        <v>0</v>
      </c>
      <c r="W188" s="416">
        <f t="shared" si="37"/>
        <v>0</v>
      </c>
      <c r="X188" s="416">
        <f t="shared" si="37"/>
        <v>0</v>
      </c>
      <c r="Y188" s="416">
        <f t="shared" si="37"/>
        <v>0</v>
      </c>
      <c r="Z188" s="348"/>
      <c r="AA188" s="348"/>
    </row>
    <row r="189" spans="3:27" x14ac:dyDescent="0.25">
      <c r="F189" s="293" t="s">
        <v>44</v>
      </c>
      <c r="G189" s="293" t="s">
        <v>183</v>
      </c>
      <c r="H189" s="348"/>
      <c r="I189" s="348"/>
      <c r="J189" s="416">
        <f t="shared" ref="J189:Y189" si="38">J84 * (1 - J$113)</f>
        <v>2.2367655005322923E-2</v>
      </c>
      <c r="K189" s="416">
        <f t="shared" si="38"/>
        <v>2.2367655005322923E-2</v>
      </c>
      <c r="L189" s="416">
        <f t="shared" si="38"/>
        <v>2.7277621894811074E-2</v>
      </c>
      <c r="M189" s="416">
        <f t="shared" si="38"/>
        <v>2.7277621894811074E-2</v>
      </c>
      <c r="N189" s="416">
        <f t="shared" si="38"/>
        <v>1.9861867388968668E-2</v>
      </c>
      <c r="O189" s="416">
        <f t="shared" si="38"/>
        <v>1.9179796917247454E-2</v>
      </c>
      <c r="P189" s="416">
        <f t="shared" si="38"/>
        <v>1.66571782732052E-2</v>
      </c>
      <c r="Q189" s="416">
        <f t="shared" si="38"/>
        <v>2.1239901083343581E-2</v>
      </c>
      <c r="R189" s="416">
        <f t="shared" si="38"/>
        <v>-1.6786094306341721E-2</v>
      </c>
      <c r="S189" s="416">
        <f t="shared" si="38"/>
        <v>-1.6043748980519745E-2</v>
      </c>
      <c r="T189" s="416">
        <f t="shared" si="38"/>
        <v>-1.6786094306341721E-2</v>
      </c>
      <c r="U189" s="416">
        <f t="shared" si="38"/>
        <v>-1.6786094306341721E-2</v>
      </c>
      <c r="V189" s="416">
        <f t="shared" si="38"/>
        <v>-1.6043748980519745E-2</v>
      </c>
      <c r="W189" s="416">
        <f t="shared" si="38"/>
        <v>-1.6043748980519745E-2</v>
      </c>
      <c r="X189" s="416">
        <f t="shared" si="38"/>
        <v>-1.5710451079130286E-2</v>
      </c>
      <c r="Y189" s="416">
        <f t="shared" si="38"/>
        <v>-1.5710451079130286E-2</v>
      </c>
      <c r="Z189" s="348"/>
      <c r="AA189" s="348"/>
    </row>
    <row r="190" spans="3:27" x14ac:dyDescent="0.25">
      <c r="F190" s="293" t="s">
        <v>45</v>
      </c>
      <c r="G190" s="293" t="s">
        <v>183</v>
      </c>
      <c r="H190" s="348"/>
      <c r="I190" s="348"/>
      <c r="J190" s="416">
        <f t="shared" ref="J190:Y190" si="39">J85 * (1 - J$114)</f>
        <v>4.4006040585410494E-3</v>
      </c>
      <c r="K190" s="416">
        <f t="shared" si="39"/>
        <v>4.4006040585410494E-3</v>
      </c>
      <c r="L190" s="416">
        <f t="shared" si="39"/>
        <v>5.3665891032872197E-3</v>
      </c>
      <c r="M190" s="416">
        <f t="shared" si="39"/>
        <v>5.3665891032872197E-3</v>
      </c>
      <c r="N190" s="416">
        <f t="shared" si="39"/>
        <v>3.9076163424954357E-3</v>
      </c>
      <c r="O190" s="416">
        <f t="shared" si="39"/>
        <v>3.7734260536451685E-3</v>
      </c>
      <c r="P190" s="416">
        <f t="shared" si="39"/>
        <v>3.2771270075233512E-3</v>
      </c>
      <c r="Q190" s="416">
        <f t="shared" si="39"/>
        <v>4.1787301748050553E-3</v>
      </c>
      <c r="R190" s="416">
        <f t="shared" si="39"/>
        <v>-3.3024898995429467E-3</v>
      </c>
      <c r="S190" s="416">
        <f t="shared" si="39"/>
        <v>-3.1564411584981771E-3</v>
      </c>
      <c r="T190" s="416">
        <f t="shared" si="39"/>
        <v>-3.3024898995429467E-3</v>
      </c>
      <c r="U190" s="416">
        <f t="shared" si="39"/>
        <v>-3.3024898995429467E-3</v>
      </c>
      <c r="V190" s="416">
        <f t="shared" si="39"/>
        <v>-3.1564411584981771E-3</v>
      </c>
      <c r="W190" s="416">
        <f t="shared" si="39"/>
        <v>-3.1564411584981771E-3</v>
      </c>
      <c r="X190" s="416">
        <f t="shared" si="39"/>
        <v>-3.0908682543556278E-3</v>
      </c>
      <c r="Y190" s="416">
        <f t="shared" si="39"/>
        <v>-3.0908682543556278E-3</v>
      </c>
      <c r="Z190" s="348"/>
      <c r="AA190" s="348"/>
    </row>
    <row r="191" spans="3:27" x14ac:dyDescent="0.25">
      <c r="F191" s="293" t="s">
        <v>46</v>
      </c>
      <c r="G191" s="293" t="s">
        <v>183</v>
      </c>
      <c r="H191" s="348"/>
      <c r="I191" s="348"/>
      <c r="J191" s="416">
        <f t="shared" ref="J191:Y191" si="40">J86 * (1 - J$115)</f>
        <v>4.4924467794507948E-2</v>
      </c>
      <c r="K191" s="416">
        <f t="shared" si="40"/>
        <v>4.4924467794507948E-2</v>
      </c>
      <c r="L191" s="416">
        <f t="shared" si="40"/>
        <v>5.4785923961746724E-2</v>
      </c>
      <c r="M191" s="416">
        <f t="shared" si="40"/>
        <v>5.4785923961746724E-2</v>
      </c>
      <c r="N191" s="416">
        <f t="shared" si="40"/>
        <v>3.9891701729223308E-2</v>
      </c>
      <c r="O191" s="416">
        <f t="shared" si="40"/>
        <v>3.8521792682739316E-2</v>
      </c>
      <c r="P191" s="416">
        <f t="shared" si="40"/>
        <v>1.8883995579324912E-2</v>
      </c>
      <c r="Q191" s="416">
        <f t="shared" si="40"/>
        <v>4.2659422811650596E-2</v>
      </c>
      <c r="R191" s="416">
        <f t="shared" si="40"/>
        <v>-3.3714144503809815E-2</v>
      </c>
      <c r="S191" s="416">
        <f t="shared" si="40"/>
        <v>-3.2223176019435536E-2</v>
      </c>
      <c r="T191" s="416">
        <f t="shared" si="40"/>
        <v>-3.3714144503809815E-2</v>
      </c>
      <c r="U191" s="416">
        <f t="shared" si="40"/>
        <v>-3.3714144503809815E-2</v>
      </c>
      <c r="V191" s="416">
        <f t="shared" si="40"/>
        <v>-3.2223176019435536E-2</v>
      </c>
      <c r="W191" s="416">
        <f t="shared" si="40"/>
        <v>-3.2223176019435536E-2</v>
      </c>
      <c r="X191" s="416">
        <f t="shared" si="40"/>
        <v>-2.2263381277843063E-2</v>
      </c>
      <c r="Y191" s="416">
        <f t="shared" si="40"/>
        <v>-2.2263381277843063E-2</v>
      </c>
      <c r="Z191" s="348"/>
      <c r="AA191" s="348"/>
    </row>
    <row r="192" spans="3:27" x14ac:dyDescent="0.25">
      <c r="F192" s="293" t="s">
        <v>47</v>
      </c>
      <c r="G192" s="293" t="s">
        <v>183</v>
      </c>
      <c r="H192" s="348"/>
      <c r="I192" s="348"/>
      <c r="J192" s="416">
        <f t="shared" ref="J192:Y192" si="41">J87 * (1 - J$116)</f>
        <v>5.1957440222328687E-3</v>
      </c>
      <c r="K192" s="416">
        <f t="shared" si="41"/>
        <v>5.1957440222328687E-3</v>
      </c>
      <c r="L192" s="416">
        <f t="shared" si="41"/>
        <v>6.3362717668421472E-3</v>
      </c>
      <c r="M192" s="416">
        <f t="shared" si="41"/>
        <v>6.3362717668421472E-3</v>
      </c>
      <c r="N192" s="416">
        <f t="shared" si="41"/>
        <v>4.6136789364847452E-3</v>
      </c>
      <c r="O192" s="416">
        <f t="shared" si="41"/>
        <v>4.4552419624101841E-3</v>
      </c>
      <c r="P192" s="416">
        <f t="shared" si="41"/>
        <v>0</v>
      </c>
      <c r="Q192" s="416">
        <f t="shared" si="41"/>
        <v>4.9337800077986597E-3</v>
      </c>
      <c r="R192" s="416">
        <f t="shared" si="41"/>
        <v>-3.8992129093575957E-3</v>
      </c>
      <c r="S192" s="416">
        <f t="shared" si="41"/>
        <v>-3.7267747933300483E-3</v>
      </c>
      <c r="T192" s="416">
        <f t="shared" si="41"/>
        <v>-3.8992129093575957E-3</v>
      </c>
      <c r="U192" s="416">
        <f t="shared" si="41"/>
        <v>-3.8992129093575957E-3</v>
      </c>
      <c r="V192" s="416">
        <f t="shared" si="41"/>
        <v>-3.7267747933300483E-3</v>
      </c>
      <c r="W192" s="416">
        <f t="shared" si="41"/>
        <v>-3.7267747933300483E-3</v>
      </c>
      <c r="X192" s="416">
        <f t="shared" si="41"/>
        <v>-3.1268734970204101E-3</v>
      </c>
      <c r="Y192" s="416">
        <f t="shared" si="41"/>
        <v>-3.1268734970204101E-3</v>
      </c>
      <c r="Z192" s="348"/>
      <c r="AA192" s="348"/>
    </row>
    <row r="193" spans="4:27" x14ac:dyDescent="0.25">
      <c r="F193" s="293" t="s">
        <v>51</v>
      </c>
      <c r="G193" s="293" t="s">
        <v>183</v>
      </c>
      <c r="H193" s="348"/>
      <c r="I193" s="348"/>
      <c r="J193" s="416">
        <f t="shared" ref="J193:Y193" si="42">J88 * (1 - J$117)</f>
        <v>0</v>
      </c>
      <c r="K193" s="416">
        <f t="shared" si="42"/>
        <v>0</v>
      </c>
      <c r="L193" s="416">
        <f t="shared" si="42"/>
        <v>0</v>
      </c>
      <c r="M193" s="416">
        <f t="shared" si="42"/>
        <v>0</v>
      </c>
      <c r="N193" s="416">
        <f t="shared" si="42"/>
        <v>0</v>
      </c>
      <c r="O193" s="416">
        <f t="shared" si="42"/>
        <v>0</v>
      </c>
      <c r="P193" s="416">
        <f t="shared" si="42"/>
        <v>0</v>
      </c>
      <c r="Q193" s="416">
        <f t="shared" si="42"/>
        <v>0</v>
      </c>
      <c r="R193" s="416">
        <f t="shared" si="42"/>
        <v>0</v>
      </c>
      <c r="S193" s="416">
        <f t="shared" si="42"/>
        <v>0</v>
      </c>
      <c r="T193" s="416">
        <f t="shared" si="42"/>
        <v>0</v>
      </c>
      <c r="U193" s="416">
        <f t="shared" si="42"/>
        <v>0</v>
      </c>
      <c r="V193" s="416">
        <f t="shared" si="42"/>
        <v>0</v>
      </c>
      <c r="W193" s="416">
        <f t="shared" si="42"/>
        <v>0</v>
      </c>
      <c r="X193" s="416">
        <f t="shared" si="42"/>
        <v>0</v>
      </c>
      <c r="Y193" s="416">
        <f t="shared" si="42"/>
        <v>0</v>
      </c>
      <c r="Z193" s="348"/>
      <c r="AA193" s="348"/>
    </row>
    <row r="194" spans="4:27" x14ac:dyDescent="0.25">
      <c r="F194" s="293" t="s">
        <v>48</v>
      </c>
      <c r="G194" s="293" t="s">
        <v>183</v>
      </c>
      <c r="H194" s="348"/>
      <c r="I194" s="348"/>
      <c r="J194" s="416">
        <f t="shared" ref="J194:Y194" si="43">J89 * (1 - J$118)</f>
        <v>2.8727011342703002E-2</v>
      </c>
      <c r="K194" s="416">
        <f t="shared" si="43"/>
        <v>2.8727011342703002E-2</v>
      </c>
      <c r="L194" s="416">
        <f t="shared" si="43"/>
        <v>3.5032932749889251E-2</v>
      </c>
      <c r="M194" s="416">
        <f t="shared" si="43"/>
        <v>3.5032932749889251E-2</v>
      </c>
      <c r="N194" s="416">
        <f t="shared" si="43"/>
        <v>2.040704185161599E-2</v>
      </c>
      <c r="O194" s="416">
        <f t="shared" si="43"/>
        <v>0</v>
      </c>
      <c r="P194" s="416">
        <f t="shared" si="43"/>
        <v>0</v>
      </c>
      <c r="Q194" s="416">
        <f t="shared" si="43"/>
        <v>2.7278625282529573E-2</v>
      </c>
      <c r="R194" s="416">
        <f t="shared" si="43"/>
        <v>-2.155855503955182E-2</v>
      </c>
      <c r="S194" s="416">
        <f t="shared" si="43"/>
        <v>-2.0605153237261167E-2</v>
      </c>
      <c r="T194" s="416">
        <f t="shared" si="43"/>
        <v>-2.155855503955182E-2</v>
      </c>
      <c r="U194" s="416">
        <f t="shared" si="43"/>
        <v>-2.155855503955182E-2</v>
      </c>
      <c r="V194" s="416">
        <f t="shared" si="43"/>
        <v>-2.0605153237261167E-2</v>
      </c>
      <c r="W194" s="416">
        <f t="shared" si="43"/>
        <v>-2.0605153237261167E-2</v>
      </c>
      <c r="X194" s="416">
        <f t="shared" si="43"/>
        <v>0</v>
      </c>
      <c r="Y194" s="416">
        <f t="shared" si="43"/>
        <v>0</v>
      </c>
      <c r="Z194" s="348"/>
      <c r="AA194" s="348"/>
    </row>
    <row r="195" spans="4:27" x14ac:dyDescent="0.25">
      <c r="F195" s="293" t="s">
        <v>49</v>
      </c>
      <c r="G195" s="293" t="s">
        <v>183</v>
      </c>
      <c r="H195" s="348"/>
      <c r="I195" s="348"/>
      <c r="J195" s="416">
        <f t="shared" ref="J195:Y195" si="44">J90 * (1 - J$119)</f>
        <v>4.8206826675607764E-3</v>
      </c>
      <c r="K195" s="416">
        <f t="shared" si="44"/>
        <v>4.8206826675607764E-3</v>
      </c>
      <c r="L195" s="416">
        <f t="shared" si="44"/>
        <v>5.8788799741993194E-3</v>
      </c>
      <c r="M195" s="416">
        <f t="shared" si="44"/>
        <v>5.8788799741993194E-3</v>
      </c>
      <c r="N195" s="416">
        <f t="shared" si="44"/>
        <v>0</v>
      </c>
      <c r="O195" s="416">
        <f t="shared" si="44"/>
        <v>0</v>
      </c>
      <c r="P195" s="416">
        <f t="shared" si="44"/>
        <v>0</v>
      </c>
      <c r="Q195" s="416">
        <f t="shared" si="44"/>
        <v>4.5776288568834516E-3</v>
      </c>
      <c r="R195" s="416">
        <f t="shared" si="44"/>
        <v>-3.6177432931331069E-3</v>
      </c>
      <c r="S195" s="416">
        <f t="shared" si="44"/>
        <v>0</v>
      </c>
      <c r="T195" s="416">
        <f t="shared" si="44"/>
        <v>-3.6177432931331069E-3</v>
      </c>
      <c r="U195" s="416">
        <f t="shared" si="44"/>
        <v>-3.6177432931331069E-3</v>
      </c>
      <c r="V195" s="416">
        <f t="shared" si="44"/>
        <v>0</v>
      </c>
      <c r="W195" s="416">
        <f t="shared" si="44"/>
        <v>0</v>
      </c>
      <c r="X195" s="416">
        <f t="shared" si="44"/>
        <v>0</v>
      </c>
      <c r="Y195" s="416">
        <f t="shared" si="44"/>
        <v>0</v>
      </c>
      <c r="Z195" s="348"/>
      <c r="AA195" s="348"/>
    </row>
    <row r="196" spans="4:27" x14ac:dyDescent="0.25">
      <c r="F196" s="293" t="s">
        <v>50</v>
      </c>
      <c r="G196" s="293" t="s">
        <v>183</v>
      </c>
      <c r="H196" s="348"/>
      <c r="I196" s="348"/>
      <c r="J196" s="416">
        <f t="shared" ref="J196:Y196" si="45">J91 * (1 - J$120)</f>
        <v>0</v>
      </c>
      <c r="K196" s="416">
        <f t="shared" si="45"/>
        <v>0</v>
      </c>
      <c r="L196" s="416">
        <f t="shared" si="45"/>
        <v>0</v>
      </c>
      <c r="M196" s="416">
        <f t="shared" si="45"/>
        <v>0</v>
      </c>
      <c r="N196" s="416">
        <f t="shared" si="45"/>
        <v>0</v>
      </c>
      <c r="O196" s="416">
        <f t="shared" si="45"/>
        <v>0</v>
      </c>
      <c r="P196" s="416">
        <f t="shared" si="45"/>
        <v>0</v>
      </c>
      <c r="Q196" s="416">
        <f t="shared" si="45"/>
        <v>6.6965630467798144E-4</v>
      </c>
      <c r="R196" s="416">
        <f t="shared" si="45"/>
        <v>0</v>
      </c>
      <c r="S196" s="416">
        <f t="shared" si="45"/>
        <v>0</v>
      </c>
      <c r="T196" s="416">
        <f t="shared" si="45"/>
        <v>0</v>
      </c>
      <c r="U196" s="416">
        <f t="shared" si="45"/>
        <v>0</v>
      </c>
      <c r="V196" s="416">
        <f t="shared" si="45"/>
        <v>0</v>
      </c>
      <c r="W196" s="416">
        <f t="shared" si="45"/>
        <v>0</v>
      </c>
      <c r="X196" s="416">
        <f t="shared" si="45"/>
        <v>0</v>
      </c>
      <c r="Y196" s="416">
        <f t="shared" si="45"/>
        <v>0</v>
      </c>
      <c r="Z196" s="348"/>
      <c r="AA196" s="348"/>
    </row>
    <row r="197" spans="4:27" x14ac:dyDescent="0.25">
      <c r="D197" s="293"/>
      <c r="F197" s="91" t="s">
        <v>124</v>
      </c>
      <c r="G197" s="91" t="s">
        <v>183</v>
      </c>
      <c r="H197" s="346"/>
      <c r="I197" s="346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8"/>
      <c r="AA197" s="348"/>
    </row>
    <row r="198" spans="4:27" x14ac:dyDescent="0.25">
      <c r="D198" s="293"/>
      <c r="F198" s="93" t="s">
        <v>123</v>
      </c>
      <c r="G198" s="93" t="s">
        <v>183</v>
      </c>
      <c r="H198" s="350"/>
      <c r="I198" s="350"/>
      <c r="J198" s="355"/>
      <c r="K198" s="355"/>
      <c r="L198" s="355"/>
      <c r="M198" s="355"/>
      <c r="N198" s="355"/>
      <c r="O198" s="355"/>
      <c r="P198" s="355"/>
      <c r="Q198" s="355"/>
      <c r="R198" s="355"/>
      <c r="S198" s="355"/>
      <c r="T198" s="355"/>
      <c r="U198" s="355"/>
      <c r="V198" s="355"/>
      <c r="W198" s="355"/>
      <c r="X198" s="355"/>
      <c r="Y198" s="355"/>
      <c r="Z198" s="348"/>
      <c r="AA198" s="348"/>
    </row>
    <row r="199" spans="4:27" x14ac:dyDescent="0.2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2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25">
      <c r="F201" s="91" t="s">
        <v>267</v>
      </c>
      <c r="G201" s="91" t="s">
        <v>183</v>
      </c>
      <c r="H201" s="346"/>
      <c r="I201" s="346"/>
      <c r="J201" s="530">
        <f t="shared" ref="J201:Y202" si="46">J96 * (1 - J$112)</f>
        <v>1.3536734621334564E-2</v>
      </c>
      <c r="K201" s="530">
        <f t="shared" si="46"/>
        <v>1.3536734621334564E-2</v>
      </c>
      <c r="L201" s="530">
        <f t="shared" si="46"/>
        <v>1.6508209224583039E-2</v>
      </c>
      <c r="M201" s="530">
        <f t="shared" si="46"/>
        <v>1.6508209224583039E-2</v>
      </c>
      <c r="N201" s="530">
        <f t="shared" si="46"/>
        <v>1.2020251021603529E-2</v>
      </c>
      <c r="O201" s="530">
        <f t="shared" si="46"/>
        <v>1.1607467161760315E-2</v>
      </c>
      <c r="P201" s="530">
        <f t="shared" si="46"/>
        <v>1.0080797552134072E-2</v>
      </c>
      <c r="Q201" s="530">
        <f t="shared" si="46"/>
        <v>1.2854226528449073E-2</v>
      </c>
      <c r="R201" s="530">
        <f t="shared" si="46"/>
        <v>-1.015881655451E-2</v>
      </c>
      <c r="S201" s="530">
        <f t="shared" si="46"/>
        <v>-9.709554811575892E-3</v>
      </c>
      <c r="T201" s="530">
        <f t="shared" si="46"/>
        <v>-1.015881655451E-2</v>
      </c>
      <c r="U201" s="530">
        <f t="shared" si="46"/>
        <v>-1.015881655451E-2</v>
      </c>
      <c r="V201" s="530">
        <f t="shared" si="46"/>
        <v>-9.709554811575892E-3</v>
      </c>
      <c r="W201" s="530">
        <f t="shared" si="46"/>
        <v>-9.709554811575892E-3</v>
      </c>
      <c r="X201" s="530">
        <f t="shared" si="46"/>
        <v>-9.507845457605477E-3</v>
      </c>
      <c r="Y201" s="530">
        <f t="shared" si="46"/>
        <v>-9.507845457605477E-3</v>
      </c>
      <c r="Z201" s="348"/>
      <c r="AA201" s="348"/>
    </row>
    <row r="202" spans="4:27" x14ac:dyDescent="0.25">
      <c r="F202" s="293" t="s">
        <v>43</v>
      </c>
      <c r="G202" s="293" t="s">
        <v>183</v>
      </c>
      <c r="H202" s="348"/>
      <c r="I202" s="348"/>
      <c r="J202" s="416">
        <f t="shared" si="46"/>
        <v>0</v>
      </c>
      <c r="K202" s="416">
        <f t="shared" si="46"/>
        <v>0</v>
      </c>
      <c r="L202" s="416">
        <f t="shared" si="46"/>
        <v>0</v>
      </c>
      <c r="M202" s="416">
        <f t="shared" si="46"/>
        <v>0</v>
      </c>
      <c r="N202" s="416">
        <f t="shared" si="46"/>
        <v>0</v>
      </c>
      <c r="O202" s="416">
        <f t="shared" si="46"/>
        <v>0</v>
      </c>
      <c r="P202" s="416">
        <f t="shared" si="46"/>
        <v>0</v>
      </c>
      <c r="Q202" s="416">
        <f t="shared" si="46"/>
        <v>0</v>
      </c>
      <c r="R202" s="416">
        <f t="shared" si="46"/>
        <v>0</v>
      </c>
      <c r="S202" s="416">
        <f t="shared" si="46"/>
        <v>0</v>
      </c>
      <c r="T202" s="416">
        <f t="shared" si="46"/>
        <v>0</v>
      </c>
      <c r="U202" s="416">
        <f t="shared" si="46"/>
        <v>0</v>
      </c>
      <c r="V202" s="416">
        <f t="shared" si="46"/>
        <v>0</v>
      </c>
      <c r="W202" s="416">
        <f t="shared" si="46"/>
        <v>0</v>
      </c>
      <c r="X202" s="416">
        <f t="shared" si="46"/>
        <v>0</v>
      </c>
      <c r="Y202" s="416">
        <f t="shared" si="46"/>
        <v>0</v>
      </c>
      <c r="Z202" s="348"/>
      <c r="AA202" s="348"/>
    </row>
    <row r="203" spans="4:27" x14ac:dyDescent="0.25">
      <c r="F203" s="293" t="s">
        <v>44</v>
      </c>
      <c r="G203" s="293" t="s">
        <v>183</v>
      </c>
      <c r="H203" s="348"/>
      <c r="I203" s="348"/>
      <c r="J203" s="416">
        <f t="shared" ref="J203:Y203" si="47">J98 * (1 - J$113)</f>
        <v>1.4869935235169459E-2</v>
      </c>
      <c r="K203" s="416">
        <f t="shared" si="47"/>
        <v>1.4869935235169459E-2</v>
      </c>
      <c r="L203" s="416">
        <f t="shared" si="47"/>
        <v>1.8134063264510957E-2</v>
      </c>
      <c r="M203" s="416">
        <f t="shared" si="47"/>
        <v>1.8134063264510957E-2</v>
      </c>
      <c r="N203" s="416">
        <f t="shared" si="47"/>
        <v>1.3204096793034588E-2</v>
      </c>
      <c r="O203" s="416">
        <f t="shared" si="47"/>
        <v>1.2750658838188518E-2</v>
      </c>
      <c r="P203" s="416">
        <f t="shared" si="47"/>
        <v>1.1073631190408162E-2</v>
      </c>
      <c r="Q203" s="416">
        <f t="shared" si="47"/>
        <v>1.4120208552732234E-2</v>
      </c>
      <c r="R203" s="416">
        <f t="shared" si="47"/>
        <v>-1.1159334097711533E-2</v>
      </c>
      <c r="S203" s="416">
        <f t="shared" si="47"/>
        <v>-1.0665825640321759E-2</v>
      </c>
      <c r="T203" s="416">
        <f t="shared" si="47"/>
        <v>-1.1159334097711533E-2</v>
      </c>
      <c r="U203" s="416">
        <f t="shared" si="47"/>
        <v>-1.1159334097711533E-2</v>
      </c>
      <c r="V203" s="416">
        <f t="shared" si="47"/>
        <v>-1.0665825640321759E-2</v>
      </c>
      <c r="W203" s="416">
        <f t="shared" si="47"/>
        <v>-1.0665825640321759E-2</v>
      </c>
      <c r="X203" s="416">
        <f t="shared" si="47"/>
        <v>-1.0444250414554927E-2</v>
      </c>
      <c r="Y203" s="416">
        <f t="shared" si="47"/>
        <v>-1.0444250414554927E-2</v>
      </c>
      <c r="Z203" s="348"/>
      <c r="AA203" s="348"/>
    </row>
    <row r="204" spans="4:27" x14ac:dyDescent="0.25">
      <c r="F204" s="293" t="s">
        <v>45</v>
      </c>
      <c r="G204" s="293" t="s">
        <v>183</v>
      </c>
      <c r="H204" s="348"/>
      <c r="I204" s="348"/>
      <c r="J204" s="416">
        <f t="shared" ref="J204:Y204" si="48">J99 * (1 - J$114)</f>
        <v>2.9255054823832463E-3</v>
      </c>
      <c r="K204" s="416">
        <f t="shared" si="48"/>
        <v>2.9255054823832463E-3</v>
      </c>
      <c r="L204" s="416">
        <f t="shared" si="48"/>
        <v>3.5676888069248449E-3</v>
      </c>
      <c r="M204" s="416">
        <f t="shared" si="48"/>
        <v>3.5676888069248449E-3</v>
      </c>
      <c r="N204" s="416">
        <f t="shared" si="48"/>
        <v>2.5977690519175633E-3</v>
      </c>
      <c r="O204" s="416">
        <f t="shared" si="48"/>
        <v>2.5085598387069113E-3</v>
      </c>
      <c r="P204" s="416">
        <f t="shared" si="48"/>
        <v>2.1786220481181543E-3</v>
      </c>
      <c r="Q204" s="416">
        <f t="shared" si="48"/>
        <v>2.7780045360057816E-3</v>
      </c>
      <c r="R204" s="416">
        <f t="shared" si="48"/>
        <v>-2.1954832059649749E-3</v>
      </c>
      <c r="S204" s="416">
        <f t="shared" si="48"/>
        <v>-2.0983905371091231E-3</v>
      </c>
      <c r="T204" s="416">
        <f t="shared" si="48"/>
        <v>-2.1954832059649749E-3</v>
      </c>
      <c r="U204" s="416">
        <f t="shared" si="48"/>
        <v>-2.1954832059649749E-3</v>
      </c>
      <c r="V204" s="416">
        <f t="shared" si="48"/>
        <v>-2.0983905371091231E-3</v>
      </c>
      <c r="W204" s="416">
        <f t="shared" si="48"/>
        <v>-2.0983905371091231E-3</v>
      </c>
      <c r="X204" s="416">
        <f t="shared" si="48"/>
        <v>-2.0547979102758834E-3</v>
      </c>
      <c r="Y204" s="416">
        <f t="shared" si="48"/>
        <v>-2.0547979102758834E-3</v>
      </c>
      <c r="Z204" s="348"/>
      <c r="AA204" s="348"/>
    </row>
    <row r="205" spans="4:27" x14ac:dyDescent="0.25">
      <c r="F205" s="293" t="s">
        <v>46</v>
      </c>
      <c r="G205" s="293" t="s">
        <v>183</v>
      </c>
      <c r="H205" s="348"/>
      <c r="I205" s="348"/>
      <c r="J205" s="416">
        <f t="shared" ref="J205:Y205" si="49">J100 * (1 - J$115)</f>
        <v>2.9865621873183246E-2</v>
      </c>
      <c r="K205" s="416">
        <f t="shared" si="49"/>
        <v>2.9865621873183246E-2</v>
      </c>
      <c r="L205" s="416">
        <f t="shared" si="49"/>
        <v>3.6421481863710047E-2</v>
      </c>
      <c r="M205" s="416">
        <f t="shared" si="49"/>
        <v>3.6421481863710047E-2</v>
      </c>
      <c r="N205" s="416">
        <f t="shared" si="49"/>
        <v>2.6519857400924891E-2</v>
      </c>
      <c r="O205" s="416">
        <f t="shared" si="49"/>
        <v>2.5609146877428272E-2</v>
      </c>
      <c r="P205" s="416">
        <f t="shared" si="49"/>
        <v>1.7792727495604285E-2</v>
      </c>
      <c r="Q205" s="416">
        <f t="shared" si="49"/>
        <v>2.8359828253252187E-2</v>
      </c>
      <c r="R205" s="416">
        <f t="shared" si="49"/>
        <v>-2.2413039952623247E-2</v>
      </c>
      <c r="S205" s="416">
        <f t="shared" si="49"/>
        <v>-2.142184955760652E-2</v>
      </c>
      <c r="T205" s="416">
        <f t="shared" si="49"/>
        <v>-2.2413039952623247E-2</v>
      </c>
      <c r="U205" s="416">
        <f t="shared" si="49"/>
        <v>-2.2413039952623247E-2</v>
      </c>
      <c r="V205" s="416">
        <f t="shared" si="49"/>
        <v>-2.142184955760652E-2</v>
      </c>
      <c r="W205" s="416">
        <f t="shared" si="49"/>
        <v>-2.142184955760652E-2</v>
      </c>
      <c r="X205" s="416">
        <f t="shared" si="49"/>
        <v>-2.0976825298619408E-2</v>
      </c>
      <c r="Y205" s="416">
        <f t="shared" si="49"/>
        <v>-2.0976825298619408E-2</v>
      </c>
      <c r="Z205" s="348"/>
      <c r="AA205" s="348"/>
    </row>
    <row r="206" spans="4:27" x14ac:dyDescent="0.25">
      <c r="F206" s="293" t="s">
        <v>47</v>
      </c>
      <c r="G206" s="293" t="s">
        <v>183</v>
      </c>
      <c r="H206" s="348"/>
      <c r="I206" s="348"/>
      <c r="J206" s="416">
        <f t="shared" ref="J206:Y206" si="50">J101 * (1 - J$116)</f>
        <v>3.4541116219261991E-3</v>
      </c>
      <c r="K206" s="416">
        <f t="shared" si="50"/>
        <v>3.4541116219261991E-3</v>
      </c>
      <c r="L206" s="416">
        <f t="shared" si="50"/>
        <v>4.2123302949260248E-3</v>
      </c>
      <c r="M206" s="416">
        <f t="shared" si="50"/>
        <v>4.2123302949260248E-3</v>
      </c>
      <c r="N206" s="416">
        <f t="shared" si="50"/>
        <v>3.0671568818934044E-3</v>
      </c>
      <c r="O206" s="416">
        <f t="shared" si="50"/>
        <v>2.9618285610307888E-3</v>
      </c>
      <c r="P206" s="416">
        <f t="shared" si="50"/>
        <v>0</v>
      </c>
      <c r="Q206" s="416">
        <f t="shared" si="50"/>
        <v>3.2799589032950021E-3</v>
      </c>
      <c r="R206" s="416">
        <f t="shared" si="50"/>
        <v>-2.5921824803040883E-3</v>
      </c>
      <c r="S206" s="416">
        <f t="shared" si="50"/>
        <v>-2.4775462514819756E-3</v>
      </c>
      <c r="T206" s="416">
        <f t="shared" si="50"/>
        <v>-2.5921824803040883E-3</v>
      </c>
      <c r="U206" s="416">
        <f t="shared" si="50"/>
        <v>-2.5921824803040883E-3</v>
      </c>
      <c r="V206" s="416">
        <f t="shared" si="50"/>
        <v>-2.4775462514819756E-3</v>
      </c>
      <c r="W206" s="416">
        <f t="shared" si="50"/>
        <v>-2.4775462514819756E-3</v>
      </c>
      <c r="X206" s="416">
        <f t="shared" si="50"/>
        <v>-2.4260769242557215E-3</v>
      </c>
      <c r="Y206" s="416">
        <f t="shared" si="50"/>
        <v>-2.4260769242557215E-3</v>
      </c>
      <c r="Z206" s="348"/>
      <c r="AA206" s="348"/>
    </row>
    <row r="207" spans="4:27" x14ac:dyDescent="0.25">
      <c r="F207" s="293" t="s">
        <v>51</v>
      </c>
      <c r="G207" s="293" t="s">
        <v>183</v>
      </c>
      <c r="H207" s="348"/>
      <c r="I207" s="348"/>
      <c r="J207" s="416">
        <f t="shared" ref="J207:Y207" si="51">J102 * (1 - J$117)</f>
        <v>0</v>
      </c>
      <c r="K207" s="416">
        <f t="shared" si="51"/>
        <v>0</v>
      </c>
      <c r="L207" s="416">
        <f t="shared" si="51"/>
        <v>0</v>
      </c>
      <c r="M207" s="416">
        <f t="shared" si="51"/>
        <v>0</v>
      </c>
      <c r="N207" s="416">
        <f t="shared" si="51"/>
        <v>0</v>
      </c>
      <c r="O207" s="416">
        <f t="shared" si="51"/>
        <v>0</v>
      </c>
      <c r="P207" s="416">
        <f t="shared" si="51"/>
        <v>0</v>
      </c>
      <c r="Q207" s="416">
        <f t="shared" si="51"/>
        <v>0</v>
      </c>
      <c r="R207" s="416">
        <f t="shared" si="51"/>
        <v>0</v>
      </c>
      <c r="S207" s="416">
        <f t="shared" si="51"/>
        <v>0</v>
      </c>
      <c r="T207" s="416">
        <f t="shared" si="51"/>
        <v>0</v>
      </c>
      <c r="U207" s="416">
        <f t="shared" si="51"/>
        <v>0</v>
      </c>
      <c r="V207" s="416">
        <f t="shared" si="51"/>
        <v>0</v>
      </c>
      <c r="W207" s="416">
        <f t="shared" si="51"/>
        <v>0</v>
      </c>
      <c r="X207" s="416">
        <f t="shared" si="51"/>
        <v>0</v>
      </c>
      <c r="Y207" s="416">
        <f t="shared" si="51"/>
        <v>0</v>
      </c>
      <c r="Z207" s="348"/>
      <c r="AA207" s="348"/>
    </row>
    <row r="208" spans="4:27" x14ac:dyDescent="0.25">
      <c r="F208" s="293" t="s">
        <v>48</v>
      </c>
      <c r="G208" s="293" t="s">
        <v>183</v>
      </c>
      <c r="H208" s="348"/>
      <c r="I208" s="348"/>
      <c r="J208" s="416">
        <f t="shared" ref="J208:Y208" si="52">J103 * (1 - J$118)</f>
        <v>2.8349511829629477E-2</v>
      </c>
      <c r="K208" s="416">
        <f t="shared" si="52"/>
        <v>2.8349511829629477E-2</v>
      </c>
      <c r="L208" s="416">
        <f t="shared" si="52"/>
        <v>3.4572567594013746E-2</v>
      </c>
      <c r="M208" s="416">
        <f t="shared" si="52"/>
        <v>3.4572567594013746E-2</v>
      </c>
      <c r="N208" s="416">
        <f t="shared" si="52"/>
        <v>2.0138874436970787E-2</v>
      </c>
      <c r="O208" s="416">
        <f t="shared" si="52"/>
        <v>0</v>
      </c>
      <c r="P208" s="416">
        <f t="shared" si="52"/>
        <v>0</v>
      </c>
      <c r="Q208" s="416">
        <f t="shared" si="52"/>
        <v>2.6920158902625908E-2</v>
      </c>
      <c r="R208" s="416">
        <f t="shared" si="52"/>
        <v>-2.1275255676004662E-2</v>
      </c>
      <c r="S208" s="416">
        <f t="shared" si="52"/>
        <v>-2.0334382455675929E-2</v>
      </c>
      <c r="T208" s="416">
        <f t="shared" si="52"/>
        <v>-2.1275255676004662E-2</v>
      </c>
      <c r="U208" s="416">
        <f t="shared" si="52"/>
        <v>-2.1275255676004662E-2</v>
      </c>
      <c r="V208" s="416">
        <f t="shared" si="52"/>
        <v>-2.0334382455675929E-2</v>
      </c>
      <c r="W208" s="416">
        <f t="shared" si="52"/>
        <v>-2.0334382455675929E-2</v>
      </c>
      <c r="X208" s="416">
        <f t="shared" si="52"/>
        <v>0</v>
      </c>
      <c r="Y208" s="416">
        <f t="shared" si="52"/>
        <v>0</v>
      </c>
      <c r="Z208" s="348"/>
      <c r="AA208" s="348"/>
    </row>
    <row r="209" spans="2:27" x14ac:dyDescent="0.25">
      <c r="F209" s="293" t="s">
        <v>49</v>
      </c>
      <c r="G209" s="293" t="s">
        <v>183</v>
      </c>
      <c r="H209" s="348"/>
      <c r="I209" s="348"/>
      <c r="J209" s="416">
        <f t="shared" ref="J209:Y209" si="53">J104 * (1 - J$119)</f>
        <v>1.1088135535702329E-2</v>
      </c>
      <c r="K209" s="416">
        <f t="shared" si="53"/>
        <v>1.1088135535702329E-2</v>
      </c>
      <c r="L209" s="416">
        <f t="shared" si="53"/>
        <v>1.3522113453078985E-2</v>
      </c>
      <c r="M209" s="416">
        <f t="shared" si="53"/>
        <v>1.3522113453078985E-2</v>
      </c>
      <c r="N209" s="416">
        <f t="shared" si="53"/>
        <v>0</v>
      </c>
      <c r="O209" s="416">
        <f t="shared" si="53"/>
        <v>0</v>
      </c>
      <c r="P209" s="416">
        <f t="shared" si="53"/>
        <v>0</v>
      </c>
      <c r="Q209" s="416">
        <f t="shared" si="53"/>
        <v>1.0529083264248257E-2</v>
      </c>
      <c r="R209" s="416">
        <f t="shared" si="53"/>
        <v>-8.3212338861407189E-3</v>
      </c>
      <c r="S209" s="416">
        <f t="shared" si="53"/>
        <v>0</v>
      </c>
      <c r="T209" s="416">
        <f t="shared" si="53"/>
        <v>-8.3212338861407189E-3</v>
      </c>
      <c r="U209" s="416">
        <f t="shared" si="53"/>
        <v>-8.3212338861407189E-3</v>
      </c>
      <c r="V209" s="416">
        <f t="shared" si="53"/>
        <v>0</v>
      </c>
      <c r="W209" s="416">
        <f t="shared" si="53"/>
        <v>0</v>
      </c>
      <c r="X209" s="416">
        <f t="shared" si="53"/>
        <v>0</v>
      </c>
      <c r="Y209" s="416">
        <f t="shared" si="53"/>
        <v>0</v>
      </c>
      <c r="Z209" s="348"/>
      <c r="AA209" s="348"/>
    </row>
    <row r="210" spans="2:27" x14ac:dyDescent="0.25">
      <c r="F210" s="293" t="s">
        <v>50</v>
      </c>
      <c r="G210" s="293" t="s">
        <v>183</v>
      </c>
      <c r="H210" s="348"/>
      <c r="I210" s="348"/>
      <c r="J210" s="416">
        <f t="shared" ref="J210:Y210" si="54">J105 * (1 - J$120)</f>
        <v>0</v>
      </c>
      <c r="K210" s="416">
        <f t="shared" si="54"/>
        <v>0</v>
      </c>
      <c r="L210" s="416">
        <f t="shared" si="54"/>
        <v>0</v>
      </c>
      <c r="M210" s="416">
        <f t="shared" si="54"/>
        <v>0</v>
      </c>
      <c r="N210" s="416">
        <f t="shared" si="54"/>
        <v>0</v>
      </c>
      <c r="O210" s="416">
        <f t="shared" si="54"/>
        <v>0</v>
      </c>
      <c r="P210" s="416">
        <f t="shared" si="54"/>
        <v>0</v>
      </c>
      <c r="Q210" s="416">
        <f t="shared" si="54"/>
        <v>6.4471632310487857E-3</v>
      </c>
      <c r="R210" s="416">
        <f t="shared" si="54"/>
        <v>0</v>
      </c>
      <c r="S210" s="416">
        <f t="shared" si="54"/>
        <v>0</v>
      </c>
      <c r="T210" s="416">
        <f t="shared" si="54"/>
        <v>0</v>
      </c>
      <c r="U210" s="416">
        <f t="shared" si="54"/>
        <v>0</v>
      </c>
      <c r="V210" s="416">
        <f t="shared" si="54"/>
        <v>0</v>
      </c>
      <c r="W210" s="416">
        <f t="shared" si="54"/>
        <v>0</v>
      </c>
      <c r="X210" s="416">
        <f t="shared" si="54"/>
        <v>0</v>
      </c>
      <c r="Y210" s="416">
        <f t="shared" si="54"/>
        <v>0</v>
      </c>
      <c r="Z210" s="348"/>
      <c r="AA210" s="348"/>
    </row>
    <row r="211" spans="2:27" x14ac:dyDescent="0.25">
      <c r="D211" s="293"/>
      <c r="F211" s="91" t="s">
        <v>124</v>
      </c>
      <c r="G211" s="91" t="s">
        <v>183</v>
      </c>
      <c r="H211" s="346"/>
      <c r="I211" s="346" t="s">
        <v>359</v>
      </c>
      <c r="J211" s="358"/>
      <c r="K211" s="358"/>
      <c r="L211" s="358"/>
      <c r="M211" s="358"/>
      <c r="N211" s="358"/>
      <c r="O211" s="358"/>
      <c r="P211" s="358"/>
      <c r="Q211" s="359">
        <f>Q106</f>
        <v>0.38393089804388564</v>
      </c>
      <c r="R211" s="358"/>
      <c r="S211" s="358"/>
      <c r="T211" s="358"/>
      <c r="U211" s="358"/>
      <c r="V211" s="358"/>
      <c r="W211" s="358"/>
      <c r="X211" s="358"/>
      <c r="Y211" s="358"/>
      <c r="Z211" s="348"/>
      <c r="AA211" s="348" t="s">
        <v>730</v>
      </c>
    </row>
    <row r="212" spans="2:27" x14ac:dyDescent="0.25">
      <c r="D212" s="293"/>
      <c r="F212" s="93" t="s">
        <v>123</v>
      </c>
      <c r="G212" s="93" t="s">
        <v>183</v>
      </c>
      <c r="H212" s="350"/>
      <c r="I212" s="350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T212" s="355"/>
      <c r="U212" s="355"/>
      <c r="V212" s="355"/>
      <c r="W212" s="355"/>
      <c r="X212" s="355"/>
      <c r="Y212" s="355"/>
      <c r="Z212" s="348"/>
      <c r="AA212" s="348"/>
    </row>
    <row r="213" spans="2:27" x14ac:dyDescent="0.2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25">
      <c r="C214" s="7" t="str">
        <f ca="1">INDEX('Version control'!$H$34:$H$60,MATCH($A$1,'Version control'!$F$34:$F$60,0),1)&amp;"-H: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2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2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25">
      <c r="D217" s="293"/>
      <c r="F217" s="91" t="s">
        <v>296</v>
      </c>
      <c r="G217" s="91" t="s">
        <v>183</v>
      </c>
      <c r="H217" s="346"/>
      <c r="I217" s="346"/>
      <c r="J217" s="531">
        <f t="shared" ref="J217:Y217" si="55">SUM(J127:J138,J141:J152)</f>
        <v>10.771355700294261</v>
      </c>
      <c r="K217" s="531">
        <f t="shared" si="55"/>
        <v>10.771355700294261</v>
      </c>
      <c r="L217" s="531">
        <f t="shared" si="55"/>
        <v>13.135796667877077</v>
      </c>
      <c r="M217" s="531">
        <f t="shared" si="55"/>
        <v>13.135796667877077</v>
      </c>
      <c r="N217" s="531">
        <f t="shared" si="55"/>
        <v>8.6777395420743506</v>
      </c>
      <c r="O217" s="531">
        <f t="shared" si="55"/>
        <v>6.9484923191344734</v>
      </c>
      <c r="P217" s="531">
        <f t="shared" si="55"/>
        <v>5.2251387742031961</v>
      </c>
      <c r="Q217" s="531">
        <f t="shared" si="55"/>
        <v>18.755290497549847</v>
      </c>
      <c r="R217" s="531">
        <f t="shared" si="55"/>
        <v>-8.083502385442868</v>
      </c>
      <c r="S217" s="531">
        <f t="shared" si="55"/>
        <v>-7.3088931950806888</v>
      </c>
      <c r="T217" s="531">
        <f t="shared" si="55"/>
        <v>-8.083502385442868</v>
      </c>
      <c r="U217" s="531">
        <f t="shared" si="55"/>
        <v>-8.083502385442868</v>
      </c>
      <c r="V217" s="531">
        <f t="shared" si="55"/>
        <v>-7.3088931950806888</v>
      </c>
      <c r="W217" s="531">
        <f t="shared" si="55"/>
        <v>-7.3088931950806888</v>
      </c>
      <c r="X217" s="531">
        <f t="shared" si="55"/>
        <v>-5.3921382806734499</v>
      </c>
      <c r="Y217" s="531">
        <f t="shared" si="55"/>
        <v>-5.3921382806734499</v>
      </c>
      <c r="Z217" s="348"/>
      <c r="AA217" s="348"/>
    </row>
    <row r="218" spans="2:27" x14ac:dyDescent="0.25">
      <c r="D218" s="293"/>
      <c r="F218" s="293" t="s">
        <v>297</v>
      </c>
      <c r="G218" s="293" t="s">
        <v>183</v>
      </c>
      <c r="H218" s="348"/>
      <c r="I218" s="348"/>
      <c r="J218" s="531">
        <f t="shared" ref="J218:Y218" si="56">SUM(J157:J168,J171:J182)</f>
        <v>1.9378384371204245</v>
      </c>
      <c r="K218" s="531">
        <f t="shared" si="56"/>
        <v>1.9378384371204245</v>
      </c>
      <c r="L218" s="531">
        <f t="shared" si="56"/>
        <v>2.3632170725283155</v>
      </c>
      <c r="M218" s="531">
        <f t="shared" si="56"/>
        <v>2.3632170725283155</v>
      </c>
      <c r="N218" s="531">
        <f t="shared" si="56"/>
        <v>1.4430267840727677</v>
      </c>
      <c r="O218" s="531">
        <f t="shared" si="56"/>
        <v>0.94531157810868405</v>
      </c>
      <c r="P218" s="531">
        <f t="shared" si="56"/>
        <v>0.62394643951897777</v>
      </c>
      <c r="Q218" s="531">
        <f t="shared" si="56"/>
        <v>2.930457524346521</v>
      </c>
      <c r="R218" s="531">
        <f t="shared" si="56"/>
        <v>-1.4542757722352337</v>
      </c>
      <c r="S218" s="531">
        <f t="shared" si="56"/>
        <v>-1.2593492541418145</v>
      </c>
      <c r="T218" s="531">
        <f t="shared" si="56"/>
        <v>-1.4542757722352337</v>
      </c>
      <c r="U218" s="531">
        <f t="shared" si="56"/>
        <v>-1.4542757722352337</v>
      </c>
      <c r="V218" s="531">
        <f t="shared" si="56"/>
        <v>-1.2593492541418145</v>
      </c>
      <c r="W218" s="531">
        <f t="shared" si="56"/>
        <v>-1.2593492541418145</v>
      </c>
      <c r="X218" s="531">
        <f t="shared" si="56"/>
        <v>-0.70810900515864061</v>
      </c>
      <c r="Y218" s="531">
        <f t="shared" si="56"/>
        <v>-0.70810900515864061</v>
      </c>
      <c r="Z218" s="348"/>
      <c r="AA218" s="348"/>
    </row>
    <row r="219" spans="2:27" x14ac:dyDescent="0.25">
      <c r="D219" s="293"/>
      <c r="F219" s="93" t="s">
        <v>298</v>
      </c>
      <c r="G219" s="93" t="s">
        <v>183</v>
      </c>
      <c r="H219" s="350"/>
      <c r="I219" s="350"/>
      <c r="J219" s="351">
        <f t="shared" ref="J219:Y219" si="57">SUM(J187:J198,J201:J212)</f>
        <v>0.21452572109019707</v>
      </c>
      <c r="K219" s="351">
        <f t="shared" si="57"/>
        <v>0.21452572109019707</v>
      </c>
      <c r="L219" s="351">
        <f t="shared" si="57"/>
        <v>0.26161667395252336</v>
      </c>
      <c r="M219" s="351">
        <f t="shared" si="57"/>
        <v>0.26161667395252336</v>
      </c>
      <c r="N219" s="351">
        <f t="shared" si="57"/>
        <v>0.16622991183513294</v>
      </c>
      <c r="O219" s="351">
        <f t="shared" si="57"/>
        <v>0.12136791889315691</v>
      </c>
      <c r="P219" s="351">
        <f t="shared" si="57"/>
        <v>7.9944079146318126E-2</v>
      </c>
      <c r="Q219" s="351">
        <f t="shared" si="57"/>
        <v>0.59475727473723183</v>
      </c>
      <c r="R219" s="351">
        <f t="shared" si="57"/>
        <v>-0.16099358580499623</v>
      </c>
      <c r="S219" s="351">
        <f t="shared" si="57"/>
        <v>-0.14246284344281587</v>
      </c>
      <c r="T219" s="351">
        <f t="shared" si="57"/>
        <v>-0.16099358580499623</v>
      </c>
      <c r="U219" s="351">
        <f t="shared" si="57"/>
        <v>-0.16099358580499623</v>
      </c>
      <c r="V219" s="351">
        <f t="shared" si="57"/>
        <v>-0.14246284344281587</v>
      </c>
      <c r="W219" s="351">
        <f t="shared" si="57"/>
        <v>-0.14246284344281587</v>
      </c>
      <c r="X219" s="351">
        <f t="shared" si="57"/>
        <v>-8.9601370113660816E-2</v>
      </c>
      <c r="Y219" s="351">
        <f t="shared" si="57"/>
        <v>-8.9601370113660816E-2</v>
      </c>
      <c r="Z219" s="348"/>
      <c r="AA219" s="348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3" t="s">
        <v>416</v>
      </c>
      <c r="G223" s="122" t="s">
        <v>589</v>
      </c>
      <c r="H223" s="310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00000000-0004-0000-1B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19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396</v>
      </c>
      <c r="E9" s="293"/>
    </row>
    <row r="10" spans="1:27" x14ac:dyDescent="0.25">
      <c r="D10" s="82" t="s">
        <v>736</v>
      </c>
      <c r="E10" s="293"/>
    </row>
    <row r="11" spans="1:27" x14ac:dyDescent="0.25">
      <c r="D11" s="82" t="s">
        <v>821</v>
      </c>
      <c r="E11" s="293"/>
    </row>
    <row r="12" spans="1:27" x14ac:dyDescent="0.25">
      <c r="D12" s="82" t="s">
        <v>766</v>
      </c>
      <c r="E12" s="293"/>
    </row>
    <row r="13" spans="1:27" x14ac:dyDescent="0.25">
      <c r="D13" s="82" t="s">
        <v>537</v>
      </c>
      <c r="E13" s="293"/>
    </row>
    <row r="14" spans="1:27" x14ac:dyDescent="0.25">
      <c r="D14" s="82" t="s">
        <v>767</v>
      </c>
      <c r="E14" s="293"/>
    </row>
    <row r="15" spans="1:27" x14ac:dyDescent="0.25">
      <c r="D15" s="82" t="s">
        <v>737</v>
      </c>
    </row>
    <row r="17" spans="2:27" x14ac:dyDescent="0.25">
      <c r="B17" s="95" t="s">
        <v>656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3"/>
      <c r="E18" s="293"/>
    </row>
    <row r="19" spans="2:27" x14ac:dyDescent="0.25">
      <c r="C19" s="7" t="str">
        <f ca="1">INDEX('Version control'!$H$34:$H$60,MATCH($A$1,'Version control'!$F$34:$F$60,0),1)&amp;"-A: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266</v>
      </c>
      <c r="F21" s="98"/>
    </row>
    <row r="22" spans="2:27" x14ac:dyDescent="0.25">
      <c r="D22" s="293"/>
      <c r="E22" s="82" t="s">
        <v>738</v>
      </c>
      <c r="F22" s="98"/>
    </row>
    <row r="23" spans="2:27" x14ac:dyDescent="0.25">
      <c r="C23" s="86"/>
      <c r="F23" s="73" t="s">
        <v>267</v>
      </c>
      <c r="G23" s="73" t="s">
        <v>94</v>
      </c>
      <c r="H23" s="420">
        <f>'System peak demand'!H226</f>
        <v>2.4999999999999911E-2</v>
      </c>
    </row>
    <row r="24" spans="2:27" x14ac:dyDescent="0.25">
      <c r="C24" s="86"/>
      <c r="F24" s="293" t="s">
        <v>43</v>
      </c>
      <c r="G24" s="293" t="s">
        <v>94</v>
      </c>
      <c r="H24" s="143">
        <f>'System peak demand'!H226</f>
        <v>2.4999999999999911E-2</v>
      </c>
    </row>
    <row r="25" spans="2:27" x14ac:dyDescent="0.25">
      <c r="C25" s="86"/>
      <c r="F25" s="293" t="s">
        <v>44</v>
      </c>
      <c r="G25" s="293" t="s">
        <v>94</v>
      </c>
      <c r="H25" s="143">
        <f>'System peak demand'!H227</f>
        <v>0.12749999999999995</v>
      </c>
    </row>
    <row r="26" spans="2:27" x14ac:dyDescent="0.25">
      <c r="C26" s="86"/>
      <c r="F26" s="293" t="s">
        <v>45</v>
      </c>
      <c r="G26" s="293" t="s">
        <v>94</v>
      </c>
      <c r="H26" s="143">
        <f>'System peak demand'!H228</f>
        <v>0.12749999999999995</v>
      </c>
    </row>
    <row r="27" spans="2:27" x14ac:dyDescent="0.25">
      <c r="C27" s="86"/>
      <c r="F27" s="293" t="s">
        <v>46</v>
      </c>
      <c r="G27" s="293" t="s">
        <v>94</v>
      </c>
      <c r="H27" s="143">
        <f>'System peak demand'!H229</f>
        <v>0.42064999999999997</v>
      </c>
    </row>
    <row r="28" spans="2:27" x14ac:dyDescent="0.25">
      <c r="C28" s="86"/>
      <c r="F28" s="293" t="s">
        <v>47</v>
      </c>
      <c r="G28" s="293" t="s">
        <v>94</v>
      </c>
      <c r="H28" s="143">
        <f>'System peak demand'!H230</f>
        <v>0.42064999999999997</v>
      </c>
    </row>
    <row r="29" spans="2:27" x14ac:dyDescent="0.25">
      <c r="C29" s="86"/>
      <c r="F29" s="293" t="s">
        <v>51</v>
      </c>
      <c r="G29" s="293" t="s">
        <v>94</v>
      </c>
      <c r="H29" s="143">
        <f>'System peak demand'!H231</f>
        <v>0.12749999999999995</v>
      </c>
    </row>
    <row r="30" spans="2:27" x14ac:dyDescent="0.25">
      <c r="C30" s="86"/>
      <c r="F30" s="293" t="s">
        <v>48</v>
      </c>
      <c r="G30" s="293" t="s">
        <v>94</v>
      </c>
      <c r="H30" s="143">
        <f>'System peak demand'!H232</f>
        <v>0.70477999999999996</v>
      </c>
    </row>
    <row r="31" spans="2:27" x14ac:dyDescent="0.25">
      <c r="C31" s="86"/>
      <c r="F31" s="293" t="s">
        <v>49</v>
      </c>
      <c r="G31" s="293" t="s">
        <v>94</v>
      </c>
      <c r="H31" s="143">
        <f>'System peak demand'!H233</f>
        <v>0.70477999999999996</v>
      </c>
    </row>
    <row r="32" spans="2:27" x14ac:dyDescent="0.25">
      <c r="C32" s="86"/>
      <c r="F32" s="293" t="s">
        <v>50</v>
      </c>
      <c r="G32" s="293" t="s">
        <v>94</v>
      </c>
      <c r="H32" s="143">
        <f>'System peak demand'!H234</f>
        <v>0.6006649967920823</v>
      </c>
    </row>
    <row r="33" spans="3:8" x14ac:dyDescent="0.25">
      <c r="C33" s="86"/>
      <c r="F33" s="293" t="s">
        <v>124</v>
      </c>
      <c r="G33" s="293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267</v>
      </c>
      <c r="G37" s="16" t="s">
        <v>428</v>
      </c>
      <c r="H37" s="272">
        <f t="array" ref="H37:H46">TRANSPOSE('Load &amp; loss characteristics'!J29:S29)</f>
        <v>1</v>
      </c>
    </row>
    <row r="38" spans="3:8" x14ac:dyDescent="0.25">
      <c r="C38" s="86"/>
      <c r="F38" s="293" t="s">
        <v>43</v>
      </c>
      <c r="G38" s="14" t="s">
        <v>428</v>
      </c>
      <c r="H38" s="273">
        <v>1</v>
      </c>
    </row>
    <row r="39" spans="3:8" x14ac:dyDescent="0.25">
      <c r="C39" s="86"/>
      <c r="F39" s="293" t="s">
        <v>44</v>
      </c>
      <c r="G39" s="14" t="s">
        <v>428</v>
      </c>
      <c r="H39" s="273">
        <v>1.0049999999999999</v>
      </c>
    </row>
    <row r="40" spans="3:8" x14ac:dyDescent="0.25">
      <c r="C40" s="86"/>
      <c r="F40" s="293" t="s">
        <v>45</v>
      </c>
      <c r="G40" s="14" t="s">
        <v>428</v>
      </c>
      <c r="H40" s="273">
        <v>1.012</v>
      </c>
    </row>
    <row r="41" spans="3:8" x14ac:dyDescent="0.25">
      <c r="C41" s="86"/>
      <c r="F41" s="293" t="s">
        <v>46</v>
      </c>
      <c r="G41" s="14" t="s">
        <v>428</v>
      </c>
      <c r="H41" s="273">
        <v>1.018</v>
      </c>
    </row>
    <row r="42" spans="3:8" x14ac:dyDescent="0.25">
      <c r="C42" s="86"/>
      <c r="F42" s="293" t="s">
        <v>47</v>
      </c>
      <c r="G42" s="14" t="s">
        <v>428</v>
      </c>
      <c r="H42" s="273">
        <v>1.026</v>
      </c>
    </row>
    <row r="43" spans="3:8" x14ac:dyDescent="0.25">
      <c r="C43" s="86"/>
      <c r="F43" s="293" t="s">
        <v>51</v>
      </c>
      <c r="G43" s="14" t="s">
        <v>428</v>
      </c>
      <c r="H43" s="273">
        <v>1.026</v>
      </c>
    </row>
    <row r="44" spans="3:8" x14ac:dyDescent="0.25">
      <c r="C44" s="86"/>
      <c r="F44" s="293" t="s">
        <v>48</v>
      </c>
      <c r="G44" s="14" t="s">
        <v>428</v>
      </c>
      <c r="H44" s="273">
        <v>1.0369999999999999</v>
      </c>
    </row>
    <row r="45" spans="3:8" x14ac:dyDescent="0.25">
      <c r="C45" s="86"/>
      <c r="F45" s="293" t="s">
        <v>49</v>
      </c>
      <c r="G45" s="14" t="s">
        <v>428</v>
      </c>
      <c r="H45" s="273">
        <v>1.0589999999999999</v>
      </c>
    </row>
    <row r="46" spans="3:8" x14ac:dyDescent="0.25">
      <c r="C46" s="86"/>
      <c r="F46" s="293" t="s">
        <v>50</v>
      </c>
      <c r="G46" s="14" t="s">
        <v>428</v>
      </c>
      <c r="H46" s="273">
        <v>1.1080000000000001</v>
      </c>
    </row>
    <row r="47" spans="3:8" x14ac:dyDescent="0.25">
      <c r="C47" s="86"/>
      <c r="F47" s="293" t="s">
        <v>124</v>
      </c>
      <c r="G47" s="14" t="s">
        <v>428</v>
      </c>
      <c r="H47" s="279"/>
    </row>
    <row r="48" spans="3:8" x14ac:dyDescent="0.25">
      <c r="C48" s="86"/>
      <c r="F48" s="93" t="s">
        <v>123</v>
      </c>
      <c r="G48" s="15" t="s">
        <v>428</v>
      </c>
      <c r="H48" s="240"/>
    </row>
    <row r="49" spans="3:8" x14ac:dyDescent="0.25">
      <c r="C49" s="86"/>
      <c r="F49" s="98"/>
      <c r="H49" s="252"/>
    </row>
    <row r="50" spans="3:8" x14ac:dyDescent="0.25">
      <c r="C50" s="86"/>
      <c r="E50" s="86" t="s">
        <v>126</v>
      </c>
      <c r="H50" s="252"/>
    </row>
    <row r="51" spans="3:8" x14ac:dyDescent="0.25">
      <c r="C51" s="86"/>
      <c r="E51" s="82"/>
      <c r="F51" s="91" t="s">
        <v>267</v>
      </c>
      <c r="G51" s="91" t="s">
        <v>108</v>
      </c>
      <c r="H51" s="238"/>
    </row>
    <row r="52" spans="3:8" x14ac:dyDescent="0.25">
      <c r="C52" s="86"/>
      <c r="E52" s="82"/>
      <c r="F52" s="293" t="s">
        <v>43</v>
      </c>
      <c r="G52" s="293" t="s">
        <v>108</v>
      </c>
      <c r="H52" s="279"/>
    </row>
    <row r="53" spans="3:8" x14ac:dyDescent="0.25">
      <c r="C53" s="86"/>
      <c r="E53" s="82"/>
      <c r="F53" s="293" t="s">
        <v>44</v>
      </c>
      <c r="G53" s="293" t="s">
        <v>108</v>
      </c>
      <c r="H53" s="273">
        <f t="array" ref="H53:H60">TRANSPOSE('Unit costs'!L114:S114)</f>
        <v>17.987182539064889</v>
      </c>
    </row>
    <row r="54" spans="3:8" x14ac:dyDescent="0.25">
      <c r="C54" s="86"/>
      <c r="E54" s="82"/>
      <c r="F54" s="293" t="s">
        <v>45</v>
      </c>
      <c r="G54" s="293" t="s">
        <v>108</v>
      </c>
      <c r="H54" s="273">
        <v>1.5185858817936753</v>
      </c>
    </row>
    <row r="55" spans="3:8" x14ac:dyDescent="0.25">
      <c r="C55" s="86"/>
      <c r="E55" s="82"/>
      <c r="F55" s="293" t="s">
        <v>46</v>
      </c>
      <c r="G55" s="293" t="s">
        <v>108</v>
      </c>
      <c r="H55" s="273">
        <v>15.594708791570742</v>
      </c>
    </row>
    <row r="56" spans="3:8" x14ac:dyDescent="0.25">
      <c r="C56" s="86"/>
      <c r="E56" s="82"/>
      <c r="F56" s="293" t="s">
        <v>47</v>
      </c>
      <c r="G56" s="293" t="s">
        <v>108</v>
      </c>
      <c r="H56" s="273">
        <v>2.6104722214354923</v>
      </c>
    </row>
    <row r="57" spans="3:8" x14ac:dyDescent="0.25">
      <c r="C57" s="86"/>
      <c r="E57" s="82"/>
      <c r="F57" s="293" t="s">
        <v>51</v>
      </c>
      <c r="G57" s="293" t="s">
        <v>108</v>
      </c>
      <c r="H57" s="273">
        <v>0</v>
      </c>
    </row>
    <row r="58" spans="3:8" x14ac:dyDescent="0.25">
      <c r="C58" s="86"/>
      <c r="E58" s="82"/>
      <c r="F58" s="293" t="s">
        <v>48</v>
      </c>
      <c r="G58" s="293" t="s">
        <v>108</v>
      </c>
      <c r="H58" s="273">
        <v>21.655074823597253</v>
      </c>
    </row>
    <row r="59" spans="3:8" x14ac:dyDescent="0.25">
      <c r="C59" s="86"/>
      <c r="E59" s="82"/>
      <c r="F59" s="293" t="s">
        <v>49</v>
      </c>
      <c r="G59" s="293" t="s">
        <v>108</v>
      </c>
      <c r="H59" s="273">
        <v>8.6494767059250268</v>
      </c>
    </row>
    <row r="60" spans="3:8" x14ac:dyDescent="0.25">
      <c r="C60" s="86"/>
      <c r="E60" s="82"/>
      <c r="F60" s="293" t="s">
        <v>50</v>
      </c>
      <c r="G60" s="293" t="s">
        <v>108</v>
      </c>
      <c r="H60" s="273">
        <v>5.5413009759155809</v>
      </c>
    </row>
    <row r="61" spans="3:8" x14ac:dyDescent="0.25">
      <c r="C61" s="86"/>
      <c r="E61" s="82"/>
      <c r="F61" s="293" t="s">
        <v>124</v>
      </c>
      <c r="G61" s="293" t="s">
        <v>108</v>
      </c>
      <c r="H61" s="279"/>
    </row>
    <row r="62" spans="3:8" x14ac:dyDescent="0.25">
      <c r="C62" s="86"/>
      <c r="E62" s="82"/>
      <c r="F62" s="93" t="s">
        <v>123</v>
      </c>
      <c r="G62" s="93" t="s">
        <v>108</v>
      </c>
      <c r="H62" s="240"/>
    </row>
    <row r="63" spans="3:8" x14ac:dyDescent="0.25">
      <c r="C63" s="86"/>
      <c r="D63" s="293"/>
      <c r="E63" s="82"/>
      <c r="H63" s="252"/>
    </row>
    <row r="64" spans="3:8" x14ac:dyDescent="0.25">
      <c r="C64" s="86"/>
      <c r="E64" s="86" t="s">
        <v>127</v>
      </c>
      <c r="H64" s="252"/>
    </row>
    <row r="65" spans="3:25" x14ac:dyDescent="0.25">
      <c r="C65" s="86"/>
      <c r="F65" s="91" t="s">
        <v>267</v>
      </c>
      <c r="G65" s="91" t="s">
        <v>108</v>
      </c>
      <c r="H65" s="272">
        <f t="array" ref="H65:H74">TRANSPOSE('Unit costs'!J115:S115)</f>
        <v>10.831548272917219</v>
      </c>
    </row>
    <row r="66" spans="3:25" x14ac:dyDescent="0.25">
      <c r="C66" s="86"/>
      <c r="F66" s="293" t="s">
        <v>43</v>
      </c>
      <c r="G66" s="293" t="s">
        <v>108</v>
      </c>
      <c r="H66" s="273">
        <v>0</v>
      </c>
    </row>
    <row r="67" spans="3:25" x14ac:dyDescent="0.25">
      <c r="C67" s="86"/>
      <c r="F67" s="293" t="s">
        <v>44</v>
      </c>
      <c r="G67" s="293" t="s">
        <v>108</v>
      </c>
      <c r="H67" s="273">
        <v>11.957813161702257</v>
      </c>
    </row>
    <row r="68" spans="3:25" x14ac:dyDescent="0.25">
      <c r="C68" s="86"/>
      <c r="F68" s="293" t="s">
        <v>45</v>
      </c>
      <c r="G68" s="293" t="s">
        <v>108</v>
      </c>
      <c r="H68" s="273">
        <v>1.0095503398072301</v>
      </c>
    </row>
    <row r="69" spans="3:25" x14ac:dyDescent="0.25">
      <c r="C69" s="86"/>
      <c r="F69" s="293" t="s">
        <v>46</v>
      </c>
      <c r="G69" s="293" t="s">
        <v>108</v>
      </c>
      <c r="H69" s="273">
        <v>10.367305365126576</v>
      </c>
    </row>
    <row r="70" spans="3:25" x14ac:dyDescent="0.25">
      <c r="C70" s="86"/>
      <c r="F70" s="293" t="s">
        <v>47</v>
      </c>
      <c r="G70" s="293" t="s">
        <v>108</v>
      </c>
      <c r="H70" s="273">
        <v>1.735432384696435</v>
      </c>
    </row>
    <row r="71" spans="3:25" x14ac:dyDescent="0.25">
      <c r="C71" s="86"/>
      <c r="F71" s="293" t="s">
        <v>51</v>
      </c>
      <c r="G71" s="293" t="s">
        <v>108</v>
      </c>
      <c r="H71" s="273">
        <v>0</v>
      </c>
    </row>
    <row r="72" spans="3:25" x14ac:dyDescent="0.25">
      <c r="C72" s="86"/>
      <c r="F72" s="293" t="s">
        <v>48</v>
      </c>
      <c r="G72" s="293" t="s">
        <v>108</v>
      </c>
      <c r="H72" s="273">
        <v>14.396214536705338</v>
      </c>
    </row>
    <row r="73" spans="3:25" x14ac:dyDescent="0.25">
      <c r="C73" s="86"/>
      <c r="F73" s="293" t="s">
        <v>49</v>
      </c>
      <c r="G73" s="293" t="s">
        <v>108</v>
      </c>
      <c r="H73" s="273">
        <v>5.7501404776050258</v>
      </c>
    </row>
    <row r="74" spans="3:25" x14ac:dyDescent="0.25">
      <c r="C74" s="86"/>
      <c r="F74" s="293" t="s">
        <v>50</v>
      </c>
      <c r="G74" s="293" t="s">
        <v>108</v>
      </c>
      <c r="H74" s="273">
        <v>3.6838366208186422</v>
      </c>
    </row>
    <row r="75" spans="3:25" x14ac:dyDescent="0.25">
      <c r="C75" s="86"/>
      <c r="F75" s="293" t="s">
        <v>124</v>
      </c>
      <c r="G75" s="293" t="s">
        <v>108</v>
      </c>
      <c r="H75" s="279"/>
    </row>
    <row r="76" spans="3:25" x14ac:dyDescent="0.25">
      <c r="C76" s="86"/>
      <c r="F76" s="93" t="s">
        <v>123</v>
      </c>
      <c r="G76" s="93" t="s">
        <v>108</v>
      </c>
      <c r="H76" s="240"/>
    </row>
    <row r="77" spans="3:25" x14ac:dyDescent="0.25">
      <c r="C77" s="86"/>
      <c r="F77" s="98"/>
    </row>
    <row r="78" spans="3:25" x14ac:dyDescent="0.25">
      <c r="E78" s="96" t="s">
        <v>334</v>
      </c>
      <c r="F78" s="98"/>
    </row>
    <row r="79" spans="3:25" x14ac:dyDescent="0.25">
      <c r="E79" s="82" t="s">
        <v>325</v>
      </c>
    </row>
    <row r="80" spans="3:25" x14ac:dyDescent="0.25">
      <c r="C80" s="86"/>
      <c r="F80" s="91" t="s">
        <v>267</v>
      </c>
      <c r="G80" s="16" t="s">
        <v>428</v>
      </c>
      <c r="H80" s="33"/>
      <c r="I80" s="33"/>
      <c r="J80" s="272">
        <f t="array" ref="J80:Y89">TRANSPOSE('Load &amp; loss characteristics'!J145:S160)</f>
        <v>1.1080000000000001</v>
      </c>
      <c r="K80" s="272">
        <v>1.1080000000000001</v>
      </c>
      <c r="L80" s="272">
        <v>1.1080000000000001</v>
      </c>
      <c r="M80" s="272">
        <v>1.1080000000000001</v>
      </c>
      <c r="N80" s="272">
        <v>1.1080000000000001</v>
      </c>
      <c r="O80" s="272">
        <v>1.0589999999999999</v>
      </c>
      <c r="P80" s="272">
        <v>1.0369999999999999</v>
      </c>
      <c r="Q80" s="272">
        <v>1.1080000000000001</v>
      </c>
      <c r="R80" s="272">
        <v>-1.1080000000000001</v>
      </c>
      <c r="S80" s="272">
        <v>-1.0589999999999999</v>
      </c>
      <c r="T80" s="272">
        <v>-1.1080000000000001</v>
      </c>
      <c r="U80" s="272">
        <v>-1.1080000000000001</v>
      </c>
      <c r="V80" s="272">
        <v>-1.0589999999999999</v>
      </c>
      <c r="W80" s="272">
        <v>-1.0589999999999999</v>
      </c>
      <c r="X80" s="272">
        <v>-1.0369999999999999</v>
      </c>
      <c r="Y80" s="272">
        <v>-1.0369999999999999</v>
      </c>
    </row>
    <row r="81" spans="3:42" x14ac:dyDescent="0.25">
      <c r="C81" s="86"/>
      <c r="F81" s="293" t="s">
        <v>43</v>
      </c>
      <c r="G81" s="14" t="s">
        <v>428</v>
      </c>
      <c r="H81" s="142"/>
      <c r="I81" s="142"/>
      <c r="J81" s="273">
        <v>1.1080000000000001</v>
      </c>
      <c r="K81" s="273">
        <v>1.1080000000000001</v>
      </c>
      <c r="L81" s="273">
        <v>1.1080000000000001</v>
      </c>
      <c r="M81" s="273">
        <v>1.1080000000000001</v>
      </c>
      <c r="N81" s="273">
        <v>1.1080000000000001</v>
      </c>
      <c r="O81" s="273">
        <v>1.0589999999999999</v>
      </c>
      <c r="P81" s="273">
        <v>1.0369999999999999</v>
      </c>
      <c r="Q81" s="273">
        <v>1.1080000000000001</v>
      </c>
      <c r="R81" s="273">
        <v>-1.1080000000000001</v>
      </c>
      <c r="S81" s="273">
        <v>-1.0589999999999999</v>
      </c>
      <c r="T81" s="273">
        <v>-1.1080000000000001</v>
      </c>
      <c r="U81" s="273">
        <v>-1.1080000000000001</v>
      </c>
      <c r="V81" s="273">
        <v>-1.0589999999999999</v>
      </c>
      <c r="W81" s="273">
        <v>-1.0589999999999999</v>
      </c>
      <c r="X81" s="273">
        <v>-1.0369999999999999</v>
      </c>
      <c r="Y81" s="273">
        <v>-1.0369999999999999</v>
      </c>
    </row>
    <row r="82" spans="3:42" x14ac:dyDescent="0.25">
      <c r="C82" s="86"/>
      <c r="F82" s="293" t="s">
        <v>44</v>
      </c>
      <c r="G82" s="14" t="s">
        <v>428</v>
      </c>
      <c r="H82" s="142"/>
      <c r="I82" s="142"/>
      <c r="J82" s="273">
        <v>1.1080000000000001</v>
      </c>
      <c r="K82" s="273">
        <v>1.1080000000000001</v>
      </c>
      <c r="L82" s="273">
        <v>1.1080000000000001</v>
      </c>
      <c r="M82" s="273">
        <v>1.1080000000000001</v>
      </c>
      <c r="N82" s="273">
        <v>1.1080000000000001</v>
      </c>
      <c r="O82" s="273">
        <v>1.0589999999999999</v>
      </c>
      <c r="P82" s="273">
        <v>1.0369999999999999</v>
      </c>
      <c r="Q82" s="273">
        <v>1.1080000000000001</v>
      </c>
      <c r="R82" s="273">
        <v>-1.1080000000000001</v>
      </c>
      <c r="S82" s="273">
        <v>-1.0589999999999999</v>
      </c>
      <c r="T82" s="273">
        <v>-1.1080000000000001</v>
      </c>
      <c r="U82" s="273">
        <v>-1.1080000000000001</v>
      </c>
      <c r="V82" s="273">
        <v>-1.0589999999999999</v>
      </c>
      <c r="W82" s="273">
        <v>-1.0589999999999999</v>
      </c>
      <c r="X82" s="273">
        <v>-1.0369999999999999</v>
      </c>
      <c r="Y82" s="273">
        <v>-1.0369999999999999</v>
      </c>
    </row>
    <row r="83" spans="3:42" x14ac:dyDescent="0.25">
      <c r="C83" s="86"/>
      <c r="F83" s="293" t="s">
        <v>45</v>
      </c>
      <c r="G83" s="14" t="s">
        <v>428</v>
      </c>
      <c r="H83" s="142"/>
      <c r="I83" s="142"/>
      <c r="J83" s="273">
        <v>1.1080000000000001</v>
      </c>
      <c r="K83" s="273">
        <v>1.1080000000000001</v>
      </c>
      <c r="L83" s="273">
        <v>1.1080000000000001</v>
      </c>
      <c r="M83" s="273">
        <v>1.1080000000000001</v>
      </c>
      <c r="N83" s="273">
        <v>1.1080000000000001</v>
      </c>
      <c r="O83" s="273">
        <v>1.0589999999999999</v>
      </c>
      <c r="P83" s="273">
        <v>1.0369999999999999</v>
      </c>
      <c r="Q83" s="273">
        <v>1.1080000000000001</v>
      </c>
      <c r="R83" s="273">
        <v>-1.1080000000000001</v>
      </c>
      <c r="S83" s="273">
        <v>-1.0589999999999999</v>
      </c>
      <c r="T83" s="273">
        <v>-1.1080000000000001</v>
      </c>
      <c r="U83" s="273">
        <v>-1.1080000000000001</v>
      </c>
      <c r="V83" s="273">
        <v>-1.0589999999999999</v>
      </c>
      <c r="W83" s="273">
        <v>-1.0589999999999999</v>
      </c>
      <c r="X83" s="273">
        <v>-1.0369999999999999</v>
      </c>
      <c r="Y83" s="273">
        <v>-1.0369999999999999</v>
      </c>
    </row>
    <row r="84" spans="3:42" x14ac:dyDescent="0.25">
      <c r="C84" s="86"/>
      <c r="F84" s="293" t="s">
        <v>46</v>
      </c>
      <c r="G84" s="14" t="s">
        <v>428</v>
      </c>
      <c r="H84" s="142"/>
      <c r="I84" s="142"/>
      <c r="J84" s="273">
        <v>1.1080000000000001</v>
      </c>
      <c r="K84" s="273">
        <v>1.1080000000000001</v>
      </c>
      <c r="L84" s="273">
        <v>1.1080000000000001</v>
      </c>
      <c r="M84" s="273">
        <v>1.1080000000000001</v>
      </c>
      <c r="N84" s="273">
        <v>1.1080000000000001</v>
      </c>
      <c r="O84" s="273">
        <v>1.0589999999999999</v>
      </c>
      <c r="P84" s="273">
        <v>1.0369999999999999</v>
      </c>
      <c r="Q84" s="273">
        <v>1.1080000000000001</v>
      </c>
      <c r="R84" s="273">
        <v>-1.1080000000000001</v>
      </c>
      <c r="S84" s="273">
        <v>-1.0589999999999999</v>
      </c>
      <c r="T84" s="273">
        <v>-1.1080000000000001</v>
      </c>
      <c r="U84" s="273">
        <v>-1.1080000000000001</v>
      </c>
      <c r="V84" s="273">
        <v>-1.0589999999999999</v>
      </c>
      <c r="W84" s="273">
        <v>-1.0589999999999999</v>
      </c>
      <c r="X84" s="273">
        <v>-1.0369999999999999</v>
      </c>
      <c r="Y84" s="273">
        <v>-1.0369999999999999</v>
      </c>
    </row>
    <row r="85" spans="3:42" x14ac:dyDescent="0.25">
      <c r="C85" s="86"/>
      <c r="F85" s="293" t="s">
        <v>47</v>
      </c>
      <c r="G85" s="14" t="s">
        <v>428</v>
      </c>
      <c r="H85" s="142"/>
      <c r="I85" s="142"/>
      <c r="J85" s="273">
        <v>1.1080000000000001</v>
      </c>
      <c r="K85" s="273">
        <v>1.1080000000000001</v>
      </c>
      <c r="L85" s="273">
        <v>1.1080000000000001</v>
      </c>
      <c r="M85" s="273">
        <v>1.1080000000000001</v>
      </c>
      <c r="N85" s="273">
        <v>1.1080000000000001</v>
      </c>
      <c r="O85" s="273">
        <v>1.0589999999999999</v>
      </c>
      <c r="P85" s="273">
        <v>1.0369999999999999</v>
      </c>
      <c r="Q85" s="273">
        <v>1.1080000000000001</v>
      </c>
      <c r="R85" s="273">
        <v>-1.1080000000000001</v>
      </c>
      <c r="S85" s="273">
        <v>-1.0589999999999999</v>
      </c>
      <c r="T85" s="273">
        <v>-1.1080000000000001</v>
      </c>
      <c r="U85" s="273">
        <v>-1.1080000000000001</v>
      </c>
      <c r="V85" s="273">
        <v>-1.0589999999999999</v>
      </c>
      <c r="W85" s="273">
        <v>-1.0589999999999999</v>
      </c>
      <c r="X85" s="273">
        <v>-1.0369999999999999</v>
      </c>
      <c r="Y85" s="273">
        <v>-1.0369999999999999</v>
      </c>
    </row>
    <row r="86" spans="3:42" x14ac:dyDescent="0.25">
      <c r="C86" s="86"/>
      <c r="F86" s="293" t="s">
        <v>51</v>
      </c>
      <c r="G86" s="14" t="s">
        <v>428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25">
      <c r="C87" s="86"/>
      <c r="F87" s="293" t="s">
        <v>48</v>
      </c>
      <c r="G87" s="14" t="s">
        <v>428</v>
      </c>
      <c r="H87" s="142"/>
      <c r="I87" s="142"/>
      <c r="J87" s="273">
        <v>1.1080000000000001</v>
      </c>
      <c r="K87" s="273">
        <v>1.1080000000000001</v>
      </c>
      <c r="L87" s="273">
        <v>1.1080000000000001</v>
      </c>
      <c r="M87" s="273">
        <v>1.1080000000000001</v>
      </c>
      <c r="N87" s="273">
        <v>1.1080000000000001</v>
      </c>
      <c r="O87" s="273">
        <v>1.0589999999999999</v>
      </c>
      <c r="P87" s="273">
        <v>1.0369999999999999</v>
      </c>
      <c r="Q87" s="273">
        <v>1.1080000000000001</v>
      </c>
      <c r="R87" s="273">
        <v>-1.1080000000000001</v>
      </c>
      <c r="S87" s="273">
        <v>-1.0589999999999999</v>
      </c>
      <c r="T87" s="273">
        <v>-1.1080000000000001</v>
      </c>
      <c r="U87" s="273">
        <v>-1.1080000000000001</v>
      </c>
      <c r="V87" s="273">
        <v>-1.0589999999999999</v>
      </c>
      <c r="W87" s="273">
        <v>-1.0589999999999999</v>
      </c>
      <c r="X87" s="273">
        <v>0</v>
      </c>
      <c r="Y87" s="273">
        <v>0</v>
      </c>
    </row>
    <row r="88" spans="3:42" x14ac:dyDescent="0.25">
      <c r="C88" s="86"/>
      <c r="F88" s="293" t="s">
        <v>49</v>
      </c>
      <c r="G88" s="14" t="s">
        <v>428</v>
      </c>
      <c r="H88" s="142"/>
      <c r="I88" s="142"/>
      <c r="J88" s="273">
        <v>1.1080000000000001</v>
      </c>
      <c r="K88" s="273">
        <v>1.1080000000000001</v>
      </c>
      <c r="L88" s="273">
        <v>1.1080000000000001</v>
      </c>
      <c r="M88" s="273">
        <v>1.1080000000000001</v>
      </c>
      <c r="N88" s="273">
        <v>1.1080000000000001</v>
      </c>
      <c r="O88" s="273">
        <v>1.0589999999999999</v>
      </c>
      <c r="P88" s="273">
        <v>0</v>
      </c>
      <c r="Q88" s="273">
        <v>1.1080000000000001</v>
      </c>
      <c r="R88" s="273">
        <v>-1.1080000000000001</v>
      </c>
      <c r="S88" s="273">
        <v>0</v>
      </c>
      <c r="T88" s="273">
        <v>-1.1080000000000001</v>
      </c>
      <c r="U88" s="273">
        <v>-1.1080000000000001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25">
      <c r="C89" s="86"/>
      <c r="F89" s="293" t="s">
        <v>50</v>
      </c>
      <c r="G89" s="14" t="s">
        <v>428</v>
      </c>
      <c r="H89" s="142"/>
      <c r="I89" s="142"/>
      <c r="J89" s="273">
        <v>1.1080000000000001</v>
      </c>
      <c r="K89" s="273">
        <v>1.1080000000000001</v>
      </c>
      <c r="L89" s="273">
        <v>1.1080000000000001</v>
      </c>
      <c r="M89" s="273">
        <v>1.1080000000000001</v>
      </c>
      <c r="N89" s="273">
        <v>1.1080000000000001</v>
      </c>
      <c r="O89" s="273">
        <v>0</v>
      </c>
      <c r="P89" s="273">
        <v>0</v>
      </c>
      <c r="Q89" s="273">
        <v>1.1080000000000001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25">
      <c r="C90" s="86"/>
      <c r="F90" s="293" t="s">
        <v>124</v>
      </c>
      <c r="G90" s="14" t="s">
        <v>428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25">
      <c r="C91" s="86"/>
      <c r="F91" s="93" t="s">
        <v>123</v>
      </c>
      <c r="G91" s="15" t="s">
        <v>428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25">
      <c r="C92" s="86"/>
      <c r="F92" s="98"/>
    </row>
    <row r="93" spans="3:42" x14ac:dyDescent="0.25">
      <c r="D93" s="293"/>
      <c r="E93" s="96" t="s">
        <v>263</v>
      </c>
      <c r="H93" s="111"/>
      <c r="J93" s="90"/>
      <c r="L93" s="90"/>
      <c r="AP93" s="88"/>
    </row>
    <row r="94" spans="3:42" x14ac:dyDescent="0.2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89">
        <f>'Standing charge factors'!J52</f>
        <v>1</v>
      </c>
      <c r="K102" s="389">
        <f>'Standing charge factors'!K52</f>
        <v>1</v>
      </c>
      <c r="L102" s="389">
        <f>'Standing charge factors'!L52</f>
        <v>1</v>
      </c>
      <c r="M102" s="389">
        <f>'Standing charge factors'!M52</f>
        <v>1</v>
      </c>
      <c r="N102" s="389">
        <f>'Standing charge factors'!N52</f>
        <v>1</v>
      </c>
      <c r="O102" s="389">
        <f>'Standing charge factors'!O52</f>
        <v>0</v>
      </c>
      <c r="P102" s="389">
        <f>'Standing charge factors'!P52</f>
        <v>0</v>
      </c>
      <c r="Q102" s="389">
        <f>'Standing charge factors'!Q52</f>
        <v>0</v>
      </c>
      <c r="R102" s="389">
        <f>'Standing charge factors'!R52</f>
        <v>0</v>
      </c>
      <c r="S102" s="389">
        <f>'Standing charge factors'!S52</f>
        <v>0</v>
      </c>
      <c r="T102" s="389">
        <f>'Standing charge factors'!T52</f>
        <v>0</v>
      </c>
      <c r="U102" s="389">
        <f>'Standing charge factors'!U52</f>
        <v>0</v>
      </c>
      <c r="V102" s="389">
        <f>'Standing charge factors'!V52</f>
        <v>0</v>
      </c>
      <c r="W102" s="389">
        <f>'Standing charge factors'!W52</f>
        <v>0</v>
      </c>
      <c r="X102" s="389">
        <f>'Standing charge factors'!X52</f>
        <v>0</v>
      </c>
      <c r="Y102" s="389">
        <f>'Standing charge factors'!Y52</f>
        <v>0</v>
      </c>
      <c r="AP102" s="88"/>
    </row>
    <row r="103" spans="3:42" x14ac:dyDescent="0.25">
      <c r="C103" s="86"/>
      <c r="D103" s="293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0.29443019943019899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0.29443019943019899</v>
      </c>
      <c r="Y109" s="143">
        <v>0.29443019943019899</v>
      </c>
    </row>
    <row r="110" spans="3:42" x14ac:dyDescent="0.2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0.14317058823529399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0.14317058823529399</v>
      </c>
      <c r="Y110" s="143">
        <v>0.14317058823529399</v>
      </c>
    </row>
    <row r="111" spans="3:42" x14ac:dyDescent="0.2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3" t="s">
        <v>48</v>
      </c>
      <c r="G112" s="293" t="s">
        <v>94</v>
      </c>
      <c r="H112" s="142"/>
      <c r="I112" s="142"/>
      <c r="J112" s="143">
        <v>0.32635129017655001</v>
      </c>
      <c r="K112" s="143">
        <v>0.32635129017655001</v>
      </c>
      <c r="L112" s="143">
        <v>0.32635129017655001</v>
      </c>
      <c r="M112" s="143">
        <v>0.32635129017655001</v>
      </c>
      <c r="N112" s="143">
        <v>0.32635129017655001</v>
      </c>
      <c r="O112" s="143">
        <v>0.32635129017655001</v>
      </c>
      <c r="P112" s="143">
        <v>0.73429040289723801</v>
      </c>
      <c r="Q112" s="143">
        <v>0.32635129017655001</v>
      </c>
      <c r="R112" s="143">
        <v>0.32635129017655001</v>
      </c>
      <c r="S112" s="143">
        <v>0.32635129017655001</v>
      </c>
      <c r="T112" s="143">
        <v>0.32635129017655001</v>
      </c>
      <c r="U112" s="143">
        <v>0.32635129017655001</v>
      </c>
      <c r="V112" s="143">
        <v>0.32635129017655001</v>
      </c>
      <c r="W112" s="143">
        <v>0.32635129017655001</v>
      </c>
      <c r="X112" s="143">
        <v>0.73429040289723801</v>
      </c>
      <c r="Y112" s="143">
        <v>0.73429040289723801</v>
      </c>
    </row>
    <row r="113" spans="2:27" x14ac:dyDescent="0.25">
      <c r="C113" s="86"/>
      <c r="F113" s="293" t="s">
        <v>49</v>
      </c>
      <c r="G113" s="293" t="s">
        <v>94</v>
      </c>
      <c r="H113" s="142"/>
      <c r="I113" s="142"/>
      <c r="J113" s="143">
        <v>0.71097285067873295</v>
      </c>
      <c r="K113" s="143">
        <v>0.71097285067873295</v>
      </c>
      <c r="L113" s="143">
        <v>0.71097285067873295</v>
      </c>
      <c r="M113" s="143">
        <v>0.71097285067873295</v>
      </c>
      <c r="N113" s="143">
        <v>0.71097285067873295</v>
      </c>
      <c r="O113" s="143">
        <v>0.71097285067873295</v>
      </c>
      <c r="P113" s="143">
        <v>0</v>
      </c>
      <c r="Q113" s="143">
        <v>0.71097285067873295</v>
      </c>
      <c r="R113" s="143">
        <v>0.71097285067873295</v>
      </c>
      <c r="S113" s="143">
        <v>0.71097285067873295</v>
      </c>
      <c r="T113" s="143">
        <v>0.71097285067873295</v>
      </c>
      <c r="U113" s="143">
        <v>0.71097285067873295</v>
      </c>
      <c r="V113" s="143">
        <v>0.71097285067873295</v>
      </c>
      <c r="W113" s="143">
        <v>0.71097285067873295</v>
      </c>
      <c r="X113" s="143">
        <v>0</v>
      </c>
      <c r="Y113" s="143">
        <v>0</v>
      </c>
    </row>
    <row r="114" spans="2:27" x14ac:dyDescent="0.25">
      <c r="C114" s="86"/>
      <c r="F114" s="293" t="s">
        <v>50</v>
      </c>
      <c r="G114" s="293" t="s">
        <v>94</v>
      </c>
      <c r="H114" s="142"/>
      <c r="I114" s="142"/>
      <c r="J114" s="143">
        <v>0.93094869075781095</v>
      </c>
      <c r="K114" s="143">
        <v>0.93094869075781095</v>
      </c>
      <c r="L114" s="143">
        <v>0.93094869075781095</v>
      </c>
      <c r="M114" s="143">
        <v>0.93094869075781095</v>
      </c>
      <c r="N114" s="143">
        <v>0.93094869075781095</v>
      </c>
      <c r="O114" s="143">
        <v>0</v>
      </c>
      <c r="P114" s="143">
        <v>0</v>
      </c>
      <c r="Q114" s="143">
        <v>0.93094869075781095</v>
      </c>
      <c r="R114" s="143">
        <v>0.93094869075781095</v>
      </c>
      <c r="S114" s="143">
        <v>0</v>
      </c>
      <c r="T114" s="143">
        <v>0.93094869075781095</v>
      </c>
      <c r="U114" s="143">
        <v>0.93094869075781095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3"/>
      <c r="F117" s="98"/>
    </row>
    <row r="118" spans="2:27" x14ac:dyDescent="0.25">
      <c r="D118" s="293"/>
      <c r="E118" s="96" t="s">
        <v>305</v>
      </c>
      <c r="F118" s="98"/>
      <c r="I118" s="293" t="s">
        <v>359</v>
      </c>
      <c r="AA118" s="293" t="s">
        <v>822</v>
      </c>
    </row>
    <row r="119" spans="2:27" x14ac:dyDescent="0.25">
      <c r="D119" s="293"/>
      <c r="E119" s="82" t="s">
        <v>397</v>
      </c>
      <c r="F119" s="98"/>
    </row>
    <row r="120" spans="2:27" x14ac:dyDescent="0.25">
      <c r="D120" s="293"/>
      <c r="E120" s="82" t="s">
        <v>398</v>
      </c>
      <c r="F120" s="98"/>
    </row>
    <row r="121" spans="2:27" x14ac:dyDescent="0.2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3"/>
      <c r="F122" s="293" t="s">
        <v>307</v>
      </c>
      <c r="G122" s="293" t="s">
        <v>155</v>
      </c>
      <c r="J122" s="396">
        <f>'Fixed inputs'!J137</f>
        <v>0</v>
      </c>
      <c r="K122" s="396">
        <f>'Fixed inputs'!K137</f>
        <v>0</v>
      </c>
      <c r="L122" s="396">
        <f>'Fixed inputs'!L137</f>
        <v>0</v>
      </c>
      <c r="M122" s="396">
        <f>'Fixed inputs'!M137</f>
        <v>0</v>
      </c>
      <c r="N122" s="396">
        <f>'Fixed inputs'!N137</f>
        <v>1</v>
      </c>
      <c r="O122" s="396">
        <f>'Fixed inputs'!O137</f>
        <v>1</v>
      </c>
      <c r="P122" s="396">
        <f>'Fixed inputs'!P137</f>
        <v>1</v>
      </c>
      <c r="Q122" s="396">
        <f>'Fixed inputs'!Q137</f>
        <v>0</v>
      </c>
      <c r="R122" s="396">
        <f>'Fixed inputs'!R137</f>
        <v>0</v>
      </c>
      <c r="S122" s="396">
        <f>'Fixed inputs'!S137</f>
        <v>0</v>
      </c>
      <c r="T122" s="396">
        <f>'Fixed inputs'!T137</f>
        <v>0</v>
      </c>
      <c r="U122" s="396">
        <f>'Fixed inputs'!U137</f>
        <v>0</v>
      </c>
      <c r="V122" s="396">
        <f>'Fixed inputs'!V137</f>
        <v>0</v>
      </c>
      <c r="W122" s="396">
        <f>'Fixed inputs'!W137</f>
        <v>0</v>
      </c>
      <c r="X122" s="396">
        <f>'Fixed inputs'!X137</f>
        <v>0</v>
      </c>
      <c r="Y122" s="396">
        <f>'Fixed inputs'!Y137</f>
        <v>0</v>
      </c>
    </row>
    <row r="123" spans="2:27" x14ac:dyDescent="0.25">
      <c r="D123" s="293"/>
      <c r="F123" s="93" t="s">
        <v>308</v>
      </c>
      <c r="G123" s="93" t="s">
        <v>155</v>
      </c>
      <c r="H123" s="93"/>
      <c r="I123" s="93"/>
      <c r="J123" s="532">
        <f>'Fixed inputs'!J139</f>
        <v>1</v>
      </c>
      <c r="K123" s="532">
        <f>'Fixed inputs'!K139</f>
        <v>0</v>
      </c>
      <c r="L123" s="532">
        <f>'Fixed inputs'!L139</f>
        <v>1</v>
      </c>
      <c r="M123" s="532">
        <f>'Fixed inputs'!M139</f>
        <v>0</v>
      </c>
      <c r="N123" s="532">
        <f>'Fixed inputs'!N139</f>
        <v>0</v>
      </c>
      <c r="O123" s="532">
        <f>'Fixed inputs'!O139</f>
        <v>0</v>
      </c>
      <c r="P123" s="532">
        <f>'Fixed inputs'!P139</f>
        <v>0</v>
      </c>
      <c r="Q123" s="532">
        <f>'Fixed inputs'!Q139</f>
        <v>0</v>
      </c>
      <c r="R123" s="532">
        <f>'Fixed inputs'!R139</f>
        <v>0</v>
      </c>
      <c r="S123" s="532">
        <f>'Fixed inputs'!S139</f>
        <v>0</v>
      </c>
      <c r="T123" s="532">
        <f>'Fixed inputs'!T139</f>
        <v>0</v>
      </c>
      <c r="U123" s="532">
        <f>'Fixed inputs'!U139</f>
        <v>0</v>
      </c>
      <c r="V123" s="532">
        <f>'Fixed inputs'!V139</f>
        <v>0</v>
      </c>
      <c r="W123" s="532">
        <f>'Fixed inputs'!W139</f>
        <v>0</v>
      </c>
      <c r="X123" s="532">
        <f>'Fixed inputs'!X139</f>
        <v>0</v>
      </c>
      <c r="Y123" s="532">
        <f>'Fixed inputs'!Y139</f>
        <v>0</v>
      </c>
    </row>
    <row r="124" spans="2:27" x14ac:dyDescent="0.25">
      <c r="C124" s="86"/>
    </row>
    <row r="125" spans="2:27" x14ac:dyDescent="0.2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739</v>
      </c>
      <c r="D127" s="293"/>
      <c r="E127" s="293"/>
    </row>
    <row r="128" spans="2:27" x14ac:dyDescent="0.25">
      <c r="C128" s="86"/>
    </row>
    <row r="129" spans="3:27" x14ac:dyDescent="0.25">
      <c r="C129" s="7" t="str">
        <f ca="1">INDEX('Version control'!$H$34:$H$60,MATCH($A$1,'Version control'!$F$34:$F$60,0),1)&amp;"-B: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3" t="s">
        <v>359</v>
      </c>
      <c r="AA131" s="293" t="s">
        <v>740</v>
      </c>
    </row>
    <row r="132" spans="3:27" x14ac:dyDescent="0.2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2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25">
      <c r="C134" s="86"/>
      <c r="F134" s="293" t="s">
        <v>44</v>
      </c>
      <c r="G134" s="293" t="s">
        <v>251</v>
      </c>
      <c r="J134" s="275">
        <f t="shared" ref="J134:K134" si="0">hundred*J95*$H53*J82/$H39*(1-J107)/days_in_year/(1+$H25)*PowerFactor</f>
        <v>0</v>
      </c>
      <c r="K134" s="275">
        <f t="shared" si="0"/>
        <v>0</v>
      </c>
      <c r="L134" s="275">
        <f t="shared" ref="L134:M134" si="1">hundred*L95*$H53*L82/$H39*(1-L107)/days_in_year/(1+$H25)*PowerFactor</f>
        <v>0</v>
      </c>
      <c r="M134" s="275">
        <f t="shared" si="1"/>
        <v>0</v>
      </c>
      <c r="N134" s="275">
        <f t="shared" ref="N134:P134" si="2">hundred*N95*$H53*N82/$H39*(1-N107)/days_in_year/(1+$H25)*PowerFactor</f>
        <v>0</v>
      </c>
      <c r="O134" s="275">
        <f t="shared" si="2"/>
        <v>0</v>
      </c>
      <c r="P134" s="275">
        <f t="shared" si="2"/>
        <v>0</v>
      </c>
      <c r="Q134" s="275">
        <f t="shared" ref="Q134" si="3">hundred*Q95*$H53*Q82/$H39*(1-Q107)/days_in_year/(1+$H25)*PowerFactor</f>
        <v>0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25">
      <c r="C135" s="86"/>
      <c r="F135" s="293" t="s">
        <v>45</v>
      </c>
      <c r="G135" s="293" t="s">
        <v>251</v>
      </c>
      <c r="J135" s="275">
        <f t="shared" ref="J135:K135" si="4">hundred*J96*$H54*J83/$H40*(1-J108)/days_in_year/(1+$H26)*PowerFactor</f>
        <v>0</v>
      </c>
      <c r="K135" s="275">
        <f t="shared" si="4"/>
        <v>0</v>
      </c>
      <c r="L135" s="275">
        <f t="shared" ref="L135:M135" si="5">hundred*L96*$H54*L83/$H40*(1-L108)/days_in_year/(1+$H26)*PowerFactor</f>
        <v>0</v>
      </c>
      <c r="M135" s="275">
        <f t="shared" si="5"/>
        <v>0</v>
      </c>
      <c r="N135" s="275">
        <f t="shared" ref="N135:P135" si="6">hundred*N96*$H54*N83/$H40*(1-N108)/days_in_year/(1+$H26)*PowerFactor</f>
        <v>0</v>
      </c>
      <c r="O135" s="275">
        <f t="shared" si="6"/>
        <v>0</v>
      </c>
      <c r="P135" s="275">
        <f t="shared" si="6"/>
        <v>0</v>
      </c>
      <c r="Q135" s="275">
        <f t="shared" ref="Q135" si="7">hundred*Q96*$H54*Q83/$H40*(1-Q108)/days_in_year/(1+$H26)*PowerFactor</f>
        <v>0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25">
      <c r="C136" s="86"/>
      <c r="F136" s="293" t="s">
        <v>46</v>
      </c>
      <c r="G136" s="293" t="s">
        <v>251</v>
      </c>
      <c r="J136" s="275">
        <f t="shared" ref="J136:K136" si="8">hundred*J97*$H55*J84/$H41*(1-J109)/days_in_year/(1+$H27)*PowerFactor</f>
        <v>0</v>
      </c>
      <c r="K136" s="275">
        <f t="shared" si="8"/>
        <v>0</v>
      </c>
      <c r="L136" s="275">
        <f t="shared" ref="L136:M136" si="9">hundred*L97*$H55*L84/$H41*(1-L109)/days_in_year/(1+$H27)*PowerFactor</f>
        <v>0</v>
      </c>
      <c r="M136" s="275">
        <f t="shared" si="9"/>
        <v>0</v>
      </c>
      <c r="N136" s="275">
        <f t="shared" ref="N136:P136" si="10">hundred*N97*$H55*N84/$H41*(1-N109)/days_in_year/(1+$H27)*PowerFactor</f>
        <v>0</v>
      </c>
      <c r="O136" s="275">
        <f t="shared" si="10"/>
        <v>0</v>
      </c>
      <c r="P136" s="275">
        <f t="shared" si="10"/>
        <v>0.4106973235616338</v>
      </c>
      <c r="Q136" s="275">
        <f t="shared" ref="Q136" si="11">hundred*Q97*$H55*Q84/$H41*(1-Q109)/days_in_year/(1+$H27)*PowerFactor</f>
        <v>0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25">
      <c r="C137" s="86"/>
      <c r="F137" s="293" t="s">
        <v>47</v>
      </c>
      <c r="G137" s="293" t="s">
        <v>251</v>
      </c>
      <c r="J137" s="275">
        <f t="shared" ref="J137:K137" si="12">hundred*J98*$H56*J85/$H42*(1-J110)/days_in_year/(1+$H28)*PowerFactor</f>
        <v>0</v>
      </c>
      <c r="K137" s="275">
        <f t="shared" si="12"/>
        <v>0</v>
      </c>
      <c r="L137" s="275">
        <f t="shared" ref="L137:M137" si="13">hundred*L98*$H56*L85/$H42*(1-L110)/days_in_year/(1+$H28)*PowerFactor</f>
        <v>0</v>
      </c>
      <c r="M137" s="275">
        <f t="shared" si="13"/>
        <v>0</v>
      </c>
      <c r="N137" s="275">
        <f t="shared" ref="N137:P137" si="14">hundred*N98*$H56*N85/$H42*(1-N110)/days_in_year/(1+$H28)*PowerFactor</f>
        <v>0</v>
      </c>
      <c r="O137" s="275">
        <f t="shared" si="14"/>
        <v>0</v>
      </c>
      <c r="P137" s="275">
        <f t="shared" si="14"/>
        <v>0.41417938864525355</v>
      </c>
      <c r="Q137" s="275">
        <f t="shared" ref="Q137" si="15">hundred*Q98*$H56*Q85/$H42*(1-Q110)/days_in_year/(1+$H28)*PowerFactor</f>
        <v>0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25">
      <c r="C138" s="86"/>
      <c r="F138" s="293" t="s">
        <v>51</v>
      </c>
      <c r="G138" s="293" t="s">
        <v>251</v>
      </c>
      <c r="J138" s="275">
        <f t="shared" ref="J138:K138" si="16">hundred*J99*$H57*J86/$H43*(1-J111)/days_in_year/(1+$H29)*PowerFactor</f>
        <v>0</v>
      </c>
      <c r="K138" s="275">
        <f t="shared" si="16"/>
        <v>0</v>
      </c>
      <c r="L138" s="275">
        <f t="shared" ref="L138:M138" si="17">hundred*L99*$H57*L86/$H43*(1-L111)/days_in_year/(1+$H29)*PowerFactor</f>
        <v>0</v>
      </c>
      <c r="M138" s="275">
        <f t="shared" si="17"/>
        <v>0</v>
      </c>
      <c r="N138" s="275">
        <f t="shared" ref="N138:P138" si="18">hundred*N99*$H57*N86/$H43*(1-N111)/days_in_year/(1+$H29)*PowerFactor</f>
        <v>0</v>
      </c>
      <c r="O138" s="275">
        <f t="shared" si="18"/>
        <v>0</v>
      </c>
      <c r="P138" s="275">
        <f t="shared" si="18"/>
        <v>0</v>
      </c>
      <c r="Q138" s="275">
        <f t="shared" ref="Q138" si="19">hundred*Q99*$H57*Q86/$H43*(1-Q111)/days_in_year/(1+$H29)*PowerFactor</f>
        <v>0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25">
      <c r="C139" s="86"/>
      <c r="F139" s="293" t="s">
        <v>48</v>
      </c>
      <c r="G139" s="293" t="s">
        <v>251</v>
      </c>
      <c r="J139" s="275">
        <f t="shared" ref="J139:K139" si="20">hundred*J100*$H58*J87/$H44*(1-J112)/days_in_year/(1+$H30)*PowerFactor</f>
        <v>0</v>
      </c>
      <c r="K139" s="275">
        <f t="shared" si="20"/>
        <v>0</v>
      </c>
      <c r="L139" s="275">
        <f t="shared" ref="L139:M139" si="21">hundred*L100*$H58*L87/$H44*(1-L112)/days_in_year/(1+$H30)*PowerFactor</f>
        <v>0</v>
      </c>
      <c r="M139" s="275">
        <f t="shared" si="21"/>
        <v>0</v>
      </c>
      <c r="N139" s="275">
        <f t="shared" ref="N139:P139" si="22">hundred*N100*$H58*N87/$H44*(1-N112)/days_in_year/(1+$H30)*PowerFactor</f>
        <v>0.47593382308052806</v>
      </c>
      <c r="O139" s="275">
        <f t="shared" si="22"/>
        <v>2.2744310408045085</v>
      </c>
      <c r="P139" s="275">
        <f t="shared" si="22"/>
        <v>0.87847484217668403</v>
      </c>
      <c r="Q139" s="275">
        <f t="shared" ref="Q139" si="23">hundred*Q100*$H58*Q87/$H44*(1-Q112)/days_in_year/(1+$H30)*PowerFactor</f>
        <v>0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25">
      <c r="C140" s="86"/>
      <c r="F140" s="293" t="s">
        <v>49</v>
      </c>
      <c r="G140" s="293" t="s">
        <v>251</v>
      </c>
      <c r="J140" s="275">
        <f t="shared" ref="J140:K140" si="24">hundred*J101*$H59*J88/$H45*(1-J113)/days_in_year/(1+$H31)*PowerFactor</f>
        <v>0</v>
      </c>
      <c r="K140" s="275">
        <f t="shared" si="24"/>
        <v>0</v>
      </c>
      <c r="L140" s="275">
        <f t="shared" ref="L140:M140" si="25">hundred*L101*$H59*L88/$H45*(1-L113)/days_in_year/(1+$H31)*PowerFactor</f>
        <v>0</v>
      </c>
      <c r="M140" s="275">
        <f t="shared" si="25"/>
        <v>0</v>
      </c>
      <c r="N140" s="275">
        <f t="shared" ref="N140:P140" si="26">hundred*N101*$H59*N88/$H45*(1-N113)/days_in_year/(1+$H31)*PowerFactor</f>
        <v>0.399332513998715</v>
      </c>
      <c r="O140" s="275">
        <f t="shared" si="26"/>
        <v>0.38167250209804976</v>
      </c>
      <c r="P140" s="275">
        <f t="shared" si="26"/>
        <v>0</v>
      </c>
      <c r="Q140" s="275">
        <f t="shared" ref="Q140" si="27">hundred*Q101*$H59*Q88/$H45*(1-Q113)/days_in_year/(1+$H31)*PowerFactor</f>
        <v>0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25">
      <c r="C141" s="86"/>
      <c r="F141" s="293" t="s">
        <v>50</v>
      </c>
      <c r="G141" s="293" t="s">
        <v>251</v>
      </c>
      <c r="J141" s="275">
        <f t="shared" ref="J141:K141" si="28">hundred*J102*$H60*J89/$H46*(1-J114)/days_in_year/(1+$H32)*PowerFactor</f>
        <v>6.2217699613785017E-2</v>
      </c>
      <c r="K141" s="275">
        <f t="shared" si="28"/>
        <v>6.2217699613785017E-2</v>
      </c>
      <c r="L141" s="275">
        <f t="shared" ref="L141:M141" si="29">hundred*L102*$H60*L89/$H46*(1-L114)/days_in_year/(1+$H32)*PowerFactor</f>
        <v>6.2217699613785017E-2</v>
      </c>
      <c r="M141" s="275">
        <f t="shared" si="29"/>
        <v>6.2217699613785017E-2</v>
      </c>
      <c r="N141" s="275">
        <f t="shared" ref="N141:P141" si="30">hundred*N102*$H60*N89/$H46*(1-N114)/days_in_year/(1+$H32)*PowerFactor</f>
        <v>6.2217699613785017E-2</v>
      </c>
      <c r="O141" s="275">
        <f t="shared" si="30"/>
        <v>0</v>
      </c>
      <c r="P141" s="275">
        <f t="shared" si="30"/>
        <v>0</v>
      </c>
      <c r="Q141" s="275">
        <f t="shared" ref="Q141" si="31">hundred*Q102*$H60*Q89/$H46*(1-Q114)/days_in_year/(1+$H32)*PowerFactor</f>
        <v>0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2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2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2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25">
      <c r="C146" s="86"/>
      <c r="F146" s="91" t="s">
        <v>267</v>
      </c>
      <c r="G146" s="91" t="s">
        <v>251</v>
      </c>
      <c r="H146" s="91"/>
      <c r="I146" s="91"/>
      <c r="J146" s="270">
        <f t="shared" ref="J146:K146" si="32">hundred*J94*$H65*J80/$H37/days_in_year/(1+$H23)*PowerFactor</f>
        <v>0</v>
      </c>
      <c r="K146" s="270">
        <f t="shared" si="32"/>
        <v>0</v>
      </c>
      <c r="L146" s="270">
        <f t="shared" ref="L146:M146" si="33">hundred*L94*$H65*L80/$H37/days_in_year/(1+$H23)*PowerFactor</f>
        <v>0</v>
      </c>
      <c r="M146" s="270">
        <f t="shared" si="33"/>
        <v>0</v>
      </c>
      <c r="N146" s="270">
        <f t="shared" ref="N146:P146" si="34">hundred*N94*$H65*N80/$H37/days_in_year/(1+$H23)*PowerFactor</f>
        <v>0</v>
      </c>
      <c r="O146" s="270">
        <f t="shared" si="34"/>
        <v>0</v>
      </c>
      <c r="P146" s="270">
        <f t="shared" si="34"/>
        <v>0</v>
      </c>
      <c r="Q146" s="270">
        <f t="shared" ref="Q146" si="35">hundred*Q94*$H65*Q80/$H37/days_in_year/(1+$H23)*PowerFactor</f>
        <v>0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25">
      <c r="C147" s="86"/>
      <c r="F147" s="293" t="s">
        <v>43</v>
      </c>
      <c r="G147" s="293" t="s">
        <v>251</v>
      </c>
      <c r="J147" s="275">
        <f t="shared" ref="J147:K147" si="36">hundred*J94*$H66*J81/$H38/days_in_year/(1+$H24)*PowerFactor</f>
        <v>0</v>
      </c>
      <c r="K147" s="275">
        <f t="shared" si="36"/>
        <v>0</v>
      </c>
      <c r="L147" s="275">
        <f t="shared" ref="L147:M147" si="37">hundred*L94*$H66*L81/$H38/days_in_year/(1+$H24)*PowerFactor</f>
        <v>0</v>
      </c>
      <c r="M147" s="275">
        <f t="shared" si="37"/>
        <v>0</v>
      </c>
      <c r="N147" s="275">
        <f t="shared" ref="N147:P147" si="38">hundred*N94*$H66*N81/$H38/days_in_year/(1+$H24)*PowerFactor</f>
        <v>0</v>
      </c>
      <c r="O147" s="275">
        <f t="shared" si="38"/>
        <v>0</v>
      </c>
      <c r="P147" s="275">
        <f t="shared" si="38"/>
        <v>0</v>
      </c>
      <c r="Q147" s="275">
        <f t="shared" ref="Q147" si="39">hundred*Q94*$H66*Q81/$H38/days_in_year/(1+$H24)*PowerFactor</f>
        <v>0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25">
      <c r="C148" s="86"/>
      <c r="F148" s="293" t="s">
        <v>44</v>
      </c>
      <c r="G148" s="293" t="s">
        <v>251</v>
      </c>
      <c r="J148" s="275">
        <f t="shared" ref="J148:K148" si="40">hundred*J95*$H67*J82/$H39/days_in_year/(1+$H25)*PowerFactor</f>
        <v>0</v>
      </c>
      <c r="K148" s="275">
        <f t="shared" si="40"/>
        <v>0</v>
      </c>
      <c r="L148" s="275">
        <f t="shared" ref="L148:M148" si="41">hundred*L95*$H67*L82/$H39/days_in_year/(1+$H25)*PowerFactor</f>
        <v>0</v>
      </c>
      <c r="M148" s="275">
        <f t="shared" si="41"/>
        <v>0</v>
      </c>
      <c r="N148" s="275">
        <f t="shared" ref="N148:P148" si="42">hundred*N95*$H67*N82/$H39/days_in_year/(1+$H25)*PowerFactor</f>
        <v>0</v>
      </c>
      <c r="O148" s="275">
        <f t="shared" si="42"/>
        <v>0</v>
      </c>
      <c r="P148" s="275">
        <f t="shared" si="42"/>
        <v>0</v>
      </c>
      <c r="Q148" s="275">
        <f t="shared" ref="Q148" si="43">hundred*Q95*$H67*Q82/$H39/days_in_year/(1+$H25)*PowerFactor</f>
        <v>0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25">
      <c r="C149" s="86"/>
      <c r="F149" s="293" t="s">
        <v>45</v>
      </c>
      <c r="G149" s="293" t="s">
        <v>251</v>
      </c>
      <c r="J149" s="275">
        <f t="shared" ref="J149:K149" si="44">hundred*J96*$H68*J83/$H40/days_in_year/(1+$H26)*PowerFactor</f>
        <v>0</v>
      </c>
      <c r="K149" s="275">
        <f t="shared" si="44"/>
        <v>0</v>
      </c>
      <c r="L149" s="275">
        <f t="shared" ref="L149:M149" si="45">hundred*L96*$H68*L83/$H40/days_in_year/(1+$H26)*PowerFactor</f>
        <v>0</v>
      </c>
      <c r="M149" s="275">
        <f t="shared" si="45"/>
        <v>0</v>
      </c>
      <c r="N149" s="275">
        <f t="shared" ref="N149:P149" si="46">hundred*N96*$H68*N83/$H40/days_in_year/(1+$H26)*PowerFactor</f>
        <v>0</v>
      </c>
      <c r="O149" s="275">
        <f t="shared" si="46"/>
        <v>0</v>
      </c>
      <c r="P149" s="275">
        <f t="shared" si="46"/>
        <v>0</v>
      </c>
      <c r="Q149" s="275">
        <f t="shared" ref="Q149" si="47">hundred*Q96*$H68*Q83/$H40/days_in_year/(1+$H26)*PowerFactor</f>
        <v>0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25">
      <c r="C150" s="86"/>
      <c r="F150" s="293" t="s">
        <v>46</v>
      </c>
      <c r="G150" s="293" t="s">
        <v>251</v>
      </c>
      <c r="J150" s="275">
        <f t="shared" ref="J150:K150" si="48">hundred*J97*$H69*J84/$H41/days_in_year/(1+$H27)*PowerFactor</f>
        <v>0</v>
      </c>
      <c r="K150" s="275">
        <f t="shared" si="48"/>
        <v>0</v>
      </c>
      <c r="L150" s="275">
        <f t="shared" ref="L150:M150" si="49">hundred*L97*$H69*L84/$H41/days_in_year/(1+$H27)*PowerFactor</f>
        <v>0</v>
      </c>
      <c r="M150" s="275">
        <f t="shared" si="49"/>
        <v>0</v>
      </c>
      <c r="N150" s="275">
        <f t="shared" ref="N150:P150" si="50">hundred*N97*$H69*N84/$H41/days_in_year/(1+$H27)*PowerFactor</f>
        <v>0</v>
      </c>
      <c r="O150" s="275">
        <f t="shared" si="50"/>
        <v>0</v>
      </c>
      <c r="P150" s="275">
        <f t="shared" si="50"/>
        <v>0.38696395212603668</v>
      </c>
      <c r="Q150" s="275">
        <f t="shared" ref="Q150" si="51">hundred*Q97*$H69*Q84/$H41/days_in_year/(1+$H27)*PowerFactor</f>
        <v>0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25">
      <c r="C151" s="86"/>
      <c r="F151" s="293" t="s">
        <v>47</v>
      </c>
      <c r="G151" s="293" t="s">
        <v>251</v>
      </c>
      <c r="J151" s="275">
        <f t="shared" ref="J151:K151" si="52">hundred*J98*$H70*J85/$H42/days_in_year/(1+$H28)*PowerFactor</f>
        <v>0</v>
      </c>
      <c r="K151" s="275">
        <f t="shared" si="52"/>
        <v>0</v>
      </c>
      <c r="L151" s="275">
        <f t="shared" ref="L151:M151" si="53">hundred*L98*$H70*L85/$H42/days_in_year/(1+$H28)*PowerFactor</f>
        <v>0</v>
      </c>
      <c r="M151" s="275">
        <f t="shared" si="53"/>
        <v>0</v>
      </c>
      <c r="N151" s="275">
        <f t="shared" ref="N151:P151" si="54">hundred*N98*$H70*N85/$H42/days_in_year/(1+$H28)*PowerFactor</f>
        <v>0</v>
      </c>
      <c r="O151" s="275">
        <f t="shared" si="54"/>
        <v>0</v>
      </c>
      <c r="P151" s="275">
        <f t="shared" si="54"/>
        <v>0.32135328092169152</v>
      </c>
      <c r="Q151" s="275">
        <f t="shared" ref="Q151" si="55">hundred*Q98*$H70*Q85/$H42/days_in_year/(1+$H28)*PowerFactor</f>
        <v>0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25">
      <c r="C152" s="86"/>
      <c r="F152" s="293" t="s">
        <v>51</v>
      </c>
      <c r="G152" s="293" t="s">
        <v>251</v>
      </c>
      <c r="J152" s="275">
        <f t="shared" ref="J152:K152" si="56">hundred*J99*$H71*J86/$H43/days_in_year/(1+$H29)*PowerFactor</f>
        <v>0</v>
      </c>
      <c r="K152" s="275">
        <f t="shared" si="56"/>
        <v>0</v>
      </c>
      <c r="L152" s="275">
        <f t="shared" ref="L152:M152" si="57">hundred*L99*$H71*L86/$H43/days_in_year/(1+$H29)*PowerFactor</f>
        <v>0</v>
      </c>
      <c r="M152" s="275">
        <f t="shared" si="57"/>
        <v>0</v>
      </c>
      <c r="N152" s="275">
        <f t="shared" ref="N152:P152" si="58">hundred*N99*$H71*N86/$H43/days_in_year/(1+$H29)*PowerFactor</f>
        <v>0</v>
      </c>
      <c r="O152" s="275">
        <f t="shared" si="58"/>
        <v>0</v>
      </c>
      <c r="P152" s="275">
        <f t="shared" si="58"/>
        <v>0</v>
      </c>
      <c r="Q152" s="275">
        <f t="shared" ref="Q152" si="59">hundred*Q99*$H71*Q86/$H43/days_in_year/(1+$H29)*PowerFactor</f>
        <v>0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25">
      <c r="C153" s="86"/>
      <c r="F153" s="293" t="s">
        <v>48</v>
      </c>
      <c r="G153" s="293" t="s">
        <v>251</v>
      </c>
      <c r="J153" s="275">
        <f t="shared" ref="J153:K153" si="60">hundred*J100*$H72*J87/$H44/days_in_year/(1+$H30)*PowerFactor</f>
        <v>0</v>
      </c>
      <c r="K153" s="275">
        <f t="shared" si="60"/>
        <v>0</v>
      </c>
      <c r="L153" s="275">
        <f t="shared" ref="L153:M153" si="61">hundred*L100*$H72*L87/$H44/days_in_year/(1+$H30)*PowerFactor</f>
        <v>0</v>
      </c>
      <c r="M153" s="275">
        <f t="shared" si="61"/>
        <v>0</v>
      </c>
      <c r="N153" s="275">
        <f t="shared" ref="N153:P153" si="62">hundred*N100*$H72*N87/$H44/days_in_year/(1+$H30)*PowerFactor</f>
        <v>0.46967961221519339</v>
      </c>
      <c r="O153" s="275">
        <f t="shared" si="62"/>
        <v>2.2445429121655671</v>
      </c>
      <c r="P153" s="275">
        <f t="shared" si="62"/>
        <v>2.1979140697976325</v>
      </c>
      <c r="Q153" s="275">
        <f t="shared" ref="Q153" si="63">hundred*Q100*$H72*Q87/$H44/days_in_year/(1+$H30)*PowerFactor</f>
        <v>0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25">
      <c r="C154" s="86"/>
      <c r="F154" s="293" t="s">
        <v>49</v>
      </c>
      <c r="G154" s="293" t="s">
        <v>251</v>
      </c>
      <c r="J154" s="275">
        <f t="shared" ref="J154:K154" si="64">hundred*J101*$H73*J88/$H45/days_in_year/(1+$H31)*PowerFactor</f>
        <v>0</v>
      </c>
      <c r="K154" s="275">
        <f t="shared" si="64"/>
        <v>0</v>
      </c>
      <c r="L154" s="275">
        <f t="shared" ref="L154:M154" si="65">hundred*L101*$H73*L88/$H45/days_in_year/(1+$H31)*PowerFactor</f>
        <v>0</v>
      </c>
      <c r="M154" s="275">
        <f t="shared" si="65"/>
        <v>0</v>
      </c>
      <c r="N154" s="275">
        <f t="shared" ref="N154:P154" si="66">hundred*N101*$H73*N88/$H45/days_in_year/(1+$H31)*PowerFactor</f>
        <v>0.91851161845319185</v>
      </c>
      <c r="O154" s="275">
        <f t="shared" si="66"/>
        <v>0.87789151980318569</v>
      </c>
      <c r="P154" s="275">
        <f t="shared" si="66"/>
        <v>0</v>
      </c>
      <c r="Q154" s="275">
        <f t="shared" ref="Q154" si="67">hundred*Q101*$H73*Q88/$H45/days_in_year/(1+$H31)*PowerFactor</f>
        <v>0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25">
      <c r="C155" s="86"/>
      <c r="F155" s="293" t="s">
        <v>50</v>
      </c>
      <c r="G155" s="293" t="s">
        <v>251</v>
      </c>
      <c r="J155" s="275">
        <f t="shared" ref="J155:K155" si="68">hundred*J102*$H74*J89/$H46/days_in_year/(1+$H32)*PowerFactor</f>
        <v>0.59900528445457368</v>
      </c>
      <c r="K155" s="275">
        <f t="shared" si="68"/>
        <v>0.59900528445457368</v>
      </c>
      <c r="L155" s="275">
        <f t="shared" ref="L155:M155" si="69">hundred*L102*$H74*L89/$H46/days_in_year/(1+$H32)*PowerFactor</f>
        <v>0.59900528445457368</v>
      </c>
      <c r="M155" s="275">
        <f t="shared" si="69"/>
        <v>0.59900528445457368</v>
      </c>
      <c r="N155" s="275">
        <f t="shared" ref="N155:P155" si="70">hundred*N102*$H74*N89/$H46/days_in_year/(1+$H32)*PowerFactor</f>
        <v>0.59900528445457368</v>
      </c>
      <c r="O155" s="275">
        <f t="shared" si="70"/>
        <v>0</v>
      </c>
      <c r="P155" s="275">
        <f t="shared" si="70"/>
        <v>0</v>
      </c>
      <c r="Q155" s="275">
        <f t="shared" ref="Q155" si="71">hundred*Q102*$H74*Q89/$H46/days_in_year/(1+$H32)*PowerFactor</f>
        <v>0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2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2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2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25">
      <c r="C159" s="7" t="str">
        <f ca="1">INDEX('Version control'!$H$34:$H$60,MATCH($A$1,'Version control'!$F$34:$F$60,0),1)&amp;"-C: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2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2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2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25">
      <c r="C164" s="86"/>
      <c r="F164" s="293" t="s">
        <v>44</v>
      </c>
      <c r="G164" s="293" t="s">
        <v>251</v>
      </c>
      <c r="J164" s="275">
        <f t="shared" ref="J164:K164" si="72">hundred*J95*$H53*J82/$H39/days_in_year/(1+$H25)*PowerFactor</f>
        <v>0</v>
      </c>
      <c r="K164" s="275">
        <f t="shared" si="72"/>
        <v>0</v>
      </c>
      <c r="L164" s="275">
        <f t="shared" ref="L164:M164" si="73">hundred*L95*$H53*L82/$H39/days_in_year/(1+$H25)*PowerFactor</f>
        <v>0</v>
      </c>
      <c r="M164" s="275">
        <f t="shared" si="73"/>
        <v>0</v>
      </c>
      <c r="N164" s="275">
        <f t="shared" ref="N164:P164" si="74">hundred*N95*$H53*N82/$H39/days_in_year/(1+$H25)*PowerFactor</f>
        <v>0</v>
      </c>
      <c r="O164" s="275">
        <f t="shared" si="74"/>
        <v>0</v>
      </c>
      <c r="P164" s="275">
        <f t="shared" si="74"/>
        <v>0</v>
      </c>
      <c r="Q164" s="275">
        <f t="shared" ref="Q164" si="75">hundred*Q95*$H53*Q82/$H39/days_in_year/(1+$H25)*PowerFactor</f>
        <v>0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25">
      <c r="C165" s="86"/>
      <c r="F165" s="293" t="s">
        <v>45</v>
      </c>
      <c r="G165" s="293" t="s">
        <v>251</v>
      </c>
      <c r="J165" s="275">
        <f t="shared" ref="J165:K165" si="76">hundred*J96*$H54*J83/$H40/days_in_year/(1+$H26)*PowerFactor</f>
        <v>0</v>
      </c>
      <c r="K165" s="275">
        <f t="shared" si="76"/>
        <v>0</v>
      </c>
      <c r="L165" s="275">
        <f t="shared" ref="L165:M165" si="77">hundred*L96*$H54*L83/$H40/days_in_year/(1+$H26)*PowerFactor</f>
        <v>0</v>
      </c>
      <c r="M165" s="275">
        <f t="shared" si="77"/>
        <v>0</v>
      </c>
      <c r="N165" s="275">
        <f t="shared" ref="N165:P165" si="78">hundred*N96*$H54*N83/$H40/days_in_year/(1+$H26)*PowerFactor</f>
        <v>0</v>
      </c>
      <c r="O165" s="275">
        <f t="shared" si="78"/>
        <v>0</v>
      </c>
      <c r="P165" s="275">
        <f t="shared" si="78"/>
        <v>0</v>
      </c>
      <c r="Q165" s="275">
        <f t="shared" ref="Q165" si="79">hundred*Q96*$H54*Q83/$H40/days_in_year/(1+$H26)*PowerFactor</f>
        <v>0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25">
      <c r="C166" s="86"/>
      <c r="F166" s="293" t="s">
        <v>46</v>
      </c>
      <c r="G166" s="293" t="s">
        <v>251</v>
      </c>
      <c r="J166" s="275">
        <f t="shared" ref="J166:K166" si="80">hundred*J97*$H55*J84/$H41/days_in_year/(1+$H27)*PowerFactor</f>
        <v>0</v>
      </c>
      <c r="K166" s="275">
        <f t="shared" si="80"/>
        <v>0</v>
      </c>
      <c r="L166" s="275">
        <f t="shared" ref="L166:M166" si="81">hundred*L97*$H55*L84/$H41/days_in_year/(1+$H27)*PowerFactor</f>
        <v>0</v>
      </c>
      <c r="M166" s="275">
        <f t="shared" si="81"/>
        <v>0</v>
      </c>
      <c r="N166" s="275">
        <f t="shared" ref="N166:P166" si="82">hundred*N97*$H55*N84/$H41/days_in_year/(1+$H27)*PowerFactor</f>
        <v>0</v>
      </c>
      <c r="O166" s="275">
        <f t="shared" si="82"/>
        <v>0</v>
      </c>
      <c r="P166" s="275">
        <f t="shared" si="82"/>
        <v>0.58207894276365668</v>
      </c>
      <c r="Q166" s="275">
        <f t="shared" ref="Q166" si="83">hundred*Q97*$H55*Q84/$H41/days_in_year/(1+$H27)*PowerFactor</f>
        <v>0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25">
      <c r="C167" s="86"/>
      <c r="F167" s="293" t="s">
        <v>47</v>
      </c>
      <c r="G167" s="293" t="s">
        <v>251</v>
      </c>
      <c r="J167" s="275">
        <f t="shared" ref="J167:K167" si="84">hundred*J98*$H56*J85/$H42/days_in_year/(1+$H28)*PowerFactor</f>
        <v>0</v>
      </c>
      <c r="K167" s="275">
        <f t="shared" si="84"/>
        <v>0</v>
      </c>
      <c r="L167" s="275">
        <f t="shared" ref="L167:M167" si="85">hundred*L98*$H56*L85/$H42/days_in_year/(1+$H28)*PowerFactor</f>
        <v>0</v>
      </c>
      <c r="M167" s="275">
        <f t="shared" si="85"/>
        <v>0</v>
      </c>
      <c r="N167" s="275">
        <f t="shared" ref="N167:P167" si="86">hundred*N98*$H56*N85/$H42/days_in_year/(1+$H28)*PowerFactor</f>
        <v>0</v>
      </c>
      <c r="O167" s="275">
        <f t="shared" si="86"/>
        <v>0</v>
      </c>
      <c r="P167" s="275">
        <f t="shared" si="86"/>
        <v>0.48338605439817867</v>
      </c>
      <c r="Q167" s="275">
        <f t="shared" ref="Q167" si="87">hundred*Q98*$H56*Q85/$H42/days_in_year/(1+$H28)*PowerFactor</f>
        <v>0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25">
      <c r="C168" s="86"/>
      <c r="F168" s="293" t="s">
        <v>51</v>
      </c>
      <c r="G168" s="293" t="s">
        <v>251</v>
      </c>
      <c r="J168" s="275">
        <f t="shared" ref="J168:K168" si="88">hundred*J99*$H57*J86/$H43/days_in_year/(1+$H29)*PowerFactor</f>
        <v>0</v>
      </c>
      <c r="K168" s="275">
        <f t="shared" si="88"/>
        <v>0</v>
      </c>
      <c r="L168" s="275">
        <f t="shared" ref="L168:M168" si="89">hundred*L99*$H57*L86/$H43/days_in_year/(1+$H29)*PowerFactor</f>
        <v>0</v>
      </c>
      <c r="M168" s="275">
        <f t="shared" si="89"/>
        <v>0</v>
      </c>
      <c r="N168" s="275">
        <f t="shared" ref="N168:P168" si="90">hundred*N99*$H57*N86/$H43/days_in_year/(1+$H29)*PowerFactor</f>
        <v>0</v>
      </c>
      <c r="O168" s="275">
        <f t="shared" si="90"/>
        <v>0</v>
      </c>
      <c r="P168" s="275">
        <f t="shared" si="90"/>
        <v>0</v>
      </c>
      <c r="Q168" s="275">
        <f t="shared" ref="Q168" si="91">hundred*Q99*$H57*Q86/$H43/days_in_year/(1+$H29)*PowerFactor</f>
        <v>0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25">
      <c r="C169" s="86"/>
      <c r="F169" s="293" t="s">
        <v>48</v>
      </c>
      <c r="G169" s="293" t="s">
        <v>251</v>
      </c>
      <c r="J169" s="275">
        <f t="shared" ref="J169:K169" si="92">hundred*J100*$H58*J87/$H44/days_in_year/(1+$H30)*PowerFactor</f>
        <v>0</v>
      </c>
      <c r="K169" s="275">
        <f t="shared" si="92"/>
        <v>0</v>
      </c>
      <c r="L169" s="275">
        <f t="shared" ref="L169:M169" si="93">hundred*L100*$H58*L87/$H44/days_in_year/(1+$H30)*PowerFactor</f>
        <v>0</v>
      </c>
      <c r="M169" s="275">
        <f t="shared" si="93"/>
        <v>0</v>
      </c>
      <c r="N169" s="275">
        <f t="shared" ref="N169:P169" si="94">hundred*N100*$H58*N87/$H44/days_in_year/(1+$H30)*PowerFactor</f>
        <v>0.70650149868951861</v>
      </c>
      <c r="O169" s="275">
        <f t="shared" si="94"/>
        <v>3.3762864941886286</v>
      </c>
      <c r="P169" s="275">
        <f t="shared" si="94"/>
        <v>3.3061464537050118</v>
      </c>
      <c r="Q169" s="275">
        <f t="shared" ref="Q169" si="95">hundred*Q100*$H58*Q87/$H44/days_in_year/(1+$H30)*PowerFactor</f>
        <v>0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25">
      <c r="C170" s="86"/>
      <c r="F170" s="293" t="s">
        <v>49</v>
      </c>
      <c r="G170" s="293" t="s">
        <v>251</v>
      </c>
      <c r="J170" s="275">
        <f t="shared" ref="J170:K170" si="96">hundred*J101*$H59*J88/$H45/days_in_year/(1+$H31)*PowerFactor</f>
        <v>0</v>
      </c>
      <c r="K170" s="275">
        <f t="shared" si="96"/>
        <v>0</v>
      </c>
      <c r="L170" s="275">
        <f t="shared" ref="L170:M170" si="97">hundred*L101*$H59*L88/$H45/days_in_year/(1+$H31)*PowerFactor</f>
        <v>0</v>
      </c>
      <c r="M170" s="275">
        <f t="shared" si="97"/>
        <v>0</v>
      </c>
      <c r="N170" s="275">
        <f t="shared" ref="N170:P170" si="98">hundred*N101*$H59*N88/$H45/days_in_year/(1+$H31)*PowerFactor</f>
        <v>1.3816436100777454</v>
      </c>
      <c r="O170" s="275">
        <f t="shared" si="98"/>
        <v>1.3205420424840544</v>
      </c>
      <c r="P170" s="275">
        <f t="shared" si="98"/>
        <v>0</v>
      </c>
      <c r="Q170" s="275">
        <f t="shared" ref="Q170" si="99">hundred*Q101*$H59*Q88/$H45/days_in_year/(1+$H31)*PowerFactor</f>
        <v>0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25">
      <c r="C171" s="86"/>
      <c r="F171" s="293" t="s">
        <v>50</v>
      </c>
      <c r="G171" s="293" t="s">
        <v>251</v>
      </c>
      <c r="J171" s="275">
        <f t="shared" ref="J171:K171" si="100">hundred*J102*$H60*J89/$H46/days_in_year/(1+$H32)*PowerFactor</f>
        <v>0.90103577030761306</v>
      </c>
      <c r="K171" s="275">
        <f t="shared" si="100"/>
        <v>0.90103577030761306</v>
      </c>
      <c r="L171" s="275">
        <f t="shared" ref="L171:M171" si="101">hundred*L102*$H60*L89/$H46/days_in_year/(1+$H32)*PowerFactor</f>
        <v>0.90103577030761306</v>
      </c>
      <c r="M171" s="275">
        <f t="shared" si="101"/>
        <v>0.90103577030761306</v>
      </c>
      <c r="N171" s="275">
        <f t="shared" ref="N171:P171" si="102">hundred*N102*$H60*N89/$H46/days_in_year/(1+$H32)*PowerFactor</f>
        <v>0.90103577030761306</v>
      </c>
      <c r="O171" s="275">
        <f t="shared" si="102"/>
        <v>0</v>
      </c>
      <c r="P171" s="275">
        <f t="shared" si="102"/>
        <v>0</v>
      </c>
      <c r="Q171" s="275">
        <f t="shared" ref="Q171" si="103">hundred*Q102*$H60*Q89/$H46/days_in_year/(1+$H32)*PowerFactor</f>
        <v>0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2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2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2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2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25">
      <c r="C176" s="86"/>
      <c r="F176" s="91" t="s">
        <v>267</v>
      </c>
      <c r="G176" s="91" t="s">
        <v>251</v>
      </c>
      <c r="H176" s="91"/>
      <c r="I176" s="91"/>
      <c r="J176" s="270">
        <f t="shared" ref="J176:K176" si="104">hundred*J94*$H65*J80/$H37/days_in_year/(1+$H23)*PowerFactor</f>
        <v>0</v>
      </c>
      <c r="K176" s="270">
        <f t="shared" si="104"/>
        <v>0</v>
      </c>
      <c r="L176" s="270">
        <f t="shared" ref="L176:M176" si="105">hundred*L94*$H65*L80/$H37/days_in_year/(1+$H23)*PowerFactor</f>
        <v>0</v>
      </c>
      <c r="M176" s="270">
        <f t="shared" si="105"/>
        <v>0</v>
      </c>
      <c r="N176" s="270">
        <f t="shared" ref="N176:P176" si="106">hundred*N94*$H65*N80/$H37/days_in_year/(1+$H23)*PowerFactor</f>
        <v>0</v>
      </c>
      <c r="O176" s="270">
        <f t="shared" si="106"/>
        <v>0</v>
      </c>
      <c r="P176" s="270">
        <f t="shared" si="106"/>
        <v>0</v>
      </c>
      <c r="Q176" s="270">
        <f t="shared" ref="Q176" si="107">hundred*Q94*$H65*Q80/$H37/days_in_year/(1+$H23)*PowerFactor</f>
        <v>0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25">
      <c r="C177" s="86"/>
      <c r="F177" s="293" t="s">
        <v>43</v>
      </c>
      <c r="G177" s="293" t="s">
        <v>251</v>
      </c>
      <c r="J177" s="275">
        <f t="shared" ref="J177:K177" si="108">hundred*J94*$H66*J81/$H38/days_in_year/(1+$H24)*PowerFactor</f>
        <v>0</v>
      </c>
      <c r="K177" s="275">
        <f t="shared" si="108"/>
        <v>0</v>
      </c>
      <c r="L177" s="275">
        <f t="shared" ref="L177:M177" si="109">hundred*L94*$H66*L81/$H38/days_in_year/(1+$H24)*PowerFactor</f>
        <v>0</v>
      </c>
      <c r="M177" s="275">
        <f t="shared" si="109"/>
        <v>0</v>
      </c>
      <c r="N177" s="275">
        <f t="shared" ref="N177:P177" si="110">hundred*N94*$H66*N81/$H38/days_in_year/(1+$H24)*PowerFactor</f>
        <v>0</v>
      </c>
      <c r="O177" s="275">
        <f t="shared" si="110"/>
        <v>0</v>
      </c>
      <c r="P177" s="275">
        <f t="shared" si="110"/>
        <v>0</v>
      </c>
      <c r="Q177" s="275">
        <f t="shared" ref="Q177" si="111">hundred*Q94*$H66*Q81/$H38/days_in_year/(1+$H24)*PowerFactor</f>
        <v>0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25">
      <c r="C178" s="86"/>
      <c r="F178" s="293" t="s">
        <v>44</v>
      </c>
      <c r="G178" s="293" t="s">
        <v>251</v>
      </c>
      <c r="J178" s="275">
        <f t="shared" ref="J178:K178" si="112">hundred*J95*$H67*J82/$H39/days_in_year/(1+$H25)*PowerFactor</f>
        <v>0</v>
      </c>
      <c r="K178" s="275">
        <f t="shared" si="112"/>
        <v>0</v>
      </c>
      <c r="L178" s="275">
        <f t="shared" ref="L178:M178" si="113">hundred*L95*$H67*L82/$H39/days_in_year/(1+$H25)*PowerFactor</f>
        <v>0</v>
      </c>
      <c r="M178" s="275">
        <f t="shared" si="113"/>
        <v>0</v>
      </c>
      <c r="N178" s="275">
        <f t="shared" ref="N178:P178" si="114">hundred*N95*$H67*N82/$H39/days_in_year/(1+$H25)*PowerFactor</f>
        <v>0</v>
      </c>
      <c r="O178" s="275">
        <f t="shared" si="114"/>
        <v>0</v>
      </c>
      <c r="P178" s="275">
        <f t="shared" si="114"/>
        <v>0</v>
      </c>
      <c r="Q178" s="275">
        <f t="shared" ref="Q178" si="115">hundred*Q95*$H67*Q82/$H39/days_in_year/(1+$H25)*PowerFactor</f>
        <v>0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25">
      <c r="C179" s="86"/>
      <c r="F179" s="293" t="s">
        <v>45</v>
      </c>
      <c r="G179" s="293" t="s">
        <v>251</v>
      </c>
      <c r="J179" s="275">
        <f t="shared" ref="J179:K179" si="116">hundred*J96*$H68*J83/$H40/days_in_year/(1+$H26)*PowerFactor</f>
        <v>0</v>
      </c>
      <c r="K179" s="275">
        <f t="shared" si="116"/>
        <v>0</v>
      </c>
      <c r="L179" s="275">
        <f t="shared" ref="L179:M179" si="117">hundred*L96*$H68*L83/$H40/days_in_year/(1+$H26)*PowerFactor</f>
        <v>0</v>
      </c>
      <c r="M179" s="275">
        <f t="shared" si="117"/>
        <v>0</v>
      </c>
      <c r="N179" s="275">
        <f t="shared" ref="N179:P179" si="118">hundred*N96*$H68*N83/$H40/days_in_year/(1+$H26)*PowerFactor</f>
        <v>0</v>
      </c>
      <c r="O179" s="275">
        <f t="shared" si="118"/>
        <v>0</v>
      </c>
      <c r="P179" s="275">
        <f t="shared" si="118"/>
        <v>0</v>
      </c>
      <c r="Q179" s="275">
        <f t="shared" ref="Q179" si="119">hundred*Q96*$H68*Q83/$H40/days_in_year/(1+$H26)*PowerFactor</f>
        <v>0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25">
      <c r="C180" s="86"/>
      <c r="F180" s="293" t="s">
        <v>46</v>
      </c>
      <c r="G180" s="293" t="s">
        <v>251</v>
      </c>
      <c r="J180" s="275">
        <f t="shared" ref="J180:K180" si="120">hundred*J97*$H69*J84/$H41/days_in_year/(1+$H27)*PowerFactor</f>
        <v>0</v>
      </c>
      <c r="K180" s="275">
        <f t="shared" si="120"/>
        <v>0</v>
      </c>
      <c r="L180" s="275">
        <f t="shared" ref="L180:M180" si="121">hundred*L97*$H69*L84/$H41/days_in_year/(1+$H27)*PowerFactor</f>
        <v>0</v>
      </c>
      <c r="M180" s="275">
        <f t="shared" si="121"/>
        <v>0</v>
      </c>
      <c r="N180" s="275">
        <f t="shared" ref="N180:P180" si="122">hundred*N97*$H69*N84/$H41/days_in_year/(1+$H27)*PowerFactor</f>
        <v>0</v>
      </c>
      <c r="O180" s="275">
        <f t="shared" si="122"/>
        <v>0</v>
      </c>
      <c r="P180" s="275">
        <f t="shared" si="122"/>
        <v>0.38696395212603668</v>
      </c>
      <c r="Q180" s="275">
        <f t="shared" ref="Q180" si="123">hundred*Q97*$H69*Q84/$H41/days_in_year/(1+$H27)*PowerFactor</f>
        <v>0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25">
      <c r="C181" s="86"/>
      <c r="F181" s="293" t="s">
        <v>47</v>
      </c>
      <c r="G181" s="293" t="s">
        <v>251</v>
      </c>
      <c r="J181" s="275">
        <f t="shared" ref="J181:K181" si="124">hundred*J98*$H70*J85/$H42/days_in_year/(1+$H28)*PowerFactor</f>
        <v>0</v>
      </c>
      <c r="K181" s="275">
        <f t="shared" si="124"/>
        <v>0</v>
      </c>
      <c r="L181" s="275">
        <f t="shared" ref="L181:M181" si="125">hundred*L98*$H70*L85/$H42/days_in_year/(1+$H28)*PowerFactor</f>
        <v>0</v>
      </c>
      <c r="M181" s="275">
        <f t="shared" si="125"/>
        <v>0</v>
      </c>
      <c r="N181" s="275">
        <f t="shared" ref="N181:P181" si="126">hundred*N98*$H70*N85/$H42/days_in_year/(1+$H28)*PowerFactor</f>
        <v>0</v>
      </c>
      <c r="O181" s="275">
        <f t="shared" si="126"/>
        <v>0</v>
      </c>
      <c r="P181" s="275">
        <f t="shared" si="126"/>
        <v>0.32135328092169152</v>
      </c>
      <c r="Q181" s="275">
        <f t="shared" ref="Q181" si="127">hundred*Q98*$H70*Q85/$H42/days_in_year/(1+$H28)*PowerFactor</f>
        <v>0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25">
      <c r="C182" s="86"/>
      <c r="F182" s="293" t="s">
        <v>51</v>
      </c>
      <c r="G182" s="293" t="s">
        <v>251</v>
      </c>
      <c r="J182" s="275">
        <f t="shared" ref="J182:K182" si="128">hundred*J99*$H71*J86/$H43/days_in_year/(1+$H29)*PowerFactor</f>
        <v>0</v>
      </c>
      <c r="K182" s="275">
        <f t="shared" si="128"/>
        <v>0</v>
      </c>
      <c r="L182" s="275">
        <f t="shared" ref="L182:M182" si="129">hundred*L99*$H71*L86/$H43/days_in_year/(1+$H29)*PowerFactor</f>
        <v>0</v>
      </c>
      <c r="M182" s="275">
        <f t="shared" si="129"/>
        <v>0</v>
      </c>
      <c r="N182" s="275">
        <f t="shared" ref="N182:P182" si="130">hundred*N99*$H71*N86/$H43/days_in_year/(1+$H29)*PowerFactor</f>
        <v>0</v>
      </c>
      <c r="O182" s="275">
        <f t="shared" si="130"/>
        <v>0</v>
      </c>
      <c r="P182" s="275">
        <f t="shared" si="130"/>
        <v>0</v>
      </c>
      <c r="Q182" s="275">
        <f t="shared" ref="Q182" si="131">hundred*Q99*$H71*Q86/$H43/days_in_year/(1+$H29)*PowerFactor</f>
        <v>0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25">
      <c r="C183" s="86"/>
      <c r="F183" s="293" t="s">
        <v>48</v>
      </c>
      <c r="G183" s="293" t="s">
        <v>251</v>
      </c>
      <c r="J183" s="275">
        <f t="shared" ref="J183:K183" si="132">hundred*J100*$H72*J87/$H44/days_in_year/(1+$H30)*PowerFactor</f>
        <v>0</v>
      </c>
      <c r="K183" s="275">
        <f t="shared" si="132"/>
        <v>0</v>
      </c>
      <c r="L183" s="275">
        <f t="shared" ref="L183:M183" si="133">hundred*L100*$H72*L87/$H44/days_in_year/(1+$H30)*PowerFactor</f>
        <v>0</v>
      </c>
      <c r="M183" s="275">
        <f t="shared" si="133"/>
        <v>0</v>
      </c>
      <c r="N183" s="275">
        <f t="shared" ref="N183:P183" si="134">hundred*N100*$H72*N87/$H44/days_in_year/(1+$H30)*PowerFactor</f>
        <v>0.46967961221519339</v>
      </c>
      <c r="O183" s="275">
        <f t="shared" si="134"/>
        <v>2.2445429121655671</v>
      </c>
      <c r="P183" s="275">
        <f t="shared" si="134"/>
        <v>2.1979140697976325</v>
      </c>
      <c r="Q183" s="275">
        <f t="shared" ref="Q183" si="135">hundred*Q100*$H72*Q87/$H44/days_in_year/(1+$H30)*PowerFactor</f>
        <v>0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25">
      <c r="C184" s="86"/>
      <c r="F184" s="293" t="s">
        <v>49</v>
      </c>
      <c r="G184" s="293" t="s">
        <v>251</v>
      </c>
      <c r="J184" s="275">
        <f t="shared" ref="J184:K184" si="136">hundred*J101*$H73*J88/$H45/days_in_year/(1+$H31)*PowerFactor</f>
        <v>0</v>
      </c>
      <c r="K184" s="275">
        <f t="shared" si="136"/>
        <v>0</v>
      </c>
      <c r="L184" s="275">
        <f t="shared" ref="L184:M184" si="137">hundred*L101*$H73*L88/$H45/days_in_year/(1+$H31)*PowerFactor</f>
        <v>0</v>
      </c>
      <c r="M184" s="275">
        <f t="shared" si="137"/>
        <v>0</v>
      </c>
      <c r="N184" s="275">
        <f t="shared" ref="N184:P184" si="138">hundred*N101*$H73*N88/$H45/days_in_year/(1+$H31)*PowerFactor</f>
        <v>0.91851161845319185</v>
      </c>
      <c r="O184" s="275">
        <f t="shared" si="138"/>
        <v>0.87789151980318569</v>
      </c>
      <c r="P184" s="275">
        <f t="shared" si="138"/>
        <v>0</v>
      </c>
      <c r="Q184" s="275">
        <f t="shared" ref="Q184" si="139">hundred*Q101*$H73*Q88/$H45/days_in_year/(1+$H31)*PowerFactor</f>
        <v>0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25">
      <c r="C185" s="86"/>
      <c r="F185" s="293" t="s">
        <v>50</v>
      </c>
      <c r="G185" s="293" t="s">
        <v>251</v>
      </c>
      <c r="J185" s="275">
        <f t="shared" ref="J185:K185" si="140">hundred*J102*$H74*J89/$H46/days_in_year/(1+$H32)*PowerFactor</f>
        <v>0.59900528445457368</v>
      </c>
      <c r="K185" s="275">
        <f t="shared" si="140"/>
        <v>0.59900528445457368</v>
      </c>
      <c r="L185" s="275">
        <f t="shared" ref="L185:M185" si="141">hundred*L102*$H74*L89/$H46/days_in_year/(1+$H32)*PowerFactor</f>
        <v>0.59900528445457368</v>
      </c>
      <c r="M185" s="275">
        <f t="shared" si="141"/>
        <v>0.59900528445457368</v>
      </c>
      <c r="N185" s="275">
        <f t="shared" ref="N185:P185" si="142">hundred*N102*$H74*N89/$H46/days_in_year/(1+$H32)*PowerFactor</f>
        <v>0.59900528445457368</v>
      </c>
      <c r="O185" s="275">
        <f t="shared" si="142"/>
        <v>0</v>
      </c>
      <c r="P185" s="275">
        <f t="shared" si="142"/>
        <v>0</v>
      </c>
      <c r="Q185" s="275">
        <f t="shared" ref="Q185" si="143">hundred*Q102*$H74*Q89/$H46/days_in_year/(1+$H32)*PowerFactor</f>
        <v>0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2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2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2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25">
      <c r="C189" s="7" t="str">
        <f ca="1">INDEX('Version control'!$H$34:$H$60,MATCH($A$1,'Version control'!$F$34:$F$60,0),1)&amp;"-D: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2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741</v>
      </c>
    </row>
    <row r="191" spans="3:27" x14ac:dyDescent="0.2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2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2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25">
      <c r="C194" s="86"/>
      <c r="D194" s="293"/>
      <c r="F194" s="293" t="s">
        <v>44</v>
      </c>
      <c r="G194" s="293" t="s">
        <v>251</v>
      </c>
      <c r="J194" s="275">
        <f t="shared" ref="J194:Q201" si="144">J$121 * J134</f>
        <v>0</v>
      </c>
      <c r="K194" s="275">
        <f t="shared" si="144"/>
        <v>0</v>
      </c>
      <c r="L194" s="275">
        <f t="shared" si="144"/>
        <v>0</v>
      </c>
      <c r="M194" s="275">
        <f t="shared" si="144"/>
        <v>0</v>
      </c>
      <c r="N194" s="275">
        <f t="shared" si="144"/>
        <v>0</v>
      </c>
      <c r="O194" s="275">
        <f t="shared" si="144"/>
        <v>0</v>
      </c>
      <c r="P194" s="275">
        <f t="shared" si="144"/>
        <v>0</v>
      </c>
      <c r="Q194" s="275">
        <f t="shared" si="144"/>
        <v>0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25">
      <c r="C195" s="86"/>
      <c r="D195" s="293"/>
      <c r="F195" s="293" t="s">
        <v>45</v>
      </c>
      <c r="G195" s="293" t="s">
        <v>251</v>
      </c>
      <c r="J195" s="275">
        <f t="shared" si="144"/>
        <v>0</v>
      </c>
      <c r="K195" s="275">
        <f t="shared" si="144"/>
        <v>0</v>
      </c>
      <c r="L195" s="275">
        <f t="shared" si="144"/>
        <v>0</v>
      </c>
      <c r="M195" s="275">
        <f t="shared" si="144"/>
        <v>0</v>
      </c>
      <c r="N195" s="275">
        <f t="shared" si="144"/>
        <v>0</v>
      </c>
      <c r="O195" s="275">
        <f t="shared" si="144"/>
        <v>0</v>
      </c>
      <c r="P195" s="275">
        <f t="shared" si="144"/>
        <v>0</v>
      </c>
      <c r="Q195" s="275">
        <f t="shared" si="144"/>
        <v>0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25">
      <c r="C196" s="86"/>
      <c r="D196" s="293"/>
      <c r="F196" s="293" t="s">
        <v>46</v>
      </c>
      <c r="G196" s="293" t="s">
        <v>251</v>
      </c>
      <c r="J196" s="275">
        <f t="shared" si="144"/>
        <v>0</v>
      </c>
      <c r="K196" s="275">
        <f t="shared" si="144"/>
        <v>0</v>
      </c>
      <c r="L196" s="275">
        <f t="shared" si="144"/>
        <v>0</v>
      </c>
      <c r="M196" s="275">
        <f t="shared" si="144"/>
        <v>0</v>
      </c>
      <c r="N196" s="275">
        <f t="shared" si="144"/>
        <v>0</v>
      </c>
      <c r="O196" s="275">
        <f t="shared" si="144"/>
        <v>0</v>
      </c>
      <c r="P196" s="275">
        <f t="shared" si="144"/>
        <v>0.4106973235616338</v>
      </c>
      <c r="Q196" s="275">
        <f t="shared" si="144"/>
        <v>0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25">
      <c r="C197" s="86"/>
      <c r="D197" s="293"/>
      <c r="F197" s="293" t="s">
        <v>47</v>
      </c>
      <c r="G197" s="293" t="s">
        <v>251</v>
      </c>
      <c r="J197" s="275">
        <f t="shared" si="144"/>
        <v>0</v>
      </c>
      <c r="K197" s="275">
        <f t="shared" si="144"/>
        <v>0</v>
      </c>
      <c r="L197" s="275">
        <f t="shared" si="144"/>
        <v>0</v>
      </c>
      <c r="M197" s="275">
        <f t="shared" si="144"/>
        <v>0</v>
      </c>
      <c r="N197" s="275">
        <f t="shared" si="144"/>
        <v>0</v>
      </c>
      <c r="O197" s="275">
        <f t="shared" si="144"/>
        <v>0</v>
      </c>
      <c r="P197" s="275">
        <f t="shared" si="144"/>
        <v>0.41417938864525355</v>
      </c>
      <c r="Q197" s="275">
        <f t="shared" si="144"/>
        <v>0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25">
      <c r="C198" s="86"/>
      <c r="D198" s="293"/>
      <c r="F198" s="293" t="s">
        <v>51</v>
      </c>
      <c r="G198" s="293" t="s">
        <v>251</v>
      </c>
      <c r="J198" s="275">
        <f t="shared" si="144"/>
        <v>0</v>
      </c>
      <c r="K198" s="275">
        <f t="shared" si="144"/>
        <v>0</v>
      </c>
      <c r="L198" s="275">
        <f t="shared" si="144"/>
        <v>0</v>
      </c>
      <c r="M198" s="275">
        <f t="shared" si="144"/>
        <v>0</v>
      </c>
      <c r="N198" s="275">
        <f t="shared" si="144"/>
        <v>0</v>
      </c>
      <c r="O198" s="275">
        <f t="shared" si="144"/>
        <v>0</v>
      </c>
      <c r="P198" s="275">
        <f t="shared" si="144"/>
        <v>0</v>
      </c>
      <c r="Q198" s="275">
        <f t="shared" si="144"/>
        <v>0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25">
      <c r="C199" s="86"/>
      <c r="D199" s="293"/>
      <c r="F199" s="293" t="s">
        <v>48</v>
      </c>
      <c r="G199" s="293" t="s">
        <v>251</v>
      </c>
      <c r="J199" s="275">
        <f t="shared" si="144"/>
        <v>0</v>
      </c>
      <c r="K199" s="275">
        <f t="shared" si="144"/>
        <v>0</v>
      </c>
      <c r="L199" s="275">
        <f t="shared" si="144"/>
        <v>0</v>
      </c>
      <c r="M199" s="275">
        <f t="shared" si="144"/>
        <v>0</v>
      </c>
      <c r="N199" s="275">
        <f t="shared" si="144"/>
        <v>0.47593382308052806</v>
      </c>
      <c r="O199" s="275">
        <f t="shared" si="144"/>
        <v>2.2744310408045085</v>
      </c>
      <c r="P199" s="275">
        <f t="shared" si="144"/>
        <v>0.87847484217668403</v>
      </c>
      <c r="Q199" s="275">
        <f t="shared" si="144"/>
        <v>0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25">
      <c r="C200" s="86"/>
      <c r="D200" s="293"/>
      <c r="F200" s="293" t="s">
        <v>49</v>
      </c>
      <c r="G200" s="293" t="s">
        <v>251</v>
      </c>
      <c r="J200" s="275">
        <f t="shared" si="144"/>
        <v>0</v>
      </c>
      <c r="K200" s="275">
        <f t="shared" si="144"/>
        <v>0</v>
      </c>
      <c r="L200" s="275">
        <f t="shared" si="144"/>
        <v>0</v>
      </c>
      <c r="M200" s="275">
        <f t="shared" si="144"/>
        <v>0</v>
      </c>
      <c r="N200" s="275">
        <f t="shared" si="144"/>
        <v>0.399332513998715</v>
      </c>
      <c r="O200" s="275">
        <f t="shared" si="144"/>
        <v>0.38167250209804976</v>
      </c>
      <c r="P200" s="275">
        <f t="shared" si="144"/>
        <v>0</v>
      </c>
      <c r="Q200" s="275">
        <f t="shared" si="144"/>
        <v>0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25">
      <c r="C201" s="86"/>
      <c r="D201" s="293"/>
      <c r="F201" s="293" t="s">
        <v>50</v>
      </c>
      <c r="G201" s="293" t="s">
        <v>251</v>
      </c>
      <c r="J201" s="275">
        <f t="shared" si="144"/>
        <v>0</v>
      </c>
      <c r="K201" s="275">
        <f t="shared" si="144"/>
        <v>0</v>
      </c>
      <c r="L201" s="275">
        <f t="shared" si="144"/>
        <v>0</v>
      </c>
      <c r="M201" s="275">
        <f t="shared" si="144"/>
        <v>0</v>
      </c>
      <c r="N201" s="275">
        <f t="shared" si="144"/>
        <v>6.2217699613785017E-2</v>
      </c>
      <c r="O201" s="275">
        <f t="shared" si="144"/>
        <v>0</v>
      </c>
      <c r="P201" s="275">
        <f t="shared" si="144"/>
        <v>0</v>
      </c>
      <c r="Q201" s="275">
        <f t="shared" si="144"/>
        <v>0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2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2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2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2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25">
      <c r="C206" s="86"/>
      <c r="D206" s="293"/>
      <c r="F206" s="91" t="s">
        <v>267</v>
      </c>
      <c r="G206" s="91" t="s">
        <v>251</v>
      </c>
      <c r="H206" s="91"/>
      <c r="I206" s="91"/>
      <c r="J206" s="267">
        <f t="shared" ref="J206:Q215" si="145">J$121 * J146</f>
        <v>0</v>
      </c>
      <c r="K206" s="267">
        <f t="shared" si="145"/>
        <v>0</v>
      </c>
      <c r="L206" s="267">
        <f t="shared" si="145"/>
        <v>0</v>
      </c>
      <c r="M206" s="267">
        <f t="shared" si="145"/>
        <v>0</v>
      </c>
      <c r="N206" s="267">
        <f t="shared" si="145"/>
        <v>0</v>
      </c>
      <c r="O206" s="267">
        <f t="shared" si="145"/>
        <v>0</v>
      </c>
      <c r="P206" s="267">
        <f t="shared" si="145"/>
        <v>0</v>
      </c>
      <c r="Q206" s="267">
        <f t="shared" si="145"/>
        <v>0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25">
      <c r="C207" s="86"/>
      <c r="D207" s="293"/>
      <c r="F207" s="293" t="s">
        <v>43</v>
      </c>
      <c r="G207" s="293" t="s">
        <v>251</v>
      </c>
      <c r="J207" s="275">
        <f t="shared" si="145"/>
        <v>0</v>
      </c>
      <c r="K207" s="275">
        <f t="shared" si="145"/>
        <v>0</v>
      </c>
      <c r="L207" s="275">
        <f t="shared" si="145"/>
        <v>0</v>
      </c>
      <c r="M207" s="275">
        <f t="shared" si="145"/>
        <v>0</v>
      </c>
      <c r="N207" s="275">
        <f t="shared" si="145"/>
        <v>0</v>
      </c>
      <c r="O207" s="275">
        <f t="shared" si="145"/>
        <v>0</v>
      </c>
      <c r="P207" s="275">
        <f t="shared" si="145"/>
        <v>0</v>
      </c>
      <c r="Q207" s="275">
        <f t="shared" si="145"/>
        <v>0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25">
      <c r="C208" s="86"/>
      <c r="D208" s="293"/>
      <c r="F208" s="293" t="s">
        <v>44</v>
      </c>
      <c r="G208" s="293" t="s">
        <v>251</v>
      </c>
      <c r="J208" s="275">
        <f t="shared" si="145"/>
        <v>0</v>
      </c>
      <c r="K208" s="275">
        <f t="shared" si="145"/>
        <v>0</v>
      </c>
      <c r="L208" s="275">
        <f t="shared" si="145"/>
        <v>0</v>
      </c>
      <c r="M208" s="275">
        <f t="shared" si="145"/>
        <v>0</v>
      </c>
      <c r="N208" s="275">
        <f t="shared" si="145"/>
        <v>0</v>
      </c>
      <c r="O208" s="275">
        <f t="shared" si="145"/>
        <v>0</v>
      </c>
      <c r="P208" s="275">
        <f t="shared" si="145"/>
        <v>0</v>
      </c>
      <c r="Q208" s="275">
        <f t="shared" si="145"/>
        <v>0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25">
      <c r="C209" s="86"/>
      <c r="D209" s="293"/>
      <c r="F209" s="293" t="s">
        <v>45</v>
      </c>
      <c r="G209" s="293" t="s">
        <v>251</v>
      </c>
      <c r="J209" s="275">
        <f t="shared" si="145"/>
        <v>0</v>
      </c>
      <c r="K209" s="275">
        <f t="shared" si="145"/>
        <v>0</v>
      </c>
      <c r="L209" s="275">
        <f t="shared" si="145"/>
        <v>0</v>
      </c>
      <c r="M209" s="275">
        <f t="shared" si="145"/>
        <v>0</v>
      </c>
      <c r="N209" s="275">
        <f t="shared" si="145"/>
        <v>0</v>
      </c>
      <c r="O209" s="275">
        <f t="shared" si="145"/>
        <v>0</v>
      </c>
      <c r="P209" s="275">
        <f t="shared" si="145"/>
        <v>0</v>
      </c>
      <c r="Q209" s="275">
        <f t="shared" si="145"/>
        <v>0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25">
      <c r="C210" s="86"/>
      <c r="D210" s="293"/>
      <c r="F210" s="293" t="s">
        <v>46</v>
      </c>
      <c r="G210" s="293" t="s">
        <v>251</v>
      </c>
      <c r="J210" s="275">
        <f t="shared" si="145"/>
        <v>0</v>
      </c>
      <c r="K210" s="275">
        <f t="shared" si="145"/>
        <v>0</v>
      </c>
      <c r="L210" s="275">
        <f t="shared" si="145"/>
        <v>0</v>
      </c>
      <c r="M210" s="275">
        <f t="shared" si="145"/>
        <v>0</v>
      </c>
      <c r="N210" s="275">
        <f t="shared" si="145"/>
        <v>0</v>
      </c>
      <c r="O210" s="275">
        <f t="shared" si="145"/>
        <v>0</v>
      </c>
      <c r="P210" s="275">
        <f t="shared" si="145"/>
        <v>0.38696395212603668</v>
      </c>
      <c r="Q210" s="275">
        <f t="shared" si="145"/>
        <v>0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25">
      <c r="C211" s="86"/>
      <c r="D211" s="293"/>
      <c r="F211" s="293" t="s">
        <v>47</v>
      </c>
      <c r="G211" s="293" t="s">
        <v>251</v>
      </c>
      <c r="J211" s="275">
        <f t="shared" si="145"/>
        <v>0</v>
      </c>
      <c r="K211" s="275">
        <f t="shared" si="145"/>
        <v>0</v>
      </c>
      <c r="L211" s="275">
        <f t="shared" si="145"/>
        <v>0</v>
      </c>
      <c r="M211" s="275">
        <f t="shared" si="145"/>
        <v>0</v>
      </c>
      <c r="N211" s="275">
        <f t="shared" si="145"/>
        <v>0</v>
      </c>
      <c r="O211" s="275">
        <f t="shared" si="145"/>
        <v>0</v>
      </c>
      <c r="P211" s="275">
        <f t="shared" si="145"/>
        <v>0.32135328092169152</v>
      </c>
      <c r="Q211" s="275">
        <f t="shared" si="145"/>
        <v>0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25">
      <c r="C212" s="86"/>
      <c r="D212" s="293"/>
      <c r="F212" s="293" t="s">
        <v>51</v>
      </c>
      <c r="G212" s="293" t="s">
        <v>251</v>
      </c>
      <c r="J212" s="275">
        <f t="shared" si="145"/>
        <v>0</v>
      </c>
      <c r="K212" s="275">
        <f t="shared" si="145"/>
        <v>0</v>
      </c>
      <c r="L212" s="275">
        <f t="shared" si="145"/>
        <v>0</v>
      </c>
      <c r="M212" s="275">
        <f t="shared" si="145"/>
        <v>0</v>
      </c>
      <c r="N212" s="275">
        <f t="shared" si="145"/>
        <v>0</v>
      </c>
      <c r="O212" s="275">
        <f t="shared" si="145"/>
        <v>0</v>
      </c>
      <c r="P212" s="275">
        <f t="shared" si="145"/>
        <v>0</v>
      </c>
      <c r="Q212" s="275">
        <f t="shared" si="145"/>
        <v>0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25">
      <c r="C213" s="86"/>
      <c r="D213" s="293"/>
      <c r="F213" s="293" t="s">
        <v>48</v>
      </c>
      <c r="G213" s="293" t="s">
        <v>251</v>
      </c>
      <c r="J213" s="275">
        <f t="shared" si="145"/>
        <v>0</v>
      </c>
      <c r="K213" s="275">
        <f t="shared" si="145"/>
        <v>0</v>
      </c>
      <c r="L213" s="275">
        <f t="shared" si="145"/>
        <v>0</v>
      </c>
      <c r="M213" s="275">
        <f t="shared" si="145"/>
        <v>0</v>
      </c>
      <c r="N213" s="275">
        <f t="shared" si="145"/>
        <v>0.46967961221519339</v>
      </c>
      <c r="O213" s="275">
        <f t="shared" si="145"/>
        <v>2.2445429121655671</v>
      </c>
      <c r="P213" s="275">
        <f t="shared" si="145"/>
        <v>2.1979140697976325</v>
      </c>
      <c r="Q213" s="275">
        <f t="shared" si="145"/>
        <v>0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25">
      <c r="C214" s="86"/>
      <c r="D214" s="293"/>
      <c r="F214" s="293" t="s">
        <v>49</v>
      </c>
      <c r="G214" s="293" t="s">
        <v>251</v>
      </c>
      <c r="J214" s="275">
        <f t="shared" si="145"/>
        <v>0</v>
      </c>
      <c r="K214" s="275">
        <f t="shared" si="145"/>
        <v>0</v>
      </c>
      <c r="L214" s="275">
        <f t="shared" si="145"/>
        <v>0</v>
      </c>
      <c r="M214" s="275">
        <f t="shared" si="145"/>
        <v>0</v>
      </c>
      <c r="N214" s="275">
        <f t="shared" si="145"/>
        <v>0.91851161845319185</v>
      </c>
      <c r="O214" s="275">
        <f t="shared" si="145"/>
        <v>0.87789151980318569</v>
      </c>
      <c r="P214" s="275">
        <f t="shared" si="145"/>
        <v>0</v>
      </c>
      <c r="Q214" s="275">
        <f t="shared" si="145"/>
        <v>0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25">
      <c r="C215" s="86"/>
      <c r="D215" s="293"/>
      <c r="F215" s="293" t="s">
        <v>50</v>
      </c>
      <c r="G215" s="293" t="s">
        <v>251</v>
      </c>
      <c r="J215" s="275">
        <f t="shared" si="145"/>
        <v>0</v>
      </c>
      <c r="K215" s="275">
        <f t="shared" si="145"/>
        <v>0</v>
      </c>
      <c r="L215" s="275">
        <f t="shared" si="145"/>
        <v>0</v>
      </c>
      <c r="M215" s="275">
        <f t="shared" si="145"/>
        <v>0</v>
      </c>
      <c r="N215" s="275">
        <f t="shared" si="145"/>
        <v>0.59900528445457368</v>
      </c>
      <c r="O215" s="275">
        <f t="shared" si="145"/>
        <v>0</v>
      </c>
      <c r="P215" s="275">
        <f t="shared" si="145"/>
        <v>0</v>
      </c>
      <c r="Q215" s="275">
        <f t="shared" si="145"/>
        <v>0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2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2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2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25">
      <c r="C219" s="7" t="str">
        <f ca="1">INDEX('Version control'!$H$34:$H$60,MATCH($A$1,'Version control'!$F$34:$F$60,0),1)&amp;"-E: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2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823</v>
      </c>
    </row>
    <row r="221" spans="3:27" x14ac:dyDescent="0.2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2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25">
      <c r="C224" s="86"/>
      <c r="D224" s="293"/>
      <c r="F224" s="293" t="s">
        <v>44</v>
      </c>
      <c r="G224" s="293" t="s">
        <v>251</v>
      </c>
      <c r="J224" s="275">
        <f t="shared" ref="J224:Q231" si="146">J$122 * J164</f>
        <v>0</v>
      </c>
      <c r="K224" s="275">
        <f t="shared" si="146"/>
        <v>0</v>
      </c>
      <c r="L224" s="275">
        <f t="shared" si="146"/>
        <v>0</v>
      </c>
      <c r="M224" s="275">
        <f t="shared" si="146"/>
        <v>0</v>
      </c>
      <c r="N224" s="275">
        <f t="shared" si="146"/>
        <v>0</v>
      </c>
      <c r="O224" s="275">
        <f t="shared" si="146"/>
        <v>0</v>
      </c>
      <c r="P224" s="275">
        <f t="shared" si="146"/>
        <v>0</v>
      </c>
      <c r="Q224" s="275">
        <f t="shared" si="146"/>
        <v>0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25">
      <c r="C225" s="86"/>
      <c r="D225" s="293"/>
      <c r="F225" s="293" t="s">
        <v>45</v>
      </c>
      <c r="G225" s="293" t="s">
        <v>251</v>
      </c>
      <c r="J225" s="275">
        <f t="shared" si="146"/>
        <v>0</v>
      </c>
      <c r="K225" s="275">
        <f t="shared" si="146"/>
        <v>0</v>
      </c>
      <c r="L225" s="275">
        <f t="shared" si="146"/>
        <v>0</v>
      </c>
      <c r="M225" s="275">
        <f t="shared" si="146"/>
        <v>0</v>
      </c>
      <c r="N225" s="275">
        <f t="shared" si="146"/>
        <v>0</v>
      </c>
      <c r="O225" s="275">
        <f t="shared" si="146"/>
        <v>0</v>
      </c>
      <c r="P225" s="275">
        <f t="shared" si="146"/>
        <v>0</v>
      </c>
      <c r="Q225" s="275">
        <f t="shared" si="146"/>
        <v>0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25">
      <c r="C226" s="86"/>
      <c r="D226" s="293"/>
      <c r="F226" s="293" t="s">
        <v>46</v>
      </c>
      <c r="G226" s="293" t="s">
        <v>251</v>
      </c>
      <c r="J226" s="275">
        <f t="shared" si="146"/>
        <v>0</v>
      </c>
      <c r="K226" s="275">
        <f t="shared" si="146"/>
        <v>0</v>
      </c>
      <c r="L226" s="275">
        <f t="shared" si="146"/>
        <v>0</v>
      </c>
      <c r="M226" s="275">
        <f t="shared" si="146"/>
        <v>0</v>
      </c>
      <c r="N226" s="275">
        <f t="shared" si="146"/>
        <v>0</v>
      </c>
      <c r="O226" s="275">
        <f t="shared" si="146"/>
        <v>0</v>
      </c>
      <c r="P226" s="275">
        <f t="shared" si="146"/>
        <v>0.58207894276365668</v>
      </c>
      <c r="Q226" s="275">
        <f t="shared" si="146"/>
        <v>0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25">
      <c r="C227" s="86"/>
      <c r="D227" s="293"/>
      <c r="F227" s="293" t="s">
        <v>47</v>
      </c>
      <c r="G227" s="293" t="s">
        <v>251</v>
      </c>
      <c r="J227" s="275">
        <f t="shared" si="146"/>
        <v>0</v>
      </c>
      <c r="K227" s="275">
        <f t="shared" si="146"/>
        <v>0</v>
      </c>
      <c r="L227" s="275">
        <f t="shared" si="146"/>
        <v>0</v>
      </c>
      <c r="M227" s="275">
        <f t="shared" si="146"/>
        <v>0</v>
      </c>
      <c r="N227" s="275">
        <f t="shared" si="146"/>
        <v>0</v>
      </c>
      <c r="O227" s="275">
        <f t="shared" si="146"/>
        <v>0</v>
      </c>
      <c r="P227" s="275">
        <f t="shared" si="146"/>
        <v>0.48338605439817867</v>
      </c>
      <c r="Q227" s="275">
        <f t="shared" si="146"/>
        <v>0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25">
      <c r="C228" s="86"/>
      <c r="D228" s="293"/>
      <c r="F228" s="293" t="s">
        <v>51</v>
      </c>
      <c r="G228" s="293" t="s">
        <v>251</v>
      </c>
      <c r="J228" s="275">
        <f t="shared" si="146"/>
        <v>0</v>
      </c>
      <c r="K228" s="275">
        <f t="shared" si="146"/>
        <v>0</v>
      </c>
      <c r="L228" s="275">
        <f t="shared" si="146"/>
        <v>0</v>
      </c>
      <c r="M228" s="275">
        <f t="shared" si="146"/>
        <v>0</v>
      </c>
      <c r="N228" s="275">
        <f t="shared" si="146"/>
        <v>0</v>
      </c>
      <c r="O228" s="275">
        <f t="shared" si="146"/>
        <v>0</v>
      </c>
      <c r="P228" s="275">
        <f t="shared" si="146"/>
        <v>0</v>
      </c>
      <c r="Q228" s="275">
        <f t="shared" si="146"/>
        <v>0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25">
      <c r="C229" s="86"/>
      <c r="D229" s="293"/>
      <c r="F229" s="293" t="s">
        <v>48</v>
      </c>
      <c r="G229" s="293" t="s">
        <v>251</v>
      </c>
      <c r="J229" s="275">
        <f t="shared" si="146"/>
        <v>0</v>
      </c>
      <c r="K229" s="275">
        <f t="shared" si="146"/>
        <v>0</v>
      </c>
      <c r="L229" s="275">
        <f t="shared" si="146"/>
        <v>0</v>
      </c>
      <c r="M229" s="275">
        <f t="shared" si="146"/>
        <v>0</v>
      </c>
      <c r="N229" s="275">
        <f t="shared" si="146"/>
        <v>0.70650149868951861</v>
      </c>
      <c r="O229" s="275">
        <f t="shared" si="146"/>
        <v>3.3762864941886286</v>
      </c>
      <c r="P229" s="275">
        <f t="shared" si="146"/>
        <v>3.3061464537050118</v>
      </c>
      <c r="Q229" s="275">
        <f t="shared" si="146"/>
        <v>0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25">
      <c r="C230" s="86"/>
      <c r="D230" s="293"/>
      <c r="F230" s="293" t="s">
        <v>49</v>
      </c>
      <c r="G230" s="293" t="s">
        <v>251</v>
      </c>
      <c r="J230" s="275">
        <f t="shared" si="146"/>
        <v>0</v>
      </c>
      <c r="K230" s="275">
        <f t="shared" si="146"/>
        <v>0</v>
      </c>
      <c r="L230" s="275">
        <f t="shared" si="146"/>
        <v>0</v>
      </c>
      <c r="M230" s="275">
        <f t="shared" si="146"/>
        <v>0</v>
      </c>
      <c r="N230" s="275">
        <f t="shared" si="146"/>
        <v>1.3816436100777454</v>
      </c>
      <c r="O230" s="275">
        <f t="shared" si="146"/>
        <v>1.3205420424840544</v>
      </c>
      <c r="P230" s="275">
        <f t="shared" si="146"/>
        <v>0</v>
      </c>
      <c r="Q230" s="275">
        <f t="shared" si="146"/>
        <v>0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25">
      <c r="C231" s="86"/>
      <c r="D231" s="293"/>
      <c r="F231" s="293" t="s">
        <v>50</v>
      </c>
      <c r="G231" s="293" t="s">
        <v>251</v>
      </c>
      <c r="J231" s="275">
        <f t="shared" si="146"/>
        <v>0</v>
      </c>
      <c r="K231" s="275">
        <f t="shared" si="146"/>
        <v>0</v>
      </c>
      <c r="L231" s="275">
        <f t="shared" si="146"/>
        <v>0</v>
      </c>
      <c r="M231" s="275">
        <f t="shared" si="146"/>
        <v>0</v>
      </c>
      <c r="N231" s="275">
        <f t="shared" si="146"/>
        <v>0.90103577030761306</v>
      </c>
      <c r="O231" s="275">
        <f t="shared" si="146"/>
        <v>0</v>
      </c>
      <c r="P231" s="275">
        <f t="shared" si="146"/>
        <v>0</v>
      </c>
      <c r="Q231" s="275">
        <f t="shared" si="146"/>
        <v>0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2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2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2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2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25">
      <c r="C236" s="86"/>
      <c r="D236" s="293"/>
      <c r="F236" s="91" t="s">
        <v>267</v>
      </c>
      <c r="G236" s="91" t="s">
        <v>251</v>
      </c>
      <c r="H236" s="91"/>
      <c r="I236" s="91"/>
      <c r="J236" s="267">
        <f t="shared" ref="J236:Q245" si="147">J$122 * J176</f>
        <v>0</v>
      </c>
      <c r="K236" s="267">
        <f t="shared" si="147"/>
        <v>0</v>
      </c>
      <c r="L236" s="267">
        <f t="shared" si="147"/>
        <v>0</v>
      </c>
      <c r="M236" s="267">
        <f t="shared" si="147"/>
        <v>0</v>
      </c>
      <c r="N236" s="267">
        <f t="shared" si="147"/>
        <v>0</v>
      </c>
      <c r="O236" s="267">
        <f t="shared" si="147"/>
        <v>0</v>
      </c>
      <c r="P236" s="267">
        <f t="shared" si="147"/>
        <v>0</v>
      </c>
      <c r="Q236" s="267">
        <f t="shared" si="147"/>
        <v>0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25">
      <c r="C237" s="86"/>
      <c r="D237" s="293"/>
      <c r="F237" s="293" t="s">
        <v>43</v>
      </c>
      <c r="G237" s="293" t="s">
        <v>251</v>
      </c>
      <c r="J237" s="275">
        <f t="shared" si="147"/>
        <v>0</v>
      </c>
      <c r="K237" s="275">
        <f t="shared" si="147"/>
        <v>0</v>
      </c>
      <c r="L237" s="275">
        <f t="shared" si="147"/>
        <v>0</v>
      </c>
      <c r="M237" s="275">
        <f t="shared" si="147"/>
        <v>0</v>
      </c>
      <c r="N237" s="275">
        <f t="shared" si="147"/>
        <v>0</v>
      </c>
      <c r="O237" s="275">
        <f t="shared" si="147"/>
        <v>0</v>
      </c>
      <c r="P237" s="275">
        <f t="shared" si="147"/>
        <v>0</v>
      </c>
      <c r="Q237" s="275">
        <f t="shared" si="147"/>
        <v>0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25">
      <c r="C238" s="86"/>
      <c r="D238" s="293"/>
      <c r="F238" s="293" t="s">
        <v>44</v>
      </c>
      <c r="G238" s="293" t="s">
        <v>251</v>
      </c>
      <c r="J238" s="275">
        <f t="shared" si="147"/>
        <v>0</v>
      </c>
      <c r="K238" s="275">
        <f t="shared" si="147"/>
        <v>0</v>
      </c>
      <c r="L238" s="275">
        <f t="shared" si="147"/>
        <v>0</v>
      </c>
      <c r="M238" s="275">
        <f t="shared" si="147"/>
        <v>0</v>
      </c>
      <c r="N238" s="275">
        <f t="shared" si="147"/>
        <v>0</v>
      </c>
      <c r="O238" s="275">
        <f t="shared" si="147"/>
        <v>0</v>
      </c>
      <c r="P238" s="275">
        <f t="shared" si="147"/>
        <v>0</v>
      </c>
      <c r="Q238" s="275">
        <f t="shared" si="147"/>
        <v>0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25">
      <c r="C239" s="86"/>
      <c r="D239" s="293"/>
      <c r="F239" s="293" t="s">
        <v>45</v>
      </c>
      <c r="G239" s="293" t="s">
        <v>251</v>
      </c>
      <c r="J239" s="275">
        <f t="shared" si="147"/>
        <v>0</v>
      </c>
      <c r="K239" s="275">
        <f t="shared" si="147"/>
        <v>0</v>
      </c>
      <c r="L239" s="275">
        <f t="shared" si="147"/>
        <v>0</v>
      </c>
      <c r="M239" s="275">
        <f t="shared" si="147"/>
        <v>0</v>
      </c>
      <c r="N239" s="275">
        <f t="shared" si="147"/>
        <v>0</v>
      </c>
      <c r="O239" s="275">
        <f t="shared" si="147"/>
        <v>0</v>
      </c>
      <c r="P239" s="275">
        <f t="shared" si="147"/>
        <v>0</v>
      </c>
      <c r="Q239" s="275">
        <f t="shared" si="147"/>
        <v>0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25">
      <c r="C240" s="86"/>
      <c r="D240" s="293"/>
      <c r="F240" s="293" t="s">
        <v>46</v>
      </c>
      <c r="G240" s="293" t="s">
        <v>251</v>
      </c>
      <c r="J240" s="275">
        <f t="shared" si="147"/>
        <v>0</v>
      </c>
      <c r="K240" s="275">
        <f t="shared" si="147"/>
        <v>0</v>
      </c>
      <c r="L240" s="275">
        <f t="shared" si="147"/>
        <v>0</v>
      </c>
      <c r="M240" s="275">
        <f t="shared" si="147"/>
        <v>0</v>
      </c>
      <c r="N240" s="275">
        <f t="shared" si="147"/>
        <v>0</v>
      </c>
      <c r="O240" s="275">
        <f t="shared" si="147"/>
        <v>0</v>
      </c>
      <c r="P240" s="275">
        <f t="shared" si="147"/>
        <v>0.38696395212603668</v>
      </c>
      <c r="Q240" s="275">
        <f t="shared" si="147"/>
        <v>0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25">
      <c r="C241" s="86"/>
      <c r="D241" s="293"/>
      <c r="F241" s="293" t="s">
        <v>47</v>
      </c>
      <c r="G241" s="293" t="s">
        <v>251</v>
      </c>
      <c r="J241" s="275">
        <f t="shared" si="147"/>
        <v>0</v>
      </c>
      <c r="K241" s="275">
        <f t="shared" si="147"/>
        <v>0</v>
      </c>
      <c r="L241" s="275">
        <f t="shared" si="147"/>
        <v>0</v>
      </c>
      <c r="M241" s="275">
        <f t="shared" si="147"/>
        <v>0</v>
      </c>
      <c r="N241" s="275">
        <f t="shared" si="147"/>
        <v>0</v>
      </c>
      <c r="O241" s="275">
        <f t="shared" si="147"/>
        <v>0</v>
      </c>
      <c r="P241" s="275">
        <f t="shared" si="147"/>
        <v>0.32135328092169152</v>
      </c>
      <c r="Q241" s="275">
        <f t="shared" si="147"/>
        <v>0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25">
      <c r="C242" s="86"/>
      <c r="D242" s="293"/>
      <c r="F242" s="293" t="s">
        <v>51</v>
      </c>
      <c r="G242" s="293" t="s">
        <v>251</v>
      </c>
      <c r="J242" s="275">
        <f t="shared" si="147"/>
        <v>0</v>
      </c>
      <c r="K242" s="275">
        <f t="shared" si="147"/>
        <v>0</v>
      </c>
      <c r="L242" s="275">
        <f t="shared" si="147"/>
        <v>0</v>
      </c>
      <c r="M242" s="275">
        <f t="shared" si="147"/>
        <v>0</v>
      </c>
      <c r="N242" s="275">
        <f t="shared" si="147"/>
        <v>0</v>
      </c>
      <c r="O242" s="275">
        <f t="shared" si="147"/>
        <v>0</v>
      </c>
      <c r="P242" s="275">
        <f t="shared" si="147"/>
        <v>0</v>
      </c>
      <c r="Q242" s="275">
        <f t="shared" si="147"/>
        <v>0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25">
      <c r="C243" s="86"/>
      <c r="D243" s="293"/>
      <c r="F243" s="293" t="s">
        <v>48</v>
      </c>
      <c r="G243" s="293" t="s">
        <v>251</v>
      </c>
      <c r="J243" s="275">
        <f t="shared" si="147"/>
        <v>0</v>
      </c>
      <c r="K243" s="275">
        <f t="shared" si="147"/>
        <v>0</v>
      </c>
      <c r="L243" s="275">
        <f t="shared" si="147"/>
        <v>0</v>
      </c>
      <c r="M243" s="275">
        <f t="shared" si="147"/>
        <v>0</v>
      </c>
      <c r="N243" s="275">
        <f t="shared" si="147"/>
        <v>0.46967961221519339</v>
      </c>
      <c r="O243" s="275">
        <f t="shared" si="147"/>
        <v>2.2445429121655671</v>
      </c>
      <c r="P243" s="275">
        <f t="shared" si="147"/>
        <v>2.1979140697976325</v>
      </c>
      <c r="Q243" s="275">
        <f t="shared" si="147"/>
        <v>0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25">
      <c r="C244" s="86"/>
      <c r="D244" s="293"/>
      <c r="F244" s="293" t="s">
        <v>49</v>
      </c>
      <c r="G244" s="293" t="s">
        <v>251</v>
      </c>
      <c r="J244" s="275">
        <f t="shared" si="147"/>
        <v>0</v>
      </c>
      <c r="K244" s="275">
        <f t="shared" si="147"/>
        <v>0</v>
      </c>
      <c r="L244" s="275">
        <f t="shared" si="147"/>
        <v>0</v>
      </c>
      <c r="M244" s="275">
        <f t="shared" si="147"/>
        <v>0</v>
      </c>
      <c r="N244" s="275">
        <f t="shared" si="147"/>
        <v>0.91851161845319185</v>
      </c>
      <c r="O244" s="275">
        <f t="shared" si="147"/>
        <v>0.87789151980318569</v>
      </c>
      <c r="P244" s="275">
        <f t="shared" si="147"/>
        <v>0</v>
      </c>
      <c r="Q244" s="275">
        <f t="shared" si="147"/>
        <v>0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25">
      <c r="C245" s="86"/>
      <c r="D245" s="293"/>
      <c r="F245" s="293" t="s">
        <v>50</v>
      </c>
      <c r="G245" s="293" t="s">
        <v>251</v>
      </c>
      <c r="J245" s="275">
        <f t="shared" si="147"/>
        <v>0</v>
      </c>
      <c r="K245" s="275">
        <f t="shared" si="147"/>
        <v>0</v>
      </c>
      <c r="L245" s="275">
        <f t="shared" si="147"/>
        <v>0</v>
      </c>
      <c r="M245" s="275">
        <f t="shared" si="147"/>
        <v>0</v>
      </c>
      <c r="N245" s="275">
        <f t="shared" si="147"/>
        <v>0.59900528445457368</v>
      </c>
      <c r="O245" s="275">
        <f t="shared" si="147"/>
        <v>0</v>
      </c>
      <c r="P245" s="275">
        <f t="shared" si="147"/>
        <v>0</v>
      </c>
      <c r="Q245" s="275">
        <f t="shared" si="147"/>
        <v>0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2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2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2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25">
      <c r="B249" s="95" t="s">
        <v>655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2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2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2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2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25">
      <c r="C254" s="7" t="str">
        <f ca="1">INDEX('Version control'!$H$34:$H$60,MATCH($A$1,'Version control'!$F$34:$F$60,0),1)&amp;"-F: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2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25">
      <c r="E256" s="293" t="s">
        <v>300</v>
      </c>
      <c r="G256" s="293" t="s">
        <v>251</v>
      </c>
      <c r="I256" s="293" t="s">
        <v>359</v>
      </c>
      <c r="J256" s="258">
        <f t="shared" ref="J256:Q256" si="148">SUM(J192:J203,J206:J217)</f>
        <v>0</v>
      </c>
      <c r="K256" s="258">
        <f t="shared" si="148"/>
        <v>0</v>
      </c>
      <c r="L256" s="258">
        <f t="shared" si="148"/>
        <v>0</v>
      </c>
      <c r="M256" s="258">
        <f t="shared" si="148"/>
        <v>0</v>
      </c>
      <c r="N256" s="258">
        <f t="shared" si="148"/>
        <v>2.9246805518159871</v>
      </c>
      <c r="O256" s="258">
        <f t="shared" si="148"/>
        <v>5.7785379748713108</v>
      </c>
      <c r="P256" s="258">
        <f t="shared" si="148"/>
        <v>4.6095828572289328</v>
      </c>
      <c r="Q256" s="258">
        <f t="shared" si="148"/>
        <v>0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742</v>
      </c>
    </row>
    <row r="257" spans="3:27" x14ac:dyDescent="0.25">
      <c r="E257" s="293" t="s">
        <v>299</v>
      </c>
      <c r="G257" s="293" t="s">
        <v>251</v>
      </c>
      <c r="I257" s="293" t="s">
        <v>359</v>
      </c>
      <c r="J257" s="256">
        <f t="shared" ref="J257:Q257" si="149">SUM(J222:J233,J236:J247)</f>
        <v>0</v>
      </c>
      <c r="K257" s="256">
        <f t="shared" si="149"/>
        <v>0</v>
      </c>
      <c r="L257" s="256">
        <f t="shared" si="149"/>
        <v>0</v>
      </c>
      <c r="M257" s="256">
        <f t="shared" si="149"/>
        <v>0</v>
      </c>
      <c r="N257" s="256">
        <f t="shared" si="149"/>
        <v>4.9763773941978364</v>
      </c>
      <c r="O257" s="256">
        <f t="shared" si="149"/>
        <v>7.8192629686414357</v>
      </c>
      <c r="P257" s="256">
        <f t="shared" si="149"/>
        <v>7.2778427537122079</v>
      </c>
      <c r="Q257" s="256">
        <f t="shared" si="149"/>
        <v>0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742</v>
      </c>
    </row>
    <row r="258" spans="3:27" x14ac:dyDescent="0.2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25">
      <c r="C259" s="7" t="str">
        <f ca="1">INDEX('Version control'!$H$34:$H$60,MATCH($A$1,'Version control'!$F$34:$F$60,0),1)&amp;"-G: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2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824</v>
      </c>
    </row>
    <row r="261" spans="3:27" x14ac:dyDescent="0.2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2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2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25">
      <c r="C264" s="86"/>
      <c r="D264" s="293"/>
      <c r="F264" s="293" t="s">
        <v>44</v>
      </c>
      <c r="G264" s="293" t="s">
        <v>251</v>
      </c>
      <c r="J264" s="256">
        <f t="shared" ref="J264:Q271" si="150">J$123 * J134</f>
        <v>0</v>
      </c>
      <c r="K264" s="256">
        <f t="shared" si="150"/>
        <v>0</v>
      </c>
      <c r="L264" s="256">
        <f t="shared" si="150"/>
        <v>0</v>
      </c>
      <c r="M264" s="256">
        <f t="shared" si="150"/>
        <v>0</v>
      </c>
      <c r="N264" s="256">
        <f t="shared" si="150"/>
        <v>0</v>
      </c>
      <c r="O264" s="256">
        <f t="shared" si="150"/>
        <v>0</v>
      </c>
      <c r="P264" s="256">
        <f t="shared" si="150"/>
        <v>0</v>
      </c>
      <c r="Q264" s="256">
        <f t="shared" si="150"/>
        <v>0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25">
      <c r="C265" s="86"/>
      <c r="D265" s="293"/>
      <c r="F265" s="293" t="s">
        <v>45</v>
      </c>
      <c r="G265" s="293" t="s">
        <v>251</v>
      </c>
      <c r="J265" s="256">
        <f t="shared" si="150"/>
        <v>0</v>
      </c>
      <c r="K265" s="256">
        <f t="shared" si="150"/>
        <v>0</v>
      </c>
      <c r="L265" s="256">
        <f t="shared" si="150"/>
        <v>0</v>
      </c>
      <c r="M265" s="256">
        <f t="shared" si="150"/>
        <v>0</v>
      </c>
      <c r="N265" s="256">
        <f t="shared" si="150"/>
        <v>0</v>
      </c>
      <c r="O265" s="256">
        <f t="shared" si="150"/>
        <v>0</v>
      </c>
      <c r="P265" s="256">
        <f t="shared" si="150"/>
        <v>0</v>
      </c>
      <c r="Q265" s="256">
        <f t="shared" si="150"/>
        <v>0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25">
      <c r="C266" s="86"/>
      <c r="D266" s="293"/>
      <c r="F266" s="293" t="s">
        <v>46</v>
      </c>
      <c r="G266" s="293" t="s">
        <v>251</v>
      </c>
      <c r="J266" s="256">
        <f t="shared" si="150"/>
        <v>0</v>
      </c>
      <c r="K266" s="256">
        <f t="shared" si="150"/>
        <v>0</v>
      </c>
      <c r="L266" s="256">
        <f t="shared" si="150"/>
        <v>0</v>
      </c>
      <c r="M266" s="256">
        <f t="shared" si="150"/>
        <v>0</v>
      </c>
      <c r="N266" s="256">
        <f t="shared" si="150"/>
        <v>0</v>
      </c>
      <c r="O266" s="256">
        <f t="shared" si="150"/>
        <v>0</v>
      </c>
      <c r="P266" s="256">
        <f t="shared" si="150"/>
        <v>0</v>
      </c>
      <c r="Q266" s="256">
        <f t="shared" si="150"/>
        <v>0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25">
      <c r="C267" s="86"/>
      <c r="D267" s="293"/>
      <c r="F267" s="293" t="s">
        <v>47</v>
      </c>
      <c r="G267" s="293" t="s">
        <v>251</v>
      </c>
      <c r="J267" s="256">
        <f t="shared" si="150"/>
        <v>0</v>
      </c>
      <c r="K267" s="256">
        <f t="shared" si="150"/>
        <v>0</v>
      </c>
      <c r="L267" s="256">
        <f t="shared" si="150"/>
        <v>0</v>
      </c>
      <c r="M267" s="256">
        <f t="shared" si="150"/>
        <v>0</v>
      </c>
      <c r="N267" s="256">
        <f t="shared" si="150"/>
        <v>0</v>
      </c>
      <c r="O267" s="256">
        <f t="shared" si="150"/>
        <v>0</v>
      </c>
      <c r="P267" s="256">
        <f t="shared" si="150"/>
        <v>0</v>
      </c>
      <c r="Q267" s="256">
        <f t="shared" si="150"/>
        <v>0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25">
      <c r="C268" s="86"/>
      <c r="D268" s="293"/>
      <c r="F268" s="293" t="s">
        <v>51</v>
      </c>
      <c r="G268" s="293" t="s">
        <v>251</v>
      </c>
      <c r="J268" s="256">
        <f t="shared" si="150"/>
        <v>0</v>
      </c>
      <c r="K268" s="256">
        <f t="shared" si="150"/>
        <v>0</v>
      </c>
      <c r="L268" s="256">
        <f t="shared" si="150"/>
        <v>0</v>
      </c>
      <c r="M268" s="256">
        <f t="shared" si="150"/>
        <v>0</v>
      </c>
      <c r="N268" s="256">
        <f t="shared" si="150"/>
        <v>0</v>
      </c>
      <c r="O268" s="256">
        <f t="shared" si="150"/>
        <v>0</v>
      </c>
      <c r="P268" s="256">
        <f t="shared" si="150"/>
        <v>0</v>
      </c>
      <c r="Q268" s="256">
        <f t="shared" si="150"/>
        <v>0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25">
      <c r="C269" s="86"/>
      <c r="D269" s="293"/>
      <c r="F269" s="293" t="s">
        <v>48</v>
      </c>
      <c r="G269" s="293" t="s">
        <v>251</v>
      </c>
      <c r="J269" s="256">
        <f t="shared" si="150"/>
        <v>0</v>
      </c>
      <c r="K269" s="256">
        <f t="shared" si="150"/>
        <v>0</v>
      </c>
      <c r="L269" s="256">
        <f t="shared" si="150"/>
        <v>0</v>
      </c>
      <c r="M269" s="256">
        <f t="shared" si="150"/>
        <v>0</v>
      </c>
      <c r="N269" s="256">
        <f t="shared" si="150"/>
        <v>0</v>
      </c>
      <c r="O269" s="256">
        <f t="shared" si="150"/>
        <v>0</v>
      </c>
      <c r="P269" s="256">
        <f t="shared" si="150"/>
        <v>0</v>
      </c>
      <c r="Q269" s="256">
        <f t="shared" si="150"/>
        <v>0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25">
      <c r="C270" s="86"/>
      <c r="D270" s="293"/>
      <c r="F270" s="293" t="s">
        <v>49</v>
      </c>
      <c r="G270" s="293" t="s">
        <v>251</v>
      </c>
      <c r="J270" s="256">
        <f t="shared" si="150"/>
        <v>0</v>
      </c>
      <c r="K270" s="256">
        <f t="shared" si="150"/>
        <v>0</v>
      </c>
      <c r="L270" s="256">
        <f t="shared" si="150"/>
        <v>0</v>
      </c>
      <c r="M270" s="256">
        <f t="shared" si="150"/>
        <v>0</v>
      </c>
      <c r="N270" s="256">
        <f t="shared" si="150"/>
        <v>0</v>
      </c>
      <c r="O270" s="256">
        <f t="shared" si="150"/>
        <v>0</v>
      </c>
      <c r="P270" s="256">
        <f t="shared" si="150"/>
        <v>0</v>
      </c>
      <c r="Q270" s="256">
        <f t="shared" si="150"/>
        <v>0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25">
      <c r="C271" s="86"/>
      <c r="D271" s="293"/>
      <c r="F271" s="293" t="s">
        <v>50</v>
      </c>
      <c r="G271" s="293" t="s">
        <v>251</v>
      </c>
      <c r="J271" s="256">
        <f t="shared" si="150"/>
        <v>6.2217699613785017E-2</v>
      </c>
      <c r="K271" s="256">
        <f t="shared" si="150"/>
        <v>0</v>
      </c>
      <c r="L271" s="256">
        <f t="shared" si="150"/>
        <v>6.2217699613785017E-2</v>
      </c>
      <c r="M271" s="256">
        <f t="shared" si="150"/>
        <v>0</v>
      </c>
      <c r="N271" s="256">
        <f t="shared" si="150"/>
        <v>0</v>
      </c>
      <c r="O271" s="256">
        <f t="shared" si="150"/>
        <v>0</v>
      </c>
      <c r="P271" s="256">
        <f t="shared" si="150"/>
        <v>0</v>
      </c>
      <c r="Q271" s="256">
        <f t="shared" si="150"/>
        <v>0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2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2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2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2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25">
      <c r="C276" s="86"/>
      <c r="D276" s="293"/>
      <c r="F276" s="91" t="s">
        <v>267</v>
      </c>
      <c r="G276" s="91" t="s">
        <v>251</v>
      </c>
      <c r="H276" s="91"/>
      <c r="I276" s="91"/>
      <c r="J276" s="254">
        <f t="shared" ref="J276:Q285" si="151">J$123 * J146</f>
        <v>0</v>
      </c>
      <c r="K276" s="254">
        <f t="shared" si="151"/>
        <v>0</v>
      </c>
      <c r="L276" s="254">
        <f t="shared" si="151"/>
        <v>0</v>
      </c>
      <c r="M276" s="254">
        <f t="shared" si="151"/>
        <v>0</v>
      </c>
      <c r="N276" s="254">
        <f t="shared" si="151"/>
        <v>0</v>
      </c>
      <c r="O276" s="254">
        <f t="shared" si="151"/>
        <v>0</v>
      </c>
      <c r="P276" s="254">
        <f t="shared" si="151"/>
        <v>0</v>
      </c>
      <c r="Q276" s="254">
        <f t="shared" si="151"/>
        <v>0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25">
      <c r="C277" s="86"/>
      <c r="D277" s="293"/>
      <c r="F277" s="293" t="s">
        <v>43</v>
      </c>
      <c r="G277" s="293" t="s">
        <v>251</v>
      </c>
      <c r="J277" s="256">
        <f t="shared" si="151"/>
        <v>0</v>
      </c>
      <c r="K277" s="256">
        <f t="shared" si="151"/>
        <v>0</v>
      </c>
      <c r="L277" s="256">
        <f t="shared" si="151"/>
        <v>0</v>
      </c>
      <c r="M277" s="256">
        <f t="shared" si="151"/>
        <v>0</v>
      </c>
      <c r="N277" s="256">
        <f t="shared" si="151"/>
        <v>0</v>
      </c>
      <c r="O277" s="256">
        <f t="shared" si="151"/>
        <v>0</v>
      </c>
      <c r="P277" s="256">
        <f t="shared" si="151"/>
        <v>0</v>
      </c>
      <c r="Q277" s="256">
        <f t="shared" si="151"/>
        <v>0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25">
      <c r="C278" s="86"/>
      <c r="D278" s="293"/>
      <c r="F278" s="293" t="s">
        <v>44</v>
      </c>
      <c r="G278" s="293" t="s">
        <v>251</v>
      </c>
      <c r="J278" s="256">
        <f t="shared" si="151"/>
        <v>0</v>
      </c>
      <c r="K278" s="256">
        <f t="shared" si="151"/>
        <v>0</v>
      </c>
      <c r="L278" s="256">
        <f t="shared" si="151"/>
        <v>0</v>
      </c>
      <c r="M278" s="256">
        <f t="shared" si="151"/>
        <v>0</v>
      </c>
      <c r="N278" s="256">
        <f t="shared" si="151"/>
        <v>0</v>
      </c>
      <c r="O278" s="256">
        <f t="shared" si="151"/>
        <v>0</v>
      </c>
      <c r="P278" s="256">
        <f t="shared" si="151"/>
        <v>0</v>
      </c>
      <c r="Q278" s="256">
        <f t="shared" si="151"/>
        <v>0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25">
      <c r="C279" s="86"/>
      <c r="D279" s="293"/>
      <c r="F279" s="293" t="s">
        <v>45</v>
      </c>
      <c r="G279" s="293" t="s">
        <v>251</v>
      </c>
      <c r="J279" s="256">
        <f t="shared" si="151"/>
        <v>0</v>
      </c>
      <c r="K279" s="256">
        <f t="shared" si="151"/>
        <v>0</v>
      </c>
      <c r="L279" s="256">
        <f t="shared" si="151"/>
        <v>0</v>
      </c>
      <c r="M279" s="256">
        <f t="shared" si="151"/>
        <v>0</v>
      </c>
      <c r="N279" s="256">
        <f t="shared" si="151"/>
        <v>0</v>
      </c>
      <c r="O279" s="256">
        <f t="shared" si="151"/>
        <v>0</v>
      </c>
      <c r="P279" s="256">
        <f t="shared" si="151"/>
        <v>0</v>
      </c>
      <c r="Q279" s="256">
        <f t="shared" si="151"/>
        <v>0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25">
      <c r="C280" s="86"/>
      <c r="D280" s="293"/>
      <c r="F280" s="293" t="s">
        <v>46</v>
      </c>
      <c r="G280" s="293" t="s">
        <v>251</v>
      </c>
      <c r="J280" s="256">
        <f t="shared" si="151"/>
        <v>0</v>
      </c>
      <c r="K280" s="256">
        <f t="shared" si="151"/>
        <v>0</v>
      </c>
      <c r="L280" s="256">
        <f t="shared" si="151"/>
        <v>0</v>
      </c>
      <c r="M280" s="256">
        <f t="shared" si="151"/>
        <v>0</v>
      </c>
      <c r="N280" s="256">
        <f t="shared" si="151"/>
        <v>0</v>
      </c>
      <c r="O280" s="256">
        <f t="shared" si="151"/>
        <v>0</v>
      </c>
      <c r="P280" s="256">
        <f t="shared" si="151"/>
        <v>0</v>
      </c>
      <c r="Q280" s="256">
        <f t="shared" si="151"/>
        <v>0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25">
      <c r="C281" s="86"/>
      <c r="D281" s="293"/>
      <c r="F281" s="293" t="s">
        <v>47</v>
      </c>
      <c r="G281" s="293" t="s">
        <v>251</v>
      </c>
      <c r="J281" s="256">
        <f t="shared" si="151"/>
        <v>0</v>
      </c>
      <c r="K281" s="256">
        <f t="shared" si="151"/>
        <v>0</v>
      </c>
      <c r="L281" s="256">
        <f t="shared" si="151"/>
        <v>0</v>
      </c>
      <c r="M281" s="256">
        <f t="shared" si="151"/>
        <v>0</v>
      </c>
      <c r="N281" s="256">
        <f t="shared" si="151"/>
        <v>0</v>
      </c>
      <c r="O281" s="256">
        <f t="shared" si="151"/>
        <v>0</v>
      </c>
      <c r="P281" s="256">
        <f t="shared" si="151"/>
        <v>0</v>
      </c>
      <c r="Q281" s="256">
        <f t="shared" si="151"/>
        <v>0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25">
      <c r="C282" s="86"/>
      <c r="D282" s="293"/>
      <c r="F282" s="293" t="s">
        <v>51</v>
      </c>
      <c r="G282" s="293" t="s">
        <v>251</v>
      </c>
      <c r="J282" s="256">
        <f t="shared" si="151"/>
        <v>0</v>
      </c>
      <c r="K282" s="256">
        <f t="shared" si="151"/>
        <v>0</v>
      </c>
      <c r="L282" s="256">
        <f t="shared" si="151"/>
        <v>0</v>
      </c>
      <c r="M282" s="256">
        <f t="shared" si="151"/>
        <v>0</v>
      </c>
      <c r="N282" s="256">
        <f t="shared" si="151"/>
        <v>0</v>
      </c>
      <c r="O282" s="256">
        <f t="shared" si="151"/>
        <v>0</v>
      </c>
      <c r="P282" s="256">
        <f t="shared" si="151"/>
        <v>0</v>
      </c>
      <c r="Q282" s="256">
        <f t="shared" si="151"/>
        <v>0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25">
      <c r="C283" s="86"/>
      <c r="D283" s="293"/>
      <c r="F283" s="293" t="s">
        <v>48</v>
      </c>
      <c r="G283" s="293" t="s">
        <v>251</v>
      </c>
      <c r="J283" s="256">
        <f t="shared" si="151"/>
        <v>0</v>
      </c>
      <c r="K283" s="256">
        <f t="shared" si="151"/>
        <v>0</v>
      </c>
      <c r="L283" s="256">
        <f t="shared" si="151"/>
        <v>0</v>
      </c>
      <c r="M283" s="256">
        <f t="shared" si="151"/>
        <v>0</v>
      </c>
      <c r="N283" s="256">
        <f t="shared" si="151"/>
        <v>0</v>
      </c>
      <c r="O283" s="256">
        <f t="shared" si="151"/>
        <v>0</v>
      </c>
      <c r="P283" s="256">
        <f t="shared" si="151"/>
        <v>0</v>
      </c>
      <c r="Q283" s="256">
        <f t="shared" si="151"/>
        <v>0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25">
      <c r="C284" s="86"/>
      <c r="D284" s="293"/>
      <c r="F284" s="293" t="s">
        <v>49</v>
      </c>
      <c r="G284" s="293" t="s">
        <v>251</v>
      </c>
      <c r="J284" s="256">
        <f t="shared" si="151"/>
        <v>0</v>
      </c>
      <c r="K284" s="256">
        <f t="shared" si="151"/>
        <v>0</v>
      </c>
      <c r="L284" s="256">
        <f t="shared" si="151"/>
        <v>0</v>
      </c>
      <c r="M284" s="256">
        <f t="shared" si="151"/>
        <v>0</v>
      </c>
      <c r="N284" s="256">
        <f t="shared" si="151"/>
        <v>0</v>
      </c>
      <c r="O284" s="256">
        <f t="shared" si="151"/>
        <v>0</v>
      </c>
      <c r="P284" s="256">
        <f t="shared" si="151"/>
        <v>0</v>
      </c>
      <c r="Q284" s="256">
        <f t="shared" si="151"/>
        <v>0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25">
      <c r="C285" s="86"/>
      <c r="D285" s="293"/>
      <c r="F285" s="293" t="s">
        <v>50</v>
      </c>
      <c r="G285" s="293" t="s">
        <v>251</v>
      </c>
      <c r="J285" s="256">
        <f t="shared" si="151"/>
        <v>0.59900528445457368</v>
      </c>
      <c r="K285" s="256">
        <f t="shared" si="151"/>
        <v>0</v>
      </c>
      <c r="L285" s="256">
        <f t="shared" si="151"/>
        <v>0.59900528445457368</v>
      </c>
      <c r="M285" s="256">
        <f t="shared" si="151"/>
        <v>0</v>
      </c>
      <c r="N285" s="256">
        <f t="shared" si="151"/>
        <v>0</v>
      </c>
      <c r="O285" s="256">
        <f t="shared" si="151"/>
        <v>0</v>
      </c>
      <c r="P285" s="256">
        <f t="shared" si="151"/>
        <v>0</v>
      </c>
      <c r="Q285" s="256">
        <f t="shared" si="151"/>
        <v>0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2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2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3" t="s">
        <v>416</v>
      </c>
      <c r="G291" s="122" t="s">
        <v>589</v>
      </c>
      <c r="H291" s="407">
        <f t="array" ref="H291">SUM(IF(ISERROR(H51:Y287), 1))</f>
        <v>0</v>
      </c>
    </row>
    <row r="293" spans="2:27" x14ac:dyDescent="0.25">
      <c r="E293" s="293" t="s">
        <v>540</v>
      </c>
      <c r="G293" s="122" t="s">
        <v>589</v>
      </c>
      <c r="H293" s="407">
        <f>SUM(J293:Y293)</f>
        <v>0</v>
      </c>
      <c r="J293" s="407">
        <f t="shared" ref="J293:Y293" si="152">IF(J121 + J123 &lt; 2, 0, 1)</f>
        <v>0</v>
      </c>
      <c r="K293" s="407">
        <f t="shared" si="152"/>
        <v>0</v>
      </c>
      <c r="L293" s="407">
        <f t="shared" si="152"/>
        <v>0</v>
      </c>
      <c r="M293" s="407">
        <f t="shared" si="152"/>
        <v>0</v>
      </c>
      <c r="N293" s="407">
        <f t="shared" si="152"/>
        <v>0</v>
      </c>
      <c r="O293" s="407">
        <f t="shared" si="152"/>
        <v>0</v>
      </c>
      <c r="P293" s="407">
        <f t="shared" si="152"/>
        <v>0</v>
      </c>
      <c r="Q293" s="407">
        <f t="shared" si="152"/>
        <v>0</v>
      </c>
      <c r="R293" s="407">
        <f t="shared" si="152"/>
        <v>0</v>
      </c>
      <c r="S293" s="407">
        <f t="shared" si="152"/>
        <v>0</v>
      </c>
      <c r="T293" s="407">
        <f t="shared" si="152"/>
        <v>0</v>
      </c>
      <c r="U293" s="407">
        <f t="shared" si="152"/>
        <v>0</v>
      </c>
      <c r="V293" s="407">
        <f t="shared" si="152"/>
        <v>0</v>
      </c>
      <c r="W293" s="407">
        <f t="shared" si="152"/>
        <v>0</v>
      </c>
      <c r="X293" s="407">
        <f t="shared" si="152"/>
        <v>0</v>
      </c>
      <c r="Y293" s="407">
        <f t="shared" si="152"/>
        <v>0</v>
      </c>
    </row>
    <row r="295" spans="2:27" x14ac:dyDescent="0.25">
      <c r="C295" s="86"/>
      <c r="E295" s="293" t="s">
        <v>374</v>
      </c>
      <c r="G295" s="122" t="s">
        <v>589</v>
      </c>
      <c r="H295" s="310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00000000-0004-0000-1C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4" width="24.5703125" style="293" hidden="1" customWidth="1"/>
    <col min="31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760</v>
      </c>
      <c r="D9" s="293"/>
    </row>
    <row r="10" spans="1:27" x14ac:dyDescent="0.25">
      <c r="C10" s="82" t="s">
        <v>391</v>
      </c>
      <c r="D10" s="293"/>
      <c r="E10" s="293"/>
    </row>
    <row r="11" spans="1:27" x14ac:dyDescent="0.25">
      <c r="C11" s="299" t="s">
        <v>761</v>
      </c>
    </row>
    <row r="13" spans="1:27" x14ac:dyDescent="0.25">
      <c r="B13" s="95" t="s">
        <v>659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421</v>
      </c>
    </row>
    <row r="17" spans="3:27" x14ac:dyDescent="0.25">
      <c r="C17" s="7" t="str">
        <f ca="1">INDEX('Version control'!$H$34:$H$60,MATCH($A$1,'Version control'!$F$34:$F$60,0),1)&amp;"-A: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3"/>
      <c r="E18" s="96"/>
    </row>
    <row r="19" spans="3:27" x14ac:dyDescent="0.25">
      <c r="D19" s="96" t="s">
        <v>89</v>
      </c>
    </row>
    <row r="20" spans="3:27" x14ac:dyDescent="0.25">
      <c r="D20" s="82" t="s">
        <v>270</v>
      </c>
      <c r="E20" s="293"/>
    </row>
    <row r="21" spans="3:27" x14ac:dyDescent="0.25">
      <c r="C21" s="86"/>
      <c r="E21" s="91" t="s">
        <v>267</v>
      </c>
      <c r="F21" s="91"/>
      <c r="G21" s="91" t="s">
        <v>209</v>
      </c>
      <c r="H21" s="238"/>
    </row>
    <row r="22" spans="3:27" x14ac:dyDescent="0.25">
      <c r="C22" s="86"/>
      <c r="E22" s="293" t="s">
        <v>43</v>
      </c>
      <c r="G22" s="293" t="s">
        <v>209</v>
      </c>
      <c r="H22" s="273">
        <f t="array" ref="H22:H30">TRANSPOSE('Inputs by network level'!K24:S24)</f>
        <v>0.23606981324600912</v>
      </c>
    </row>
    <row r="23" spans="3:27" x14ac:dyDescent="0.25">
      <c r="C23" s="86"/>
      <c r="E23" s="293" t="s">
        <v>44</v>
      </c>
      <c r="G23" s="293" t="s">
        <v>209</v>
      </c>
      <c r="H23" s="273">
        <v>0.23606981324600912</v>
      </c>
    </row>
    <row r="24" spans="3:27" x14ac:dyDescent="0.25">
      <c r="C24" s="86"/>
      <c r="E24" s="293" t="s">
        <v>45</v>
      </c>
      <c r="G24" s="293" t="s">
        <v>209</v>
      </c>
      <c r="H24" s="273">
        <v>0.2927446569914286</v>
      </c>
    </row>
    <row r="25" spans="3:27" x14ac:dyDescent="0.25">
      <c r="C25" s="86"/>
      <c r="E25" s="293" t="s">
        <v>46</v>
      </c>
      <c r="G25" s="293" t="s">
        <v>209</v>
      </c>
      <c r="H25" s="273">
        <v>0.2927446569914286</v>
      </c>
    </row>
    <row r="26" spans="3:27" x14ac:dyDescent="0.25">
      <c r="C26" s="86"/>
      <c r="E26" s="293" t="s">
        <v>47</v>
      </c>
      <c r="G26" s="293" t="s">
        <v>209</v>
      </c>
      <c r="H26" s="273">
        <v>0.30348821794359715</v>
      </c>
    </row>
    <row r="27" spans="3:27" x14ac:dyDescent="0.25">
      <c r="C27" s="86"/>
      <c r="E27" s="293" t="s">
        <v>51</v>
      </c>
      <c r="G27" s="293" t="s">
        <v>209</v>
      </c>
      <c r="H27" s="273">
        <v>0.30348821794359715</v>
      </c>
    </row>
    <row r="28" spans="3:27" x14ac:dyDescent="0.25">
      <c r="C28" s="86"/>
      <c r="E28" s="293" t="s">
        <v>48</v>
      </c>
      <c r="G28" s="293" t="s">
        <v>209</v>
      </c>
      <c r="H28" s="273">
        <v>0.30348821794359715</v>
      </c>
    </row>
    <row r="29" spans="3:27" x14ac:dyDescent="0.25">
      <c r="C29" s="86"/>
      <c r="E29" s="293" t="s">
        <v>49</v>
      </c>
      <c r="G29" s="293" t="s">
        <v>209</v>
      </c>
      <c r="H29" s="273">
        <v>0.30348821794359715</v>
      </c>
    </row>
    <row r="30" spans="3:27" x14ac:dyDescent="0.25">
      <c r="C30" s="86"/>
      <c r="E30" s="293" t="s">
        <v>50</v>
      </c>
      <c r="G30" s="293" t="s">
        <v>209</v>
      </c>
      <c r="H30" s="273">
        <v>0.30348821794359715</v>
      </c>
    </row>
    <row r="31" spans="3:27" x14ac:dyDescent="0.25">
      <c r="C31" s="86"/>
      <c r="E31" s="293" t="s">
        <v>124</v>
      </c>
      <c r="G31" s="293" t="s">
        <v>209</v>
      </c>
      <c r="H31" s="279"/>
    </row>
    <row r="32" spans="3:27" x14ac:dyDescent="0.25">
      <c r="C32" s="86"/>
      <c r="E32" s="93" t="s">
        <v>123</v>
      </c>
      <c r="F32" s="93"/>
      <c r="G32" s="93" t="s">
        <v>209</v>
      </c>
      <c r="H32" s="240"/>
    </row>
    <row r="33" spans="3:8" x14ac:dyDescent="0.25">
      <c r="C33" s="86"/>
      <c r="H33" s="252"/>
    </row>
    <row r="34" spans="3:8" x14ac:dyDescent="0.25">
      <c r="D34" s="86" t="s">
        <v>100</v>
      </c>
      <c r="H34" s="252"/>
    </row>
    <row r="35" spans="3:8" x14ac:dyDescent="0.25">
      <c r="C35" s="86"/>
      <c r="E35" s="91" t="s">
        <v>267</v>
      </c>
      <c r="F35" s="91"/>
      <c r="G35" s="16" t="s">
        <v>428</v>
      </c>
      <c r="H35" s="272">
        <f t="array" ref="H35:H44">TRANSPOSE('Load &amp; loss characteristics'!J29:S29)</f>
        <v>1</v>
      </c>
    </row>
    <row r="36" spans="3:8" x14ac:dyDescent="0.25">
      <c r="C36" s="86"/>
      <c r="E36" s="293" t="s">
        <v>43</v>
      </c>
      <c r="G36" s="14" t="s">
        <v>428</v>
      </c>
      <c r="H36" s="273">
        <v>1</v>
      </c>
    </row>
    <row r="37" spans="3:8" x14ac:dyDescent="0.25">
      <c r="C37" s="86"/>
      <c r="E37" s="293" t="s">
        <v>44</v>
      </c>
      <c r="G37" s="14" t="s">
        <v>428</v>
      </c>
      <c r="H37" s="273">
        <v>1.0049999999999999</v>
      </c>
    </row>
    <row r="38" spans="3:8" x14ac:dyDescent="0.25">
      <c r="C38" s="86"/>
      <c r="E38" s="293" t="s">
        <v>45</v>
      </c>
      <c r="G38" s="14" t="s">
        <v>428</v>
      </c>
      <c r="H38" s="273">
        <v>1.012</v>
      </c>
    </row>
    <row r="39" spans="3:8" x14ac:dyDescent="0.25">
      <c r="C39" s="86"/>
      <c r="E39" s="293" t="s">
        <v>46</v>
      </c>
      <c r="G39" s="14" t="s">
        <v>428</v>
      </c>
      <c r="H39" s="273">
        <v>1.018</v>
      </c>
    </row>
    <row r="40" spans="3:8" x14ac:dyDescent="0.25">
      <c r="C40" s="86"/>
      <c r="E40" s="293" t="s">
        <v>47</v>
      </c>
      <c r="G40" s="14" t="s">
        <v>428</v>
      </c>
      <c r="H40" s="273">
        <v>1.026</v>
      </c>
    </row>
    <row r="41" spans="3:8" x14ac:dyDescent="0.25">
      <c r="C41" s="86"/>
      <c r="E41" s="293" t="s">
        <v>51</v>
      </c>
      <c r="G41" s="14" t="s">
        <v>428</v>
      </c>
      <c r="H41" s="273">
        <v>1.026</v>
      </c>
    </row>
    <row r="42" spans="3:8" x14ac:dyDescent="0.25">
      <c r="C42" s="86"/>
      <c r="E42" s="293" t="s">
        <v>48</v>
      </c>
      <c r="G42" s="14" t="s">
        <v>428</v>
      </c>
      <c r="H42" s="273">
        <v>1.0369999999999999</v>
      </c>
    </row>
    <row r="43" spans="3:8" x14ac:dyDescent="0.25">
      <c r="C43" s="86"/>
      <c r="E43" s="293" t="s">
        <v>49</v>
      </c>
      <c r="G43" s="14" t="s">
        <v>428</v>
      </c>
      <c r="H43" s="273">
        <v>1.0589999999999999</v>
      </c>
    </row>
    <row r="44" spans="3:8" x14ac:dyDescent="0.25">
      <c r="C44" s="86"/>
      <c r="E44" s="293" t="s">
        <v>50</v>
      </c>
      <c r="G44" s="14" t="s">
        <v>428</v>
      </c>
      <c r="H44" s="273">
        <v>1.1080000000000001</v>
      </c>
    </row>
    <row r="45" spans="3:8" x14ac:dyDescent="0.25">
      <c r="C45" s="86"/>
      <c r="E45" s="293" t="s">
        <v>124</v>
      </c>
      <c r="G45" s="14" t="s">
        <v>428</v>
      </c>
      <c r="H45" s="279"/>
    </row>
    <row r="46" spans="3:8" x14ac:dyDescent="0.25">
      <c r="C46" s="86"/>
      <c r="E46" s="93" t="s">
        <v>123</v>
      </c>
      <c r="F46" s="93"/>
      <c r="G46" s="15" t="s">
        <v>428</v>
      </c>
      <c r="H46" s="240"/>
    </row>
    <row r="47" spans="3:8" x14ac:dyDescent="0.25">
      <c r="C47" s="86"/>
      <c r="H47" s="252"/>
    </row>
    <row r="48" spans="3:8" x14ac:dyDescent="0.25">
      <c r="D48" s="96" t="s">
        <v>657</v>
      </c>
      <c r="H48" s="252"/>
    </row>
    <row r="49" spans="3:8" x14ac:dyDescent="0.25">
      <c r="C49" s="86"/>
      <c r="E49" s="91" t="s">
        <v>267</v>
      </c>
      <c r="F49" s="91"/>
      <c r="G49" s="91" t="s">
        <v>108</v>
      </c>
      <c r="H49" s="238"/>
    </row>
    <row r="50" spans="3:8" x14ac:dyDescent="0.25">
      <c r="C50" s="86"/>
      <c r="E50" s="293" t="s">
        <v>43</v>
      </c>
      <c r="G50" s="293" t="s">
        <v>108</v>
      </c>
      <c r="H50" s="279"/>
    </row>
    <row r="51" spans="3:8" x14ac:dyDescent="0.25">
      <c r="C51" s="86"/>
      <c r="E51" s="293" t="s">
        <v>44</v>
      </c>
      <c r="G51" s="293" t="s">
        <v>108</v>
      </c>
      <c r="H51" s="273">
        <f t="array" ref="H51:H58">TRANSPOSE('Unit costs'!L114:S114)</f>
        <v>17.987182539064889</v>
      </c>
    </row>
    <row r="52" spans="3:8" x14ac:dyDescent="0.25">
      <c r="C52" s="86"/>
      <c r="E52" s="293" t="s">
        <v>45</v>
      </c>
      <c r="G52" s="293" t="s">
        <v>108</v>
      </c>
      <c r="H52" s="273">
        <v>1.5185858817936753</v>
      </c>
    </row>
    <row r="53" spans="3:8" x14ac:dyDescent="0.25">
      <c r="C53" s="86"/>
      <c r="E53" s="293" t="s">
        <v>46</v>
      </c>
      <c r="G53" s="293" t="s">
        <v>108</v>
      </c>
      <c r="H53" s="273">
        <v>15.594708791570742</v>
      </c>
    </row>
    <row r="54" spans="3:8" x14ac:dyDescent="0.25">
      <c r="C54" s="86"/>
      <c r="E54" s="293" t="s">
        <v>47</v>
      </c>
      <c r="G54" s="293" t="s">
        <v>108</v>
      </c>
      <c r="H54" s="273">
        <v>2.6104722214354923</v>
      </c>
    </row>
    <row r="55" spans="3:8" x14ac:dyDescent="0.25">
      <c r="C55" s="86"/>
      <c r="E55" s="293" t="s">
        <v>51</v>
      </c>
      <c r="G55" s="293" t="s">
        <v>108</v>
      </c>
      <c r="H55" s="273">
        <v>0</v>
      </c>
    </row>
    <row r="56" spans="3:8" x14ac:dyDescent="0.25">
      <c r="C56" s="86"/>
      <c r="E56" s="293" t="s">
        <v>48</v>
      </c>
      <c r="G56" s="293" t="s">
        <v>108</v>
      </c>
      <c r="H56" s="273">
        <v>21.655074823597253</v>
      </c>
    </row>
    <row r="57" spans="3:8" x14ac:dyDescent="0.25">
      <c r="C57" s="86"/>
      <c r="E57" s="293" t="s">
        <v>49</v>
      </c>
      <c r="G57" s="293" t="s">
        <v>108</v>
      </c>
      <c r="H57" s="273">
        <v>8.6494767059250268</v>
      </c>
    </row>
    <row r="58" spans="3:8" x14ac:dyDescent="0.25">
      <c r="C58" s="86"/>
      <c r="E58" s="293" t="s">
        <v>50</v>
      </c>
      <c r="G58" s="293" t="s">
        <v>108</v>
      </c>
      <c r="H58" s="273">
        <v>5.5413009759155809</v>
      </c>
    </row>
    <row r="59" spans="3:8" x14ac:dyDescent="0.25">
      <c r="C59" s="86"/>
      <c r="E59" s="293" t="s">
        <v>124</v>
      </c>
      <c r="G59" s="293" t="s">
        <v>108</v>
      </c>
      <c r="H59" s="279"/>
    </row>
    <row r="60" spans="3:8" x14ac:dyDescent="0.25">
      <c r="C60" s="86"/>
      <c r="E60" s="93" t="s">
        <v>123</v>
      </c>
      <c r="F60" s="93"/>
      <c r="G60" s="93" t="s">
        <v>108</v>
      </c>
      <c r="H60" s="240"/>
    </row>
    <row r="61" spans="3:8" x14ac:dyDescent="0.25">
      <c r="C61" s="86"/>
      <c r="H61" s="252"/>
    </row>
    <row r="62" spans="3:8" x14ac:dyDescent="0.25">
      <c r="C62" s="86"/>
      <c r="D62" s="96" t="s">
        <v>658</v>
      </c>
      <c r="E62" s="293"/>
      <c r="H62" s="252"/>
    </row>
    <row r="63" spans="3:8" x14ac:dyDescent="0.25">
      <c r="C63" s="86"/>
      <c r="E63" s="91" t="s">
        <v>267</v>
      </c>
      <c r="F63" s="91"/>
      <c r="G63" s="91" t="s">
        <v>108</v>
      </c>
      <c r="H63" s="272">
        <f t="array" ref="H63:H72">TRANSPOSE('Unit costs'!J115:S115)</f>
        <v>10.831548272917219</v>
      </c>
    </row>
    <row r="64" spans="3:8" x14ac:dyDescent="0.25">
      <c r="C64" s="86"/>
      <c r="E64" s="293" t="s">
        <v>43</v>
      </c>
      <c r="G64" s="293" t="s">
        <v>108</v>
      </c>
      <c r="H64" s="273">
        <v>0</v>
      </c>
    </row>
    <row r="65" spans="3:42" x14ac:dyDescent="0.25">
      <c r="C65" s="86"/>
      <c r="E65" s="293" t="s">
        <v>44</v>
      </c>
      <c r="G65" s="293" t="s">
        <v>108</v>
      </c>
      <c r="H65" s="273">
        <v>11.957813161702257</v>
      </c>
    </row>
    <row r="66" spans="3:42" x14ac:dyDescent="0.25">
      <c r="C66" s="86"/>
      <c r="E66" s="293" t="s">
        <v>45</v>
      </c>
      <c r="G66" s="293" t="s">
        <v>108</v>
      </c>
      <c r="H66" s="273">
        <v>1.0095503398072301</v>
      </c>
    </row>
    <row r="67" spans="3:42" x14ac:dyDescent="0.25">
      <c r="C67" s="86"/>
      <c r="E67" s="293" t="s">
        <v>46</v>
      </c>
      <c r="G67" s="293" t="s">
        <v>108</v>
      </c>
      <c r="H67" s="273">
        <v>10.367305365126576</v>
      </c>
    </row>
    <row r="68" spans="3:42" x14ac:dyDescent="0.25">
      <c r="C68" s="86"/>
      <c r="E68" s="293" t="s">
        <v>47</v>
      </c>
      <c r="G68" s="293" t="s">
        <v>108</v>
      </c>
      <c r="H68" s="273">
        <v>1.735432384696435</v>
      </c>
    </row>
    <row r="69" spans="3:42" x14ac:dyDescent="0.25">
      <c r="C69" s="86"/>
      <c r="E69" s="293" t="s">
        <v>51</v>
      </c>
      <c r="G69" s="293" t="s">
        <v>108</v>
      </c>
      <c r="H69" s="273">
        <v>0</v>
      </c>
    </row>
    <row r="70" spans="3:42" x14ac:dyDescent="0.25">
      <c r="C70" s="86"/>
      <c r="E70" s="293" t="s">
        <v>48</v>
      </c>
      <c r="G70" s="293" t="s">
        <v>108</v>
      </c>
      <c r="H70" s="273">
        <v>14.396214536705338</v>
      </c>
    </row>
    <row r="71" spans="3:42" x14ac:dyDescent="0.25">
      <c r="C71" s="86"/>
      <c r="E71" s="293" t="s">
        <v>49</v>
      </c>
      <c r="G71" s="293" t="s">
        <v>108</v>
      </c>
      <c r="H71" s="273">
        <v>5.7501404776050258</v>
      </c>
    </row>
    <row r="72" spans="3:42" x14ac:dyDescent="0.25">
      <c r="C72" s="86"/>
      <c r="E72" s="293" t="s">
        <v>50</v>
      </c>
      <c r="G72" s="293" t="s">
        <v>108</v>
      </c>
      <c r="H72" s="273">
        <v>3.6838366208186422</v>
      </c>
    </row>
    <row r="73" spans="3:42" x14ac:dyDescent="0.25">
      <c r="C73" s="86"/>
      <c r="E73" s="293" t="s">
        <v>124</v>
      </c>
      <c r="G73" s="293" t="s">
        <v>108</v>
      </c>
      <c r="H73" s="279"/>
    </row>
    <row r="74" spans="3:42" x14ac:dyDescent="0.25">
      <c r="C74" s="86"/>
      <c r="E74" s="93" t="s">
        <v>123</v>
      </c>
      <c r="F74" s="93"/>
      <c r="G74" s="93" t="s">
        <v>108</v>
      </c>
      <c r="H74" s="240"/>
    </row>
    <row r="75" spans="3:42" x14ac:dyDescent="0.25">
      <c r="C75" s="86"/>
      <c r="H75" s="90"/>
    </row>
    <row r="76" spans="3:42" x14ac:dyDescent="0.25">
      <c r="D76" s="86" t="s">
        <v>301</v>
      </c>
    </row>
    <row r="77" spans="3:42" x14ac:dyDescent="0.25">
      <c r="D77" s="82" t="s">
        <v>395</v>
      </c>
      <c r="E77" s="67"/>
    </row>
    <row r="78" spans="3:42" x14ac:dyDescent="0.25">
      <c r="C78" s="86"/>
      <c r="E78" s="293" t="s">
        <v>302</v>
      </c>
      <c r="G78" s="293" t="s">
        <v>155</v>
      </c>
      <c r="I78" s="293" t="s">
        <v>359</v>
      </c>
      <c r="J78" s="396">
        <f>'Fixed inputs'!J138</f>
        <v>0</v>
      </c>
      <c r="K78" s="396">
        <f>'Fixed inputs'!K138</f>
        <v>0</v>
      </c>
      <c r="L78" s="396">
        <f>'Fixed inputs'!L138</f>
        <v>0</v>
      </c>
      <c r="M78" s="396">
        <f>'Fixed inputs'!M138</f>
        <v>0</v>
      </c>
      <c r="N78" s="396">
        <f>'Fixed inputs'!N138</f>
        <v>1</v>
      </c>
      <c r="O78" s="396">
        <f>'Fixed inputs'!O138</f>
        <v>1</v>
      </c>
      <c r="P78" s="396">
        <f>'Fixed inputs'!P138</f>
        <v>1</v>
      </c>
      <c r="Q78" s="396">
        <f>'Fixed inputs'!Q138</f>
        <v>0</v>
      </c>
      <c r="R78" s="396">
        <f>'Fixed inputs'!R138</f>
        <v>0</v>
      </c>
      <c r="S78" s="396">
        <f>'Fixed inputs'!S138</f>
        <v>0</v>
      </c>
      <c r="T78" s="396">
        <f>'Fixed inputs'!T138</f>
        <v>1</v>
      </c>
      <c r="U78" s="396">
        <f>'Fixed inputs'!U138</f>
        <v>0</v>
      </c>
      <c r="V78" s="396">
        <f>'Fixed inputs'!V138</f>
        <v>1</v>
      </c>
      <c r="W78" s="396">
        <f>'Fixed inputs'!W138</f>
        <v>0</v>
      </c>
      <c r="X78" s="396">
        <f>'Fixed inputs'!X138</f>
        <v>1</v>
      </c>
      <c r="Y78" s="396">
        <f>'Fixed inputs'!Y138</f>
        <v>0</v>
      </c>
      <c r="AA78" s="293" t="s">
        <v>732</v>
      </c>
    </row>
    <row r="79" spans="3:42" x14ac:dyDescent="0.25">
      <c r="C79" s="86"/>
    </row>
    <row r="80" spans="3:42" x14ac:dyDescent="0.2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3"/>
      <c r="E89" s="93" t="s">
        <v>50</v>
      </c>
      <c r="F89" s="93"/>
      <c r="G89" s="93" t="s">
        <v>94</v>
      </c>
      <c r="H89" s="187"/>
      <c r="I89" s="93"/>
      <c r="J89" s="389">
        <f>'Standing charge factors'!J52</f>
        <v>1</v>
      </c>
      <c r="K89" s="389">
        <f>'Standing charge factors'!K52</f>
        <v>1</v>
      </c>
      <c r="L89" s="389">
        <f>'Standing charge factors'!L52</f>
        <v>1</v>
      </c>
      <c r="M89" s="389">
        <f>'Standing charge factors'!M52</f>
        <v>1</v>
      </c>
      <c r="N89" s="389">
        <f>'Standing charge factors'!N52</f>
        <v>1</v>
      </c>
      <c r="O89" s="389">
        <f>'Standing charge factors'!O52</f>
        <v>0</v>
      </c>
      <c r="P89" s="389">
        <f>'Standing charge factors'!P52</f>
        <v>0</v>
      </c>
      <c r="Q89" s="389">
        <f>'Standing charge factors'!Q52</f>
        <v>0</v>
      </c>
      <c r="R89" s="389">
        <f>'Standing charge factors'!R52</f>
        <v>0</v>
      </c>
      <c r="S89" s="389">
        <f>'Standing charge factors'!S52</f>
        <v>0</v>
      </c>
      <c r="T89" s="389">
        <f>'Standing charge factors'!T52</f>
        <v>0</v>
      </c>
      <c r="U89" s="389">
        <f>'Standing charge factors'!U52</f>
        <v>0</v>
      </c>
      <c r="V89" s="389">
        <f>'Standing charge factors'!V52</f>
        <v>0</v>
      </c>
      <c r="W89" s="389">
        <f>'Standing charge factors'!W52</f>
        <v>0</v>
      </c>
      <c r="X89" s="389">
        <f>'Standing charge factors'!X52</f>
        <v>0</v>
      </c>
      <c r="Y89" s="389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333</v>
      </c>
      <c r="E91" s="96"/>
      <c r="I91" s="293" t="s">
        <v>359</v>
      </c>
      <c r="AA91" s="293" t="s">
        <v>820</v>
      </c>
    </row>
    <row r="92" spans="3:42" x14ac:dyDescent="0.25">
      <c r="D92" s="82" t="s">
        <v>325</v>
      </c>
      <c r="E92" s="293"/>
      <c r="AA92" s="68"/>
    </row>
    <row r="93" spans="3:42" x14ac:dyDescent="0.25">
      <c r="D93" s="293"/>
      <c r="E93" s="91" t="s">
        <v>267</v>
      </c>
      <c r="F93" s="91"/>
      <c r="G93" s="16" t="s">
        <v>428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-1.1080000000000001</v>
      </c>
      <c r="S93" s="272">
        <v>-1.0589999999999999</v>
      </c>
      <c r="T93" s="272">
        <v>-1.1080000000000001</v>
      </c>
      <c r="U93" s="272">
        <v>-1.1080000000000001</v>
      </c>
      <c r="V93" s="272">
        <v>-1.0589999999999999</v>
      </c>
      <c r="W93" s="272">
        <v>-1.0589999999999999</v>
      </c>
      <c r="X93" s="272">
        <v>-1.0369999999999999</v>
      </c>
      <c r="Y93" s="272">
        <v>-1.0369999999999999</v>
      </c>
    </row>
    <row r="94" spans="3:42" x14ac:dyDescent="0.25">
      <c r="D94" s="293"/>
      <c r="E94" s="293" t="s">
        <v>43</v>
      </c>
      <c r="G94" s="14" t="s">
        <v>428</v>
      </c>
      <c r="J94" s="279"/>
      <c r="K94" s="279"/>
      <c r="L94" s="279"/>
      <c r="M94" s="279"/>
      <c r="N94" s="279"/>
      <c r="O94" s="279"/>
      <c r="P94" s="279"/>
      <c r="Q94" s="279"/>
      <c r="R94" s="273">
        <v>-1.1080000000000001</v>
      </c>
      <c r="S94" s="273">
        <v>-1.0589999999999999</v>
      </c>
      <c r="T94" s="273">
        <v>-1.1080000000000001</v>
      </c>
      <c r="U94" s="273">
        <v>-1.1080000000000001</v>
      </c>
      <c r="V94" s="273">
        <v>-1.0589999999999999</v>
      </c>
      <c r="W94" s="273">
        <v>-1.0589999999999999</v>
      </c>
      <c r="X94" s="273">
        <v>-1.0369999999999999</v>
      </c>
      <c r="Y94" s="273">
        <v>-1.0369999999999999</v>
      </c>
    </row>
    <row r="95" spans="3:42" x14ac:dyDescent="0.25">
      <c r="D95" s="293"/>
      <c r="E95" s="293" t="s">
        <v>44</v>
      </c>
      <c r="G95" s="14" t="s">
        <v>428</v>
      </c>
      <c r="J95" s="279"/>
      <c r="K95" s="279"/>
      <c r="L95" s="279"/>
      <c r="M95" s="279"/>
      <c r="N95" s="279"/>
      <c r="O95" s="279"/>
      <c r="P95" s="279"/>
      <c r="Q95" s="279"/>
      <c r="R95" s="273">
        <v>-1.1080000000000001</v>
      </c>
      <c r="S95" s="273">
        <v>-1.0589999999999999</v>
      </c>
      <c r="T95" s="273">
        <v>-1.1080000000000001</v>
      </c>
      <c r="U95" s="273">
        <v>-1.1080000000000001</v>
      </c>
      <c r="V95" s="273">
        <v>-1.0589999999999999</v>
      </c>
      <c r="W95" s="273">
        <v>-1.0589999999999999</v>
      </c>
      <c r="X95" s="273">
        <v>-1.0369999999999999</v>
      </c>
      <c r="Y95" s="273">
        <v>-1.0369999999999999</v>
      </c>
    </row>
    <row r="96" spans="3:42" x14ac:dyDescent="0.25">
      <c r="D96" s="293"/>
      <c r="E96" s="293" t="s">
        <v>45</v>
      </c>
      <c r="G96" s="14" t="s">
        <v>428</v>
      </c>
      <c r="J96" s="279"/>
      <c r="K96" s="279"/>
      <c r="L96" s="279"/>
      <c r="M96" s="279"/>
      <c r="N96" s="279"/>
      <c r="O96" s="279"/>
      <c r="P96" s="279"/>
      <c r="Q96" s="279"/>
      <c r="R96" s="273">
        <v>-1.1080000000000001</v>
      </c>
      <c r="S96" s="273">
        <v>-1.0589999999999999</v>
      </c>
      <c r="T96" s="273">
        <v>-1.1080000000000001</v>
      </c>
      <c r="U96" s="273">
        <v>-1.1080000000000001</v>
      </c>
      <c r="V96" s="273">
        <v>-1.0589999999999999</v>
      </c>
      <c r="W96" s="273">
        <v>-1.0589999999999999</v>
      </c>
      <c r="X96" s="273">
        <v>-1.0369999999999999</v>
      </c>
      <c r="Y96" s="273">
        <v>-1.0369999999999999</v>
      </c>
    </row>
    <row r="97" spans="3:25" x14ac:dyDescent="0.25">
      <c r="D97" s="293"/>
      <c r="E97" s="293" t="s">
        <v>46</v>
      </c>
      <c r="G97" s="14" t="s">
        <v>428</v>
      </c>
      <c r="J97" s="279"/>
      <c r="K97" s="279"/>
      <c r="L97" s="279"/>
      <c r="M97" s="279"/>
      <c r="N97" s="279"/>
      <c r="O97" s="279"/>
      <c r="P97" s="279"/>
      <c r="Q97" s="279"/>
      <c r="R97" s="273">
        <v>-1.1080000000000001</v>
      </c>
      <c r="S97" s="273">
        <v>-1.0589999999999999</v>
      </c>
      <c r="T97" s="273">
        <v>-1.1080000000000001</v>
      </c>
      <c r="U97" s="273">
        <v>-1.1080000000000001</v>
      </c>
      <c r="V97" s="273">
        <v>-1.0589999999999999</v>
      </c>
      <c r="W97" s="273">
        <v>-1.0589999999999999</v>
      </c>
      <c r="X97" s="273">
        <v>-1.0369999999999999</v>
      </c>
      <c r="Y97" s="273">
        <v>-1.0369999999999999</v>
      </c>
    </row>
    <row r="98" spans="3:25" x14ac:dyDescent="0.25">
      <c r="D98" s="293"/>
      <c r="E98" s="293" t="s">
        <v>47</v>
      </c>
      <c r="G98" s="14" t="s">
        <v>428</v>
      </c>
      <c r="J98" s="279"/>
      <c r="K98" s="279"/>
      <c r="L98" s="279"/>
      <c r="M98" s="279"/>
      <c r="N98" s="279"/>
      <c r="O98" s="279"/>
      <c r="P98" s="279"/>
      <c r="Q98" s="279"/>
      <c r="R98" s="273">
        <v>-1.1080000000000001</v>
      </c>
      <c r="S98" s="273">
        <v>-1.0589999999999999</v>
      </c>
      <c r="T98" s="273">
        <v>-1.1080000000000001</v>
      </c>
      <c r="U98" s="273">
        <v>-1.1080000000000001</v>
      </c>
      <c r="V98" s="273">
        <v>-1.0589999999999999</v>
      </c>
      <c r="W98" s="273">
        <v>-1.0589999999999999</v>
      </c>
      <c r="X98" s="273">
        <v>-1.0369999999999999</v>
      </c>
      <c r="Y98" s="273">
        <v>-1.0369999999999999</v>
      </c>
    </row>
    <row r="99" spans="3:25" x14ac:dyDescent="0.25">
      <c r="D99" s="293"/>
      <c r="E99" s="293" t="s">
        <v>51</v>
      </c>
      <c r="G99" s="14" t="s">
        <v>428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25">
      <c r="D100" s="293"/>
      <c r="E100" s="293" t="s">
        <v>48</v>
      </c>
      <c r="G100" s="14" t="s">
        <v>428</v>
      </c>
      <c r="J100" s="279"/>
      <c r="K100" s="279"/>
      <c r="L100" s="279"/>
      <c r="M100" s="279"/>
      <c r="N100" s="279"/>
      <c r="O100" s="279"/>
      <c r="P100" s="279"/>
      <c r="Q100" s="279"/>
      <c r="R100" s="273">
        <v>-1.1080000000000001</v>
      </c>
      <c r="S100" s="273">
        <v>-1.0589999999999999</v>
      </c>
      <c r="T100" s="273">
        <v>-1.1080000000000001</v>
      </c>
      <c r="U100" s="273">
        <v>-1.1080000000000001</v>
      </c>
      <c r="V100" s="273">
        <v>-1.0589999999999999</v>
      </c>
      <c r="W100" s="273">
        <v>-1.0589999999999999</v>
      </c>
      <c r="X100" s="273">
        <v>-1.0369999999999999</v>
      </c>
      <c r="Y100" s="273">
        <v>-1.0369999999999999</v>
      </c>
    </row>
    <row r="101" spans="3:25" x14ac:dyDescent="0.25">
      <c r="D101" s="293"/>
      <c r="E101" s="293" t="s">
        <v>49</v>
      </c>
      <c r="G101" s="14" t="s">
        <v>428</v>
      </c>
      <c r="J101" s="279"/>
      <c r="K101" s="279"/>
      <c r="L101" s="279"/>
      <c r="M101" s="279"/>
      <c r="N101" s="279"/>
      <c r="O101" s="279"/>
      <c r="P101" s="279"/>
      <c r="Q101" s="279"/>
      <c r="R101" s="273">
        <v>-1.1080000000000001</v>
      </c>
      <c r="S101" s="273">
        <v>-1.0589999999999999</v>
      </c>
      <c r="T101" s="273">
        <v>-1.1080000000000001</v>
      </c>
      <c r="U101" s="273">
        <v>-1.1080000000000001</v>
      </c>
      <c r="V101" s="273">
        <v>-1.0589999999999999</v>
      </c>
      <c r="W101" s="273">
        <v>-1.0589999999999999</v>
      </c>
      <c r="X101" s="273">
        <v>0</v>
      </c>
      <c r="Y101" s="273">
        <v>0</v>
      </c>
    </row>
    <row r="102" spans="3:25" x14ac:dyDescent="0.25">
      <c r="D102" s="293"/>
      <c r="E102" s="293" t="s">
        <v>50</v>
      </c>
      <c r="G102" s="14" t="s">
        <v>428</v>
      </c>
      <c r="J102" s="279"/>
      <c r="K102" s="279"/>
      <c r="L102" s="279"/>
      <c r="M102" s="279"/>
      <c r="N102" s="279"/>
      <c r="O102" s="279"/>
      <c r="P102" s="279"/>
      <c r="Q102" s="279"/>
      <c r="R102" s="273">
        <v>-1.1080000000000001</v>
      </c>
      <c r="S102" s="273">
        <v>0</v>
      </c>
      <c r="T102" s="273">
        <v>-1.1080000000000001</v>
      </c>
      <c r="U102" s="273">
        <v>-1.1080000000000001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25">
      <c r="D103" s="293"/>
      <c r="E103" s="293" t="s">
        <v>124</v>
      </c>
      <c r="G103" s="14" t="s">
        <v>428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25">
      <c r="D104" s="293"/>
      <c r="E104" s="93" t="s">
        <v>123</v>
      </c>
      <c r="F104" s="93"/>
      <c r="G104" s="15" t="s">
        <v>428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25">
      <c r="C105" s="86"/>
    </row>
    <row r="106" spans="3:25" x14ac:dyDescent="0.25">
      <c r="D106" s="96" t="s">
        <v>522</v>
      </c>
      <c r="E106" s="293"/>
    </row>
    <row r="107" spans="3:25" x14ac:dyDescent="0.2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0.29443019943019899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0.29443019943019899</v>
      </c>
      <c r="Y111" s="143">
        <v>0.29443019943019899</v>
      </c>
    </row>
    <row r="112" spans="3:25" x14ac:dyDescent="0.2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0.14317058823529399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0.14317058823529399</v>
      </c>
      <c r="Y112" s="143">
        <v>0.14317058823529399</v>
      </c>
    </row>
    <row r="113" spans="3:27" x14ac:dyDescent="0.2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3" t="s">
        <v>48</v>
      </c>
      <c r="G114" s="293" t="s">
        <v>94</v>
      </c>
      <c r="J114" s="143">
        <v>0.32635129017655001</v>
      </c>
      <c r="K114" s="143">
        <v>0.32635129017655001</v>
      </c>
      <c r="L114" s="143">
        <v>0.32635129017655001</v>
      </c>
      <c r="M114" s="143">
        <v>0.32635129017655001</v>
      </c>
      <c r="N114" s="143">
        <v>0.32635129017655001</v>
      </c>
      <c r="O114" s="143">
        <v>0.32635129017655001</v>
      </c>
      <c r="P114" s="143">
        <v>0.73429040289723801</v>
      </c>
      <c r="Q114" s="143">
        <v>0.32635129017655001</v>
      </c>
      <c r="R114" s="143">
        <v>0.32635129017655001</v>
      </c>
      <c r="S114" s="143">
        <v>0.32635129017655001</v>
      </c>
      <c r="T114" s="143">
        <v>0.32635129017655001</v>
      </c>
      <c r="U114" s="143">
        <v>0.32635129017655001</v>
      </c>
      <c r="V114" s="143">
        <v>0.32635129017655001</v>
      </c>
      <c r="W114" s="143">
        <v>0.32635129017655001</v>
      </c>
      <c r="X114" s="143">
        <v>0.73429040289723801</v>
      </c>
      <c r="Y114" s="143">
        <v>0.73429040289723801</v>
      </c>
    </row>
    <row r="115" spans="3:27" x14ac:dyDescent="0.25">
      <c r="C115" s="86"/>
      <c r="E115" s="293" t="s">
        <v>49</v>
      </c>
      <c r="G115" s="293" t="s">
        <v>94</v>
      </c>
      <c r="J115" s="143">
        <v>0.71097285067873295</v>
      </c>
      <c r="K115" s="143">
        <v>0.71097285067873295</v>
      </c>
      <c r="L115" s="143">
        <v>0.71097285067873295</v>
      </c>
      <c r="M115" s="143">
        <v>0.71097285067873295</v>
      </c>
      <c r="N115" s="143">
        <v>0.71097285067873295</v>
      </c>
      <c r="O115" s="143">
        <v>0.71097285067873295</v>
      </c>
      <c r="P115" s="143">
        <v>0</v>
      </c>
      <c r="Q115" s="143">
        <v>0.71097285067873295</v>
      </c>
      <c r="R115" s="143">
        <v>0.71097285067873295</v>
      </c>
      <c r="S115" s="143">
        <v>0.71097285067873295</v>
      </c>
      <c r="T115" s="143">
        <v>0.71097285067873295</v>
      </c>
      <c r="U115" s="143">
        <v>0.71097285067873295</v>
      </c>
      <c r="V115" s="143">
        <v>0.71097285067873295</v>
      </c>
      <c r="W115" s="143">
        <v>0.71097285067873295</v>
      </c>
      <c r="X115" s="143">
        <v>0</v>
      </c>
      <c r="Y115" s="143">
        <v>0</v>
      </c>
    </row>
    <row r="116" spans="3:27" x14ac:dyDescent="0.25">
      <c r="C116" s="86"/>
      <c r="E116" s="293" t="s">
        <v>50</v>
      </c>
      <c r="G116" s="293" t="s">
        <v>94</v>
      </c>
      <c r="J116" s="143">
        <v>0.93094869075781095</v>
      </c>
      <c r="K116" s="143">
        <v>0.93094869075781095</v>
      </c>
      <c r="L116" s="143">
        <v>0.93094869075781095</v>
      </c>
      <c r="M116" s="143">
        <v>0.93094869075781095</v>
      </c>
      <c r="N116" s="143">
        <v>0.93094869075781095</v>
      </c>
      <c r="O116" s="143">
        <v>0</v>
      </c>
      <c r="P116" s="143">
        <v>0</v>
      </c>
      <c r="Q116" s="143">
        <v>0.93094869075781095</v>
      </c>
      <c r="R116" s="143">
        <v>0.93094869075781095</v>
      </c>
      <c r="S116" s="143">
        <v>0</v>
      </c>
      <c r="T116" s="143">
        <v>0.93094869075781095</v>
      </c>
      <c r="U116" s="143">
        <v>0.93094869075781095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control'!$H$34:$H$60,MATCH($A$1,'Version control'!$F$34:$F$60,0),1)&amp;"-B: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3"/>
      <c r="E121" s="96"/>
    </row>
    <row r="122" spans="3:27" x14ac:dyDescent="0.25">
      <c r="D122" s="96" t="s">
        <v>139</v>
      </c>
      <c r="E122" s="293"/>
    </row>
    <row r="123" spans="3:27" x14ac:dyDescent="0.25">
      <c r="E123" s="91" t="s">
        <v>267</v>
      </c>
      <c r="F123" s="91"/>
      <c r="G123" s="91" t="s">
        <v>183</v>
      </c>
      <c r="H123" s="346"/>
      <c r="I123" s="346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8"/>
      <c r="AA123" s="348"/>
    </row>
    <row r="124" spans="3:27" x14ac:dyDescent="0.25">
      <c r="E124" s="293" t="s">
        <v>43</v>
      </c>
      <c r="G124" s="293" t="s">
        <v>183</v>
      </c>
      <c r="H124" s="348"/>
      <c r="I124" s="348"/>
      <c r="J124" s="417"/>
      <c r="K124" s="417"/>
      <c r="L124" s="417"/>
      <c r="M124" s="417"/>
      <c r="N124" s="417"/>
      <c r="O124" s="417"/>
      <c r="P124" s="417"/>
      <c r="Q124" s="417"/>
      <c r="R124" s="417"/>
      <c r="S124" s="417"/>
      <c r="T124" s="417"/>
      <c r="U124" s="417"/>
      <c r="V124" s="417"/>
      <c r="W124" s="417"/>
      <c r="X124" s="417"/>
      <c r="Y124" s="417"/>
      <c r="Z124" s="348"/>
      <c r="AA124" s="348"/>
    </row>
    <row r="125" spans="3:27" x14ac:dyDescent="0.25">
      <c r="E125" s="293" t="s">
        <v>44</v>
      </c>
      <c r="G125" s="293" t="s">
        <v>183</v>
      </c>
      <c r="H125" s="348"/>
      <c r="I125" s="348"/>
      <c r="J125" s="415">
        <f>'Initial unit rates'!J125</f>
        <v>0.42776555122147153</v>
      </c>
      <c r="K125" s="415">
        <f>'Initial unit rates'!K125</f>
        <v>0.42776555122147153</v>
      </c>
      <c r="L125" s="415">
        <f>'Initial unit rates'!L125</f>
        <v>0.36167154379644628</v>
      </c>
      <c r="M125" s="415">
        <f>'Initial unit rates'!M125</f>
        <v>0.36167154379644628</v>
      </c>
      <c r="N125" s="415">
        <f>'Initial unit rates'!N125</f>
        <v>0.31710984172579837</v>
      </c>
      <c r="O125" s="415">
        <f>'Initial unit rates'!O125</f>
        <v>0.28624734450781458</v>
      </c>
      <c r="P125" s="415">
        <f>'Initial unit rates'!P125</f>
        <v>0.23808098016205317</v>
      </c>
      <c r="Q125" s="415">
        <f>'Initial unit rates'!Q125</f>
        <v>0.42399202483539472</v>
      </c>
      <c r="R125" s="417"/>
      <c r="S125" s="417"/>
      <c r="T125" s="417"/>
      <c r="U125" s="417"/>
      <c r="V125" s="417"/>
      <c r="W125" s="417"/>
      <c r="X125" s="417"/>
      <c r="Y125" s="417"/>
      <c r="Z125" s="348"/>
      <c r="AA125" s="348"/>
    </row>
    <row r="126" spans="3:27" x14ac:dyDescent="0.25">
      <c r="E126" s="293" t="s">
        <v>45</v>
      </c>
      <c r="G126" s="293" t="s">
        <v>183</v>
      </c>
      <c r="H126" s="348"/>
      <c r="I126" s="348"/>
      <c r="J126" s="415">
        <f>'Initial unit rates'!J126</f>
        <v>3.5864730542198832E-2</v>
      </c>
      <c r="K126" s="415">
        <f>'Initial unit rates'!K126</f>
        <v>3.5864730542198832E-2</v>
      </c>
      <c r="L126" s="415">
        <f>'Initial unit rates'!L126</f>
        <v>3.0323275041670827E-2</v>
      </c>
      <c r="M126" s="415">
        <f>'Initial unit rates'!M126</f>
        <v>3.0323275041670827E-2</v>
      </c>
      <c r="N126" s="415">
        <f>'Initial unit rates'!N126</f>
        <v>2.6587131650268828E-2</v>
      </c>
      <c r="O126" s="415">
        <f>'Initial unit rates'!O126</f>
        <v>2.3999557350698187E-2</v>
      </c>
      <c r="P126" s="415">
        <f>'Initial unit rates'!P126</f>
        <v>1.9961191770474732E-2</v>
      </c>
      <c r="Q126" s="415">
        <f>'Initial unit rates'!Q126</f>
        <v>3.5548350444165995E-2</v>
      </c>
      <c r="R126" s="417"/>
      <c r="S126" s="417"/>
      <c r="T126" s="417"/>
      <c r="U126" s="417"/>
      <c r="V126" s="417"/>
      <c r="W126" s="417"/>
      <c r="X126" s="417"/>
      <c r="Y126" s="417"/>
      <c r="Z126" s="348"/>
      <c r="AA126" s="348"/>
    </row>
    <row r="127" spans="3:27" x14ac:dyDescent="0.25">
      <c r="E127" s="293" t="s">
        <v>46</v>
      </c>
      <c r="G127" s="293" t="s">
        <v>183</v>
      </c>
      <c r="H127" s="348"/>
      <c r="I127" s="348"/>
      <c r="J127" s="415">
        <f>'Initial unit rates'!J127</f>
        <v>0.36613244699317166</v>
      </c>
      <c r="K127" s="415">
        <f>'Initial unit rates'!K127</f>
        <v>0.36613244699317166</v>
      </c>
      <c r="L127" s="415">
        <f>'Initial unit rates'!L127</f>
        <v>0.30956136360179198</v>
      </c>
      <c r="M127" s="415">
        <f>'Initial unit rates'!M127</f>
        <v>0.30956136360179198</v>
      </c>
      <c r="N127" s="415">
        <f>'Initial unit rates'!N127</f>
        <v>0.27142017861221379</v>
      </c>
      <c r="O127" s="415">
        <f>'Initial unit rates'!O127</f>
        <v>0.24500439642855215</v>
      </c>
      <c r="P127" s="415">
        <f>'Initial unit rates'!P127</f>
        <v>0.14377954237291476</v>
      </c>
      <c r="Q127" s="415">
        <f>'Initial unit rates'!Q127</f>
        <v>0.36290261596638035</v>
      </c>
      <c r="R127" s="417"/>
      <c r="S127" s="417"/>
      <c r="T127" s="417"/>
      <c r="U127" s="417"/>
      <c r="V127" s="417"/>
      <c r="W127" s="417"/>
      <c r="X127" s="417"/>
      <c r="Y127" s="417"/>
      <c r="Z127" s="348"/>
      <c r="AA127" s="348"/>
    </row>
    <row r="128" spans="3:27" x14ac:dyDescent="0.25">
      <c r="E128" s="293" t="s">
        <v>47</v>
      </c>
      <c r="G128" s="293" t="s">
        <v>183</v>
      </c>
      <c r="H128" s="348"/>
      <c r="I128" s="348"/>
      <c r="J128" s="415">
        <f>'Initial unit rates'!J128</f>
        <v>6.0810761543401363E-2</v>
      </c>
      <c r="K128" s="415">
        <f>'Initial unit rates'!K128</f>
        <v>6.0810761543401363E-2</v>
      </c>
      <c r="L128" s="415">
        <f>'Initial unit rates'!L128</f>
        <v>5.1414897585926926E-2</v>
      </c>
      <c r="M128" s="415">
        <f>'Initial unit rates'!M128</f>
        <v>5.1414897585926926E-2</v>
      </c>
      <c r="N128" s="415">
        <f>'Initial unit rates'!N128</f>
        <v>4.5080046565669614E-2</v>
      </c>
      <c r="O128" s="415">
        <f>'Initial unit rates'!O128</f>
        <v>4.0692662042540927E-2</v>
      </c>
      <c r="P128" s="415">
        <f>'Initial unit rates'!P128</f>
        <v>2.8999713191834982E-2</v>
      </c>
      <c r="Q128" s="415">
        <f>'Initial unit rates'!Q128</f>
        <v>6.0274320465838666E-2</v>
      </c>
      <c r="R128" s="417"/>
      <c r="S128" s="417"/>
      <c r="T128" s="417"/>
      <c r="U128" s="417"/>
      <c r="V128" s="417"/>
      <c r="W128" s="417"/>
      <c r="X128" s="417"/>
      <c r="Y128" s="417"/>
      <c r="Z128" s="348"/>
      <c r="AA128" s="348"/>
    </row>
    <row r="129" spans="4:27" x14ac:dyDescent="0.25">
      <c r="E129" s="293" t="s">
        <v>51</v>
      </c>
      <c r="G129" s="293" t="s">
        <v>183</v>
      </c>
      <c r="H129" s="348"/>
      <c r="I129" s="348"/>
      <c r="J129" s="415">
        <f>'Initial unit rates'!J129</f>
        <v>0</v>
      </c>
      <c r="K129" s="415">
        <f>'Initial unit rates'!K129</f>
        <v>0</v>
      </c>
      <c r="L129" s="415">
        <f>'Initial unit rates'!L129</f>
        <v>0</v>
      </c>
      <c r="M129" s="415">
        <f>'Initial unit rates'!M129</f>
        <v>0</v>
      </c>
      <c r="N129" s="415">
        <f>'Initial unit rates'!N129</f>
        <v>0</v>
      </c>
      <c r="O129" s="415">
        <f>'Initial unit rates'!O129</f>
        <v>0</v>
      </c>
      <c r="P129" s="415">
        <f>'Initial unit rates'!P129</f>
        <v>0</v>
      </c>
      <c r="Q129" s="415">
        <f>'Initial unit rates'!Q129</f>
        <v>0</v>
      </c>
      <c r="R129" s="417"/>
      <c r="S129" s="417"/>
      <c r="T129" s="417"/>
      <c r="U129" s="417"/>
      <c r="V129" s="417"/>
      <c r="W129" s="417"/>
      <c r="X129" s="417"/>
      <c r="Y129" s="417"/>
      <c r="Z129" s="348"/>
      <c r="AA129" s="348"/>
    </row>
    <row r="130" spans="4:27" x14ac:dyDescent="0.25">
      <c r="E130" s="293" t="s">
        <v>48</v>
      </c>
      <c r="G130" s="293" t="s">
        <v>183</v>
      </c>
      <c r="H130" s="348"/>
      <c r="I130" s="348"/>
      <c r="J130" s="415">
        <f>'Initial unit rates'!J130</f>
        <v>0.33621968848745631</v>
      </c>
      <c r="K130" s="415">
        <f>'Initial unit rates'!K130</f>
        <v>0.33621968848745631</v>
      </c>
      <c r="L130" s="415">
        <f>'Initial unit rates'!L130</f>
        <v>0.28427042206365227</v>
      </c>
      <c r="M130" s="415">
        <f>'Initial unit rates'!M130</f>
        <v>0.28427042206365227</v>
      </c>
      <c r="N130" s="415">
        <f>'Initial unit rates'!N130</f>
        <v>0.24924534455125805</v>
      </c>
      <c r="O130" s="415">
        <f>'Initial unit rates'!O130</f>
        <v>0.22498771283934141</v>
      </c>
      <c r="P130" s="415">
        <f>'Initial unit rates'!P130</f>
        <v>7.3810100167547146E-2</v>
      </c>
      <c r="Q130" s="415">
        <f>'Initial unit rates'!Q130</f>
        <v>0.33325373234067662</v>
      </c>
      <c r="R130" s="417"/>
      <c r="S130" s="417"/>
      <c r="T130" s="417"/>
      <c r="U130" s="417"/>
      <c r="V130" s="417"/>
      <c r="W130" s="417"/>
      <c r="X130" s="417"/>
      <c r="Y130" s="417"/>
      <c r="Z130" s="348"/>
      <c r="AA130" s="348"/>
    </row>
    <row r="131" spans="4:27" x14ac:dyDescent="0.25">
      <c r="E131" s="293" t="s">
        <v>49</v>
      </c>
      <c r="G131" s="293" t="s">
        <v>183</v>
      </c>
      <c r="H131" s="348"/>
      <c r="I131" s="348"/>
      <c r="J131" s="415">
        <f>'Initial unit rates'!J131</f>
        <v>5.6421059797989351E-2</v>
      </c>
      <c r="K131" s="415">
        <f>'Initial unit rates'!K131</f>
        <v>5.6421059797989351E-2</v>
      </c>
      <c r="L131" s="415">
        <f>'Initial unit rates'!L131</f>
        <v>4.7703448165711364E-2</v>
      </c>
      <c r="M131" s="415">
        <f>'Initial unit rates'!M131</f>
        <v>4.7703448165711364E-2</v>
      </c>
      <c r="N131" s="415">
        <f>'Initial unit rates'!N131</f>
        <v>4.1825886379707473E-2</v>
      </c>
      <c r="O131" s="415">
        <f>'Initial unit rates'!O131</f>
        <v>3.7755210758262672E-2</v>
      </c>
      <c r="P131" s="415">
        <f>'Initial unit rates'!P131</f>
        <v>0</v>
      </c>
      <c r="Q131" s="415">
        <f>'Initial unit rates'!Q131</f>
        <v>5.5923342398188962E-2</v>
      </c>
      <c r="R131" s="417"/>
      <c r="S131" s="417"/>
      <c r="T131" s="417"/>
      <c r="U131" s="417"/>
      <c r="V131" s="417"/>
      <c r="W131" s="417"/>
      <c r="X131" s="417"/>
      <c r="Y131" s="417"/>
      <c r="Z131" s="348"/>
      <c r="AA131" s="348"/>
    </row>
    <row r="132" spans="4:27" x14ac:dyDescent="0.25">
      <c r="E132" s="293" t="s">
        <v>50</v>
      </c>
      <c r="G132" s="293" t="s">
        <v>183</v>
      </c>
      <c r="H132" s="348"/>
      <c r="I132" s="348"/>
      <c r="J132" s="415">
        <f>'Initial unit rates'!J132</f>
        <v>8.2537749545864795E-3</v>
      </c>
      <c r="K132" s="415">
        <f>'Initial unit rates'!K132</f>
        <v>8.2537749545864795E-3</v>
      </c>
      <c r="L132" s="415">
        <f>'Initial unit rates'!L132</f>
        <v>6.9784851104763203E-3</v>
      </c>
      <c r="M132" s="415">
        <f>'Initial unit rates'!M132</f>
        <v>6.9784851104763203E-3</v>
      </c>
      <c r="N132" s="415">
        <f>'Initial unit rates'!N132</f>
        <v>6.1186630433785602E-3</v>
      </c>
      <c r="O132" s="415">
        <f>'Initial unit rates'!O132</f>
        <v>0</v>
      </c>
      <c r="P132" s="415">
        <f>'Initial unit rates'!P132</f>
        <v>0</v>
      </c>
      <c r="Q132" s="415">
        <f>'Initial unit rates'!Q132</f>
        <v>8.1809644220717966E-3</v>
      </c>
      <c r="R132" s="417"/>
      <c r="S132" s="417"/>
      <c r="T132" s="417"/>
      <c r="U132" s="417"/>
      <c r="V132" s="417"/>
      <c r="W132" s="417"/>
      <c r="X132" s="417"/>
      <c r="Y132" s="417"/>
      <c r="Z132" s="348"/>
      <c r="AA132" s="348"/>
    </row>
    <row r="133" spans="4:27" x14ac:dyDescent="0.25">
      <c r="E133" s="293" t="s">
        <v>124</v>
      </c>
      <c r="G133" s="293" t="s">
        <v>183</v>
      </c>
      <c r="H133" s="348"/>
      <c r="I133" s="348"/>
      <c r="J133" s="417"/>
      <c r="K133" s="417"/>
      <c r="L133" s="417"/>
      <c r="M133" s="417"/>
      <c r="N133" s="417"/>
      <c r="O133" s="417"/>
      <c r="P133" s="417"/>
      <c r="Q133" s="417"/>
      <c r="R133" s="417"/>
      <c r="S133" s="417"/>
      <c r="T133" s="417"/>
      <c r="U133" s="417"/>
      <c r="V133" s="417"/>
      <c r="W133" s="417"/>
      <c r="X133" s="417"/>
      <c r="Y133" s="417"/>
      <c r="Z133" s="348"/>
      <c r="AA133" s="348"/>
    </row>
    <row r="134" spans="4:27" x14ac:dyDescent="0.25">
      <c r="E134" s="93" t="s">
        <v>123</v>
      </c>
      <c r="F134" s="93"/>
      <c r="G134" s="93" t="s">
        <v>183</v>
      </c>
      <c r="H134" s="350"/>
      <c r="I134" s="350"/>
      <c r="J134" s="355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48"/>
      <c r="AA134" s="348"/>
    </row>
    <row r="135" spans="4:27" x14ac:dyDescent="0.2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2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25">
      <c r="E137" s="91" t="s">
        <v>267</v>
      </c>
      <c r="F137" s="91"/>
      <c r="G137" s="91" t="s">
        <v>183</v>
      </c>
      <c r="H137" s="346"/>
      <c r="I137" s="346"/>
      <c r="J137" s="357">
        <f>'Initial unit rates'!J135</f>
        <v>0.2588804568765013</v>
      </c>
      <c r="K137" s="357">
        <f>'Initial unit rates'!K135</f>
        <v>0.2588804568765013</v>
      </c>
      <c r="L137" s="357">
        <f>'Initial unit rates'!L135</f>
        <v>0.21888086646972107</v>
      </c>
      <c r="M137" s="357">
        <f>'Initial unit rates'!M135</f>
        <v>0.21888086646972107</v>
      </c>
      <c r="N137" s="357">
        <f>'Initial unit rates'!N135</f>
        <v>0.19191246343141483</v>
      </c>
      <c r="O137" s="357">
        <f>'Initial unit rates'!O135</f>
        <v>0.17323471493734596</v>
      </c>
      <c r="P137" s="357">
        <f>'Initial unit rates'!P135</f>
        <v>0.14408479771679153</v>
      </c>
      <c r="Q137" s="357">
        <f>'Initial unit rates'!Q135</f>
        <v>0.25659674741912769</v>
      </c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E138" s="293" t="s">
        <v>43</v>
      </c>
      <c r="G138" s="293" t="s">
        <v>183</v>
      </c>
      <c r="H138" s="348"/>
      <c r="I138" s="348"/>
      <c r="J138" s="415">
        <f>'Initial unit rates'!J136</f>
        <v>0</v>
      </c>
      <c r="K138" s="415">
        <f>'Initial unit rates'!K136</f>
        <v>0</v>
      </c>
      <c r="L138" s="415">
        <f>'Initial unit rates'!L136</f>
        <v>0</v>
      </c>
      <c r="M138" s="415">
        <f>'Initial unit rates'!M136</f>
        <v>0</v>
      </c>
      <c r="N138" s="415">
        <f>'Initial unit rates'!N136</f>
        <v>0</v>
      </c>
      <c r="O138" s="415">
        <f>'Initial unit rates'!O136</f>
        <v>0</v>
      </c>
      <c r="P138" s="415">
        <f>'Initial unit rates'!P136</f>
        <v>0</v>
      </c>
      <c r="Q138" s="415">
        <f>'Initial unit rates'!Q136</f>
        <v>0</v>
      </c>
      <c r="R138" s="417"/>
      <c r="S138" s="417"/>
      <c r="T138" s="417"/>
      <c r="U138" s="417"/>
      <c r="V138" s="417"/>
      <c r="W138" s="417"/>
      <c r="X138" s="417"/>
      <c r="Y138" s="417"/>
      <c r="Z138" s="348"/>
      <c r="AA138" s="348"/>
    </row>
    <row r="139" spans="4:27" x14ac:dyDescent="0.25">
      <c r="E139" s="293" t="s">
        <v>44</v>
      </c>
      <c r="G139" s="293" t="s">
        <v>183</v>
      </c>
      <c r="H139" s="348"/>
      <c r="I139" s="348"/>
      <c r="J139" s="415">
        <f>'Initial unit rates'!J137</f>
        <v>0.28437697384844896</v>
      </c>
      <c r="K139" s="415">
        <f>'Initial unit rates'!K137</f>
        <v>0.28437697384844896</v>
      </c>
      <c r="L139" s="415">
        <f>'Initial unit rates'!L137</f>
        <v>0.24043791945901699</v>
      </c>
      <c r="M139" s="415">
        <f>'Initial unit rates'!M137</f>
        <v>0.24043791945901699</v>
      </c>
      <c r="N139" s="415">
        <f>'Initial unit rates'!N137</f>
        <v>0.21081346291219688</v>
      </c>
      <c r="O139" s="415">
        <f>'Initial unit rates'!O137</f>
        <v>0.19029618764495027</v>
      </c>
      <c r="P139" s="415">
        <f>'Initial unit rates'!P137</f>
        <v>0.15827536480211751</v>
      </c>
      <c r="Q139" s="415">
        <f>'Initial unit rates'!Q137</f>
        <v>0.28186834730910848</v>
      </c>
      <c r="R139" s="417"/>
      <c r="S139" s="417"/>
      <c r="T139" s="417"/>
      <c r="U139" s="417"/>
      <c r="V139" s="417"/>
      <c r="W139" s="417"/>
      <c r="X139" s="417"/>
      <c r="Y139" s="417"/>
      <c r="Z139" s="348"/>
      <c r="AA139" s="348"/>
    </row>
    <row r="140" spans="4:27" x14ac:dyDescent="0.25">
      <c r="E140" s="293" t="s">
        <v>45</v>
      </c>
      <c r="G140" s="293" t="s">
        <v>183</v>
      </c>
      <c r="H140" s="348"/>
      <c r="I140" s="348"/>
      <c r="J140" s="415">
        <f>'Initial unit rates'!J138</f>
        <v>2.3842741684919025E-2</v>
      </c>
      <c r="K140" s="415">
        <f>'Initial unit rates'!K138</f>
        <v>2.3842741684919025E-2</v>
      </c>
      <c r="L140" s="415">
        <f>'Initial unit rates'!L138</f>
        <v>2.0158802336703235E-2</v>
      </c>
      <c r="M140" s="415">
        <f>'Initial unit rates'!M138</f>
        <v>2.0158802336703235E-2</v>
      </c>
      <c r="N140" s="415">
        <f>'Initial unit rates'!N138</f>
        <v>1.7675027875489791E-2</v>
      </c>
      <c r="O140" s="415">
        <f>'Initial unit rates'!O138</f>
        <v>1.5954817945497225E-2</v>
      </c>
      <c r="P140" s="415">
        <f>'Initial unit rates'!P138</f>
        <v>1.3270127278569025E-2</v>
      </c>
      <c r="Q140" s="415">
        <f>'Initial unit rates'!Q138</f>
        <v>2.3632413352944782E-2</v>
      </c>
      <c r="R140" s="417"/>
      <c r="S140" s="417"/>
      <c r="T140" s="417"/>
      <c r="U140" s="417"/>
      <c r="V140" s="417"/>
      <c r="W140" s="417"/>
      <c r="X140" s="417"/>
      <c r="Y140" s="417"/>
      <c r="Z140" s="348"/>
      <c r="AA140" s="348"/>
    </row>
    <row r="141" spans="4:27" x14ac:dyDescent="0.25">
      <c r="E141" s="293" t="s">
        <v>46</v>
      </c>
      <c r="G141" s="293" t="s">
        <v>183</v>
      </c>
      <c r="H141" s="348"/>
      <c r="I141" s="348"/>
      <c r="J141" s="415">
        <f>'Initial unit rates'!J139</f>
        <v>0.24340351158791373</v>
      </c>
      <c r="K141" s="415">
        <f>'Initial unit rates'!K139</f>
        <v>0.24340351158791373</v>
      </c>
      <c r="L141" s="415">
        <f>'Initial unit rates'!L139</f>
        <v>0.20579526226481751</v>
      </c>
      <c r="M141" s="415">
        <f>'Initial unit rates'!M139</f>
        <v>0.20579526226481751</v>
      </c>
      <c r="N141" s="415">
        <f>'Initial unit rates'!N139</f>
        <v>0.18043914198968469</v>
      </c>
      <c r="O141" s="415">
        <f>'Initial unit rates'!O139</f>
        <v>0.16287802661286427</v>
      </c>
      <c r="P141" s="415">
        <f>'Initial unit rates'!P139</f>
        <v>0.1354708121031776</v>
      </c>
      <c r="Q141" s="415">
        <f>'Initial unit rates'!Q139</f>
        <v>0.24125633173479558</v>
      </c>
      <c r="R141" s="417"/>
      <c r="S141" s="417"/>
      <c r="T141" s="417"/>
      <c r="U141" s="417"/>
      <c r="V141" s="417"/>
      <c r="W141" s="417"/>
      <c r="X141" s="417"/>
      <c r="Y141" s="417"/>
      <c r="Z141" s="348"/>
      <c r="AA141" s="348"/>
    </row>
    <row r="142" spans="4:27" x14ac:dyDescent="0.25">
      <c r="E142" s="293" t="s">
        <v>47</v>
      </c>
      <c r="G142" s="293" t="s">
        <v>183</v>
      </c>
      <c r="H142" s="348"/>
      <c r="I142" s="348"/>
      <c r="J142" s="415">
        <f>'Initial unit rates'!J140</f>
        <v>4.0426771851431155E-2</v>
      </c>
      <c r="K142" s="415">
        <f>'Initial unit rates'!K140</f>
        <v>4.0426771851431155E-2</v>
      </c>
      <c r="L142" s="415">
        <f>'Initial unit rates'!L140</f>
        <v>3.4180435858996577E-2</v>
      </c>
      <c r="M142" s="415">
        <f>'Initial unit rates'!M140</f>
        <v>3.4180435858996577E-2</v>
      </c>
      <c r="N142" s="415">
        <f>'Initial unit rates'!N140</f>
        <v>2.9969050071203606E-2</v>
      </c>
      <c r="O142" s="415">
        <f>'Initial unit rates'!O140</f>
        <v>2.7052332887610463E-2</v>
      </c>
      <c r="P142" s="415">
        <f>'Initial unit rates'!P140</f>
        <v>2.2500281847598471E-2</v>
      </c>
      <c r="Q142" s="415">
        <f>'Initial unit rates'!Q140</f>
        <v>4.0070147785164767E-2</v>
      </c>
      <c r="R142" s="417"/>
      <c r="S142" s="417"/>
      <c r="T142" s="417"/>
      <c r="U142" s="417"/>
      <c r="V142" s="417"/>
      <c r="W142" s="417"/>
      <c r="X142" s="417"/>
      <c r="Y142" s="417"/>
      <c r="Z142" s="348"/>
      <c r="AA142" s="348"/>
    </row>
    <row r="143" spans="4:27" x14ac:dyDescent="0.25">
      <c r="E143" s="293" t="s">
        <v>51</v>
      </c>
      <c r="G143" s="293" t="s">
        <v>183</v>
      </c>
      <c r="H143" s="348"/>
      <c r="I143" s="348"/>
      <c r="J143" s="415">
        <f>'Initial unit rates'!J141</f>
        <v>0</v>
      </c>
      <c r="K143" s="415">
        <f>'Initial unit rates'!K141</f>
        <v>0</v>
      </c>
      <c r="L143" s="415">
        <f>'Initial unit rates'!L141</f>
        <v>0</v>
      </c>
      <c r="M143" s="415">
        <f>'Initial unit rates'!M141</f>
        <v>0</v>
      </c>
      <c r="N143" s="415">
        <f>'Initial unit rates'!N141</f>
        <v>0</v>
      </c>
      <c r="O143" s="415">
        <f>'Initial unit rates'!O141</f>
        <v>0</v>
      </c>
      <c r="P143" s="415">
        <f>'Initial unit rates'!P141</f>
        <v>0</v>
      </c>
      <c r="Q143" s="415">
        <f>'Initial unit rates'!Q141</f>
        <v>0</v>
      </c>
      <c r="R143" s="417"/>
      <c r="S143" s="417"/>
      <c r="T143" s="417"/>
      <c r="U143" s="417"/>
      <c r="V143" s="417"/>
      <c r="W143" s="417"/>
      <c r="X143" s="417"/>
      <c r="Y143" s="417"/>
      <c r="Z143" s="348"/>
      <c r="AA143" s="348"/>
    </row>
    <row r="144" spans="4:27" x14ac:dyDescent="0.25">
      <c r="E144" s="293" t="s">
        <v>48</v>
      </c>
      <c r="G144" s="293" t="s">
        <v>183</v>
      </c>
      <c r="H144" s="348"/>
      <c r="I144" s="348"/>
      <c r="J144" s="415">
        <f>'Initial unit rates'!J142</f>
        <v>0.33180145064239808</v>
      </c>
      <c r="K144" s="415">
        <f>'Initial unit rates'!K142</f>
        <v>0.33180145064239808</v>
      </c>
      <c r="L144" s="415">
        <f>'Initial unit rates'!L142</f>
        <v>0.28053484565335185</v>
      </c>
      <c r="M144" s="415">
        <f>'Initial unit rates'!M142</f>
        <v>0.28053484565335185</v>
      </c>
      <c r="N144" s="415">
        <f>'Initial unit rates'!N142</f>
        <v>0.24597003007174317</v>
      </c>
      <c r="O144" s="415">
        <f>'Initial unit rates'!O142</f>
        <v>0.22203116608857912</v>
      </c>
      <c r="P144" s="415">
        <f>'Initial unit rates'!P142</f>
        <v>0.18467035122992875</v>
      </c>
      <c r="Q144" s="415">
        <f>'Initial unit rates'!Q142</f>
        <v>0.32887446990408847</v>
      </c>
      <c r="R144" s="417"/>
      <c r="S144" s="417"/>
      <c r="T144" s="417"/>
      <c r="U144" s="417"/>
      <c r="V144" s="417"/>
      <c r="W144" s="417"/>
      <c r="X144" s="417"/>
      <c r="Y144" s="417"/>
      <c r="Z144" s="348"/>
      <c r="AA144" s="348"/>
    </row>
    <row r="145" spans="2:27" x14ac:dyDescent="0.25">
      <c r="E145" s="293" t="s">
        <v>49</v>
      </c>
      <c r="G145" s="293" t="s">
        <v>183</v>
      </c>
      <c r="H145" s="348"/>
      <c r="I145" s="348"/>
      <c r="J145" s="415">
        <f>'Initial unit rates'!J143</f>
        <v>0.12977505495598657</v>
      </c>
      <c r="K145" s="415">
        <f>'Initial unit rates'!K143</f>
        <v>0.12977505495598657</v>
      </c>
      <c r="L145" s="415">
        <f>'Initial unit rates'!L143</f>
        <v>0.10972352574482951</v>
      </c>
      <c r="M145" s="415">
        <f>'Initial unit rates'!M143</f>
        <v>0.10972352574482951</v>
      </c>
      <c r="N145" s="415">
        <f>'Initial unit rates'!N143</f>
        <v>9.6204444279205478E-2</v>
      </c>
      <c r="O145" s="415">
        <f>'Initial unit rates'!O143</f>
        <v>8.6841412915164715E-2</v>
      </c>
      <c r="P145" s="415">
        <f>'Initial unit rates'!P143</f>
        <v>0</v>
      </c>
      <c r="Q145" s="415">
        <f>'Initial unit rates'!Q143</f>
        <v>0.1286302465609846</v>
      </c>
      <c r="R145" s="417"/>
      <c r="S145" s="417"/>
      <c r="T145" s="417"/>
      <c r="U145" s="417"/>
      <c r="V145" s="417"/>
      <c r="W145" s="417"/>
      <c r="X145" s="417"/>
      <c r="Y145" s="417"/>
      <c r="Z145" s="348"/>
      <c r="AA145" s="348"/>
    </row>
    <row r="146" spans="2:27" x14ac:dyDescent="0.25">
      <c r="E146" s="293" t="s">
        <v>50</v>
      </c>
      <c r="G146" s="293" t="s">
        <v>183</v>
      </c>
      <c r="H146" s="348"/>
      <c r="I146" s="348"/>
      <c r="J146" s="415">
        <f>'Initial unit rates'!J144</f>
        <v>7.9463799613071859E-2</v>
      </c>
      <c r="K146" s="415">
        <f>'Initial unit rates'!K144</f>
        <v>7.9463799613071859E-2</v>
      </c>
      <c r="L146" s="415">
        <f>'Initial unit rates'!L144</f>
        <v>6.7185856831915372E-2</v>
      </c>
      <c r="M146" s="415">
        <f>'Initial unit rates'!M144</f>
        <v>6.7185856831915372E-2</v>
      </c>
      <c r="N146" s="415">
        <f>'Initial unit rates'!N144</f>
        <v>5.890785933153686E-2</v>
      </c>
      <c r="O146" s="415">
        <f>'Initial unit rates'!O144</f>
        <v>0</v>
      </c>
      <c r="P146" s="415">
        <f>'Initial unit rates'!P144</f>
        <v>0</v>
      </c>
      <c r="Q146" s="415">
        <f>'Initial unit rates'!Q144</f>
        <v>7.8762811083907661E-2</v>
      </c>
      <c r="R146" s="417"/>
      <c r="S146" s="417"/>
      <c r="T146" s="417"/>
      <c r="U146" s="417"/>
      <c r="V146" s="417"/>
      <c r="W146" s="417"/>
      <c r="X146" s="417"/>
      <c r="Y146" s="417"/>
      <c r="Z146" s="348"/>
      <c r="AA146" s="348"/>
    </row>
    <row r="147" spans="2:27" x14ac:dyDescent="0.25">
      <c r="E147" s="293" t="s">
        <v>124</v>
      </c>
      <c r="G147" s="293" t="s">
        <v>183</v>
      </c>
      <c r="H147" s="348"/>
      <c r="I147" s="348"/>
      <c r="J147" s="417"/>
      <c r="K147" s="417"/>
      <c r="L147" s="417"/>
      <c r="M147" s="417"/>
      <c r="N147" s="417"/>
      <c r="O147" s="417"/>
      <c r="P147" s="417"/>
      <c r="Q147" s="417"/>
      <c r="R147" s="417"/>
      <c r="S147" s="417"/>
      <c r="T147" s="417"/>
      <c r="U147" s="417"/>
      <c r="V147" s="417"/>
      <c r="W147" s="417"/>
      <c r="X147" s="417"/>
      <c r="Y147" s="417"/>
      <c r="Z147" s="348"/>
      <c r="AA147" s="348"/>
    </row>
    <row r="148" spans="2:27" x14ac:dyDescent="0.25">
      <c r="E148" s="93" t="s">
        <v>123</v>
      </c>
      <c r="F148" s="93"/>
      <c r="G148" s="93" t="s">
        <v>183</v>
      </c>
      <c r="H148" s="350"/>
      <c r="I148" s="350"/>
      <c r="J148" s="355"/>
      <c r="K148" s="355"/>
      <c r="L148" s="355"/>
      <c r="M148" s="355"/>
      <c r="N148" s="355"/>
      <c r="O148" s="355"/>
      <c r="P148" s="355"/>
      <c r="Q148" s="355"/>
      <c r="R148" s="355"/>
      <c r="S148" s="355"/>
      <c r="T148" s="355"/>
      <c r="U148" s="355"/>
      <c r="V148" s="355"/>
      <c r="W148" s="355"/>
      <c r="X148" s="355"/>
      <c r="Y148" s="355"/>
      <c r="Z148" s="348"/>
      <c r="AA148" s="348"/>
    </row>
    <row r="149" spans="2:27" x14ac:dyDescent="0.2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2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2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25">
      <c r="C152" s="82" t="s">
        <v>545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25">
      <c r="C153" s="82" t="s">
        <v>546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2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25">
      <c r="C155" s="7" t="str">
        <f ca="1">INDEX('Version control'!$H$34:$H$60,MATCH($A$1,'Version control'!$F$34:$F$60,0),1)&amp;"-C: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2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733</v>
      </c>
    </row>
    <row r="157" spans="2:27" x14ac:dyDescent="0.2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25">
      <c r="D158" s="293"/>
      <c r="F158" s="91" t="s">
        <v>267</v>
      </c>
      <c r="G158" s="91" t="s">
        <v>183</v>
      </c>
      <c r="H158" s="346"/>
      <c r="I158" s="346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8"/>
      <c r="AA158" s="348"/>
    </row>
    <row r="159" spans="2:27" x14ac:dyDescent="0.25">
      <c r="D159" s="293"/>
      <c r="F159" s="293" t="s">
        <v>43</v>
      </c>
      <c r="G159" s="293" t="s">
        <v>183</v>
      </c>
      <c r="H159" s="348"/>
      <c r="I159" s="348"/>
      <c r="J159" s="417"/>
      <c r="K159" s="417"/>
      <c r="L159" s="417"/>
      <c r="M159" s="417"/>
      <c r="N159" s="417"/>
      <c r="O159" s="417"/>
      <c r="P159" s="417"/>
      <c r="Q159" s="417"/>
      <c r="R159" s="417"/>
      <c r="S159" s="417"/>
      <c r="T159" s="417"/>
      <c r="U159" s="417"/>
      <c r="V159" s="417"/>
      <c r="W159" s="417"/>
      <c r="X159" s="417"/>
      <c r="Y159" s="417"/>
      <c r="Z159" s="348"/>
      <c r="AA159" s="348"/>
    </row>
    <row r="160" spans="2:27" x14ac:dyDescent="0.25">
      <c r="D160" s="293"/>
      <c r="F160" s="293" t="s">
        <v>44</v>
      </c>
      <c r="G160" s="293" t="s">
        <v>183</v>
      </c>
      <c r="H160" s="348"/>
      <c r="I160" s="348"/>
      <c r="J160" s="417"/>
      <c r="K160" s="417"/>
      <c r="L160" s="417"/>
      <c r="M160" s="417"/>
      <c r="N160" s="417"/>
      <c r="O160" s="417"/>
      <c r="P160" s="417"/>
      <c r="Q160" s="417"/>
      <c r="R160" s="416">
        <f t="shared" ref="R160:S160" si="0">hundred * $H51 * R95 / $H37 * (1 - R109) / hours_in_year</f>
        <v>-0.22637722634866647</v>
      </c>
      <c r="S160" s="416">
        <f t="shared" si="0"/>
        <v>-0.21636595911844564</v>
      </c>
      <c r="T160" s="416">
        <f t="shared" ref="T160:U160" si="1">hundred * $H51 * T95 / $H37 * (1 - T109) / hours_in_year</f>
        <v>-0.22637722634866647</v>
      </c>
      <c r="U160" s="416">
        <f t="shared" si="1"/>
        <v>-0.22637722634866647</v>
      </c>
      <c r="V160" s="416">
        <f t="shared" ref="V160:W160" si="2">hundred * $H51 * V95 / $H37 * (1 - V109) / hours_in_year</f>
        <v>-0.21636595911844564</v>
      </c>
      <c r="W160" s="416">
        <f t="shared" si="2"/>
        <v>-0.21636595911844564</v>
      </c>
      <c r="X160" s="416">
        <f t="shared" ref="X160:Y160" si="3">hundred * $H51 * X95 / $H37 * (1 - X109) / hours_in_year</f>
        <v>-0.21187110444365262</v>
      </c>
      <c r="Y160" s="416">
        <f t="shared" si="3"/>
        <v>-0.21187110444365262</v>
      </c>
      <c r="Z160" s="348"/>
      <c r="AA160" s="348"/>
    </row>
    <row r="161" spans="5:27" s="293" customFormat="1" x14ac:dyDescent="0.25">
      <c r="E161" s="98"/>
      <c r="F161" s="293" t="s">
        <v>45</v>
      </c>
      <c r="G161" s="293" t="s">
        <v>183</v>
      </c>
      <c r="H161" s="348"/>
      <c r="I161" s="348"/>
      <c r="J161" s="417"/>
      <c r="K161" s="417"/>
      <c r="L161" s="417"/>
      <c r="M161" s="417"/>
      <c r="N161" s="417"/>
      <c r="O161" s="417"/>
      <c r="P161" s="417"/>
      <c r="Q161" s="417"/>
      <c r="R161" s="416">
        <f t="shared" ref="R161:S161" si="4">hundred * $H52 * R96 / $H38 * (1 - R110) / hours_in_year</f>
        <v>-1.8979925336909058E-2</v>
      </c>
      <c r="S161" s="416">
        <f t="shared" si="4"/>
        <v>-1.8140560407749719E-2</v>
      </c>
      <c r="T161" s="416">
        <f t="shared" ref="T161:U161" si="5">hundred * $H52 * T96 / $H38 * (1 - T110) / hours_in_year</f>
        <v>-1.8979925336909058E-2</v>
      </c>
      <c r="U161" s="416">
        <f t="shared" si="5"/>
        <v>-1.8979925336909058E-2</v>
      </c>
      <c r="V161" s="416">
        <f t="shared" ref="V161:W161" si="6">hundred * $H52 * V96 / $H38 * (1 - V110) / hours_in_year</f>
        <v>-1.8140560407749719E-2</v>
      </c>
      <c r="W161" s="416">
        <f t="shared" si="6"/>
        <v>-1.8140560407749719E-2</v>
      </c>
      <c r="X161" s="416">
        <f t="shared" ref="X161:Y161" si="7">hundred * $H52 * X96 / $H38 * (1 - X110) / hours_in_year</f>
        <v>-1.7763702684453694E-2</v>
      </c>
      <c r="Y161" s="416">
        <f t="shared" si="7"/>
        <v>-1.7763702684453694E-2</v>
      </c>
      <c r="Z161" s="348"/>
      <c r="AA161" s="348"/>
    </row>
    <row r="162" spans="5:27" s="293" customFormat="1" x14ac:dyDescent="0.25">
      <c r="E162" s="98"/>
      <c r="F162" s="293" t="s">
        <v>46</v>
      </c>
      <c r="G162" s="293" t="s">
        <v>183</v>
      </c>
      <c r="H162" s="348"/>
      <c r="I162" s="348"/>
      <c r="J162" s="417"/>
      <c r="K162" s="417"/>
      <c r="L162" s="417"/>
      <c r="M162" s="417"/>
      <c r="N162" s="417"/>
      <c r="O162" s="417"/>
      <c r="P162" s="417"/>
      <c r="Q162" s="417"/>
      <c r="R162" s="416">
        <f t="shared" ref="R162:S162" si="8">hundred * $H53 * R97 / $H39 * (1 - R111) / hours_in_year</f>
        <v>-0.19376045497327091</v>
      </c>
      <c r="S162" s="416">
        <f t="shared" si="8"/>
        <v>-0.18519162618835183</v>
      </c>
      <c r="T162" s="416">
        <f t="shared" ref="T162:U162" si="9">hundred * $H53 * T97 / $H39 * (1 - T111) / hours_in_year</f>
        <v>-0.19376045497327091</v>
      </c>
      <c r="U162" s="416">
        <f t="shared" si="9"/>
        <v>-0.19376045497327091</v>
      </c>
      <c r="V162" s="416">
        <f t="shared" ref="V162:W162" si="10">hundred * $H53 * V97 / $H39 * (1 - V111) / hours_in_year</f>
        <v>-0.18519162618835183</v>
      </c>
      <c r="W162" s="416">
        <f t="shared" si="10"/>
        <v>-0.18519162618835183</v>
      </c>
      <c r="X162" s="416">
        <f t="shared" ref="X162:Y162" si="11">hundred * $H53 * X97 / $H39 * (1 - X111) / hours_in_year</f>
        <v>-0.12795112998198141</v>
      </c>
      <c r="Y162" s="416">
        <f t="shared" si="11"/>
        <v>-0.12795112998198141</v>
      </c>
      <c r="Z162" s="348"/>
      <c r="AA162" s="348"/>
    </row>
    <row r="163" spans="5:27" s="293" customFormat="1" x14ac:dyDescent="0.25">
      <c r="E163" s="98"/>
      <c r="F163" s="293" t="s">
        <v>47</v>
      </c>
      <c r="G163" s="293" t="s">
        <v>183</v>
      </c>
      <c r="H163" s="348"/>
      <c r="I163" s="348"/>
      <c r="J163" s="417"/>
      <c r="K163" s="417"/>
      <c r="L163" s="417"/>
      <c r="M163" s="417"/>
      <c r="N163" s="417"/>
      <c r="O163" s="417"/>
      <c r="P163" s="417"/>
      <c r="Q163" s="417"/>
      <c r="R163" s="416">
        <f t="shared" ref="R163:S163" si="12">hundred * $H54 * R98 / $H40 * (1 - R112) / hours_in_year</f>
        <v>-3.2181580520068691E-2</v>
      </c>
      <c r="S163" s="416">
        <f t="shared" si="12"/>
        <v>-3.0758387879740737E-2</v>
      </c>
      <c r="T163" s="416">
        <f t="shared" ref="T163:U163" si="13">hundred * $H54 * T98 / $H40 * (1 - T112) / hours_in_year</f>
        <v>-3.2181580520068691E-2</v>
      </c>
      <c r="U163" s="416">
        <f t="shared" si="13"/>
        <v>-3.2181580520068691E-2</v>
      </c>
      <c r="V163" s="416">
        <f t="shared" ref="V163:W163" si="14">hundred * $H54 * V98 / $H40 * (1 - V112) / hours_in_year</f>
        <v>-3.0758387879740737E-2</v>
      </c>
      <c r="W163" s="416">
        <f t="shared" si="14"/>
        <v>-3.0758387879740737E-2</v>
      </c>
      <c r="X163" s="416">
        <f t="shared" ref="X163:Y163" si="15">hundred * $H54 * X98 / $H40 * (1 - X112) / hours_in_year</f>
        <v>-2.5807190722757872E-2</v>
      </c>
      <c r="Y163" s="416">
        <f t="shared" si="15"/>
        <v>-2.5807190722757872E-2</v>
      </c>
      <c r="Z163" s="348"/>
      <c r="AA163" s="348"/>
    </row>
    <row r="164" spans="5:27" s="293" customFormat="1" x14ac:dyDescent="0.25">
      <c r="E164" s="98"/>
      <c r="F164" s="293" t="s">
        <v>51</v>
      </c>
      <c r="G164" s="293" t="s">
        <v>183</v>
      </c>
      <c r="H164" s="348"/>
      <c r="I164" s="348"/>
      <c r="J164" s="417"/>
      <c r="K164" s="417"/>
      <c r="L164" s="417"/>
      <c r="M164" s="417"/>
      <c r="N164" s="417"/>
      <c r="O164" s="417"/>
      <c r="P164" s="417"/>
      <c r="Q164" s="417"/>
      <c r="R164" s="416">
        <f t="shared" ref="R164:S164" si="16">hundred * $H55 * R99 / $H41 * (1 - R113) / hours_in_year</f>
        <v>0</v>
      </c>
      <c r="S164" s="416">
        <f t="shared" si="16"/>
        <v>0</v>
      </c>
      <c r="T164" s="416">
        <f t="shared" ref="T164:U164" si="17">hundred * $H55 * T99 / $H41 * (1 - T113) / hours_in_year</f>
        <v>0</v>
      </c>
      <c r="U164" s="416">
        <f t="shared" si="17"/>
        <v>0</v>
      </c>
      <c r="V164" s="416">
        <f t="shared" ref="V164:W164" si="18">hundred * $H55 * V99 / $H41 * (1 - V113) / hours_in_year</f>
        <v>0</v>
      </c>
      <c r="W164" s="416">
        <f t="shared" si="18"/>
        <v>0</v>
      </c>
      <c r="X164" s="416">
        <f t="shared" ref="X164:Y164" si="19">hundred * $H55 * X99 / $H41 * (1 - X113) / hours_in_year</f>
        <v>0</v>
      </c>
      <c r="Y164" s="416">
        <f t="shared" si="19"/>
        <v>0</v>
      </c>
      <c r="Z164" s="348"/>
      <c r="AA164" s="348"/>
    </row>
    <row r="165" spans="5:27" s="293" customFormat="1" x14ac:dyDescent="0.25">
      <c r="E165" s="98"/>
      <c r="F165" s="293" t="s">
        <v>48</v>
      </c>
      <c r="G165" s="293" t="s">
        <v>183</v>
      </c>
      <c r="H165" s="348"/>
      <c r="I165" s="348"/>
      <c r="J165" s="417"/>
      <c r="K165" s="417"/>
      <c r="L165" s="417"/>
      <c r="M165" s="417"/>
      <c r="N165" s="417"/>
      <c r="O165" s="417"/>
      <c r="P165" s="417"/>
      <c r="Q165" s="417"/>
      <c r="R165" s="416">
        <f t="shared" ref="R165:S165" si="20">hundred * $H56 * R100 / $H42 * (1 - R114) / hours_in_year</f>
        <v>-0.1779303646735137</v>
      </c>
      <c r="S165" s="416">
        <f t="shared" si="20"/>
        <v>-0.17006160305889081</v>
      </c>
      <c r="T165" s="416">
        <f t="shared" ref="T165:U165" si="21">hundred * $H56 * T100 / $H42 * (1 - T114) / hours_in_year</f>
        <v>-0.1779303646735137</v>
      </c>
      <c r="U165" s="416">
        <f t="shared" si="21"/>
        <v>-0.1779303646735137</v>
      </c>
      <c r="V165" s="416">
        <f t="shared" ref="V165:W165" si="22">hundred * $H56 * V100 / $H42 * (1 - V114) / hours_in_year</f>
        <v>-0.17006160305889081</v>
      </c>
      <c r="W165" s="416">
        <f t="shared" si="22"/>
        <v>-0.17006160305889081</v>
      </c>
      <c r="X165" s="416">
        <f t="shared" ref="X165:Y165" si="23">hundred * $H56 * X100 / $H42 * (1 - X114) / hours_in_year</f>
        <v>-6.5684488659910847E-2</v>
      </c>
      <c r="Y165" s="416">
        <f t="shared" si="23"/>
        <v>-6.5684488659910847E-2</v>
      </c>
      <c r="Z165" s="348"/>
      <c r="AA165" s="348"/>
    </row>
    <row r="166" spans="5:27" s="293" customFormat="1" x14ac:dyDescent="0.25">
      <c r="E166" s="98"/>
      <c r="F166" s="293" t="s">
        <v>49</v>
      </c>
      <c r="G166" s="293" t="s">
        <v>183</v>
      </c>
      <c r="H166" s="348"/>
      <c r="I166" s="348"/>
      <c r="J166" s="417"/>
      <c r="K166" s="417"/>
      <c r="L166" s="417"/>
      <c r="M166" s="417"/>
      <c r="N166" s="417"/>
      <c r="O166" s="417"/>
      <c r="P166" s="417"/>
      <c r="Q166" s="417"/>
      <c r="R166" s="416">
        <f t="shared" ref="R166:S166" si="24">hundred * $H57 * R101 / $H43 * (1 - R115) / hours_in_year</f>
        <v>-2.9858512421698655E-2</v>
      </c>
      <c r="S166" s="416">
        <f t="shared" si="24"/>
        <v>-2.8538054742399704E-2</v>
      </c>
      <c r="T166" s="416">
        <f t="shared" ref="T166:U166" si="25">hundred * $H57 * T101 / $H43 * (1 - T115) / hours_in_year</f>
        <v>-2.9858512421698655E-2</v>
      </c>
      <c r="U166" s="416">
        <f t="shared" si="25"/>
        <v>-2.9858512421698655E-2</v>
      </c>
      <c r="V166" s="416">
        <f t="shared" ref="V166:W166" si="26">hundred * $H57 * V101 / $H43 * (1 - V115) / hours_in_year</f>
        <v>-2.8538054742399704E-2</v>
      </c>
      <c r="W166" s="416">
        <f t="shared" si="26"/>
        <v>-2.8538054742399704E-2</v>
      </c>
      <c r="X166" s="416">
        <f t="shared" ref="X166:Y166" si="27">hundred * $H57 * X101 / $H43 * (1 - X115) / hours_in_year</f>
        <v>0</v>
      </c>
      <c r="Y166" s="416">
        <f t="shared" si="27"/>
        <v>0</v>
      </c>
      <c r="Z166" s="348"/>
      <c r="AA166" s="348"/>
    </row>
    <row r="167" spans="5:27" s="293" customFormat="1" x14ac:dyDescent="0.25">
      <c r="E167" s="98"/>
      <c r="F167" s="293" t="s">
        <v>50</v>
      </c>
      <c r="G167" s="293" t="s">
        <v>183</v>
      </c>
      <c r="H167" s="348"/>
      <c r="I167" s="348"/>
      <c r="J167" s="417"/>
      <c r="K167" s="417"/>
      <c r="L167" s="417"/>
      <c r="M167" s="417"/>
      <c r="N167" s="417"/>
      <c r="O167" s="417"/>
      <c r="P167" s="417"/>
      <c r="Q167" s="417"/>
      <c r="R167" s="416">
        <f t="shared" ref="R167:S167" si="28">hundred * $H58 * R102 / $H44 * (1 - R116) / hours_in_year</f>
        <v>-4.3679690330135938E-3</v>
      </c>
      <c r="S167" s="416">
        <f t="shared" si="28"/>
        <v>0</v>
      </c>
      <c r="T167" s="416">
        <f t="shared" ref="T167:U167" si="29">hundred * $H58 * T102 / $H44 * (1 - T116) / hours_in_year</f>
        <v>-4.3679690330135938E-3</v>
      </c>
      <c r="U167" s="416">
        <f t="shared" si="29"/>
        <v>-4.3679690330135938E-3</v>
      </c>
      <c r="V167" s="416">
        <f t="shared" ref="V167:W167" si="30">hundred * $H58 * V102 / $H44 * (1 - V116) / hours_in_year</f>
        <v>0</v>
      </c>
      <c r="W167" s="416">
        <f t="shared" si="30"/>
        <v>0</v>
      </c>
      <c r="X167" s="416">
        <f t="shared" ref="X167:Y167" si="31">hundred * $H58 * X102 / $H44 * (1 - X116) / hours_in_year</f>
        <v>0</v>
      </c>
      <c r="Y167" s="416">
        <f t="shared" si="31"/>
        <v>0</v>
      </c>
      <c r="Z167" s="348"/>
      <c r="AA167" s="348"/>
    </row>
    <row r="168" spans="5:27" s="293" customFormat="1" x14ac:dyDescent="0.25">
      <c r="E168" s="98"/>
      <c r="F168" s="293" t="s">
        <v>124</v>
      </c>
      <c r="G168" s="293" t="s">
        <v>183</v>
      </c>
      <c r="H168" s="348"/>
      <c r="I168" s="348"/>
      <c r="J168" s="417"/>
      <c r="K168" s="417"/>
      <c r="L168" s="417"/>
      <c r="M168" s="417"/>
      <c r="N168" s="417"/>
      <c r="O168" s="417"/>
      <c r="P168" s="417"/>
      <c r="Q168" s="417"/>
      <c r="R168" s="417"/>
      <c r="S168" s="417"/>
      <c r="T168" s="417"/>
      <c r="U168" s="417"/>
      <c r="V168" s="417"/>
      <c r="W168" s="417"/>
      <c r="X168" s="417"/>
      <c r="Y168" s="417"/>
      <c r="Z168" s="348"/>
      <c r="AA168" s="348"/>
    </row>
    <row r="169" spans="5:27" s="293" customFormat="1" x14ac:dyDescent="0.25">
      <c r="E169" s="98"/>
      <c r="F169" s="93" t="s">
        <v>123</v>
      </c>
      <c r="G169" s="93" t="s">
        <v>183</v>
      </c>
      <c r="H169" s="350"/>
      <c r="I169" s="350"/>
      <c r="J169" s="355"/>
      <c r="K169" s="355"/>
      <c r="L169" s="355"/>
      <c r="M169" s="355"/>
      <c r="N169" s="355"/>
      <c r="O169" s="355"/>
      <c r="P169" s="355"/>
      <c r="Q169" s="355"/>
      <c r="R169" s="355"/>
      <c r="S169" s="355"/>
      <c r="T169" s="355"/>
      <c r="U169" s="355"/>
      <c r="V169" s="355"/>
      <c r="W169" s="355"/>
      <c r="X169" s="355"/>
      <c r="Y169" s="355"/>
      <c r="Z169" s="348"/>
      <c r="AA169" s="348"/>
    </row>
    <row r="170" spans="5:27" s="293" customFormat="1" x14ac:dyDescent="0.2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2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25">
      <c r="E172" s="98"/>
      <c r="F172" s="91" t="s">
        <v>267</v>
      </c>
      <c r="G172" s="91" t="s">
        <v>183</v>
      </c>
      <c r="H172" s="346"/>
      <c r="I172" s="346"/>
      <c r="J172" s="358"/>
      <c r="K172" s="358"/>
      <c r="L172" s="358"/>
      <c r="M172" s="358"/>
      <c r="N172" s="358"/>
      <c r="O172" s="358"/>
      <c r="P172" s="358"/>
      <c r="Q172" s="358"/>
      <c r="R172" s="359">
        <f t="shared" ref="R172:S172" si="32">hundred * $H63 * R93 / $H35 / hours_in_year</f>
        <v>-0.13700177495881596</v>
      </c>
      <c r="S172" s="359">
        <f t="shared" si="32"/>
        <v>-0.13094303220341705</v>
      </c>
      <c r="T172" s="359">
        <f t="shared" ref="T172:U172" si="33">hundred * $H63 * T93 / $H35 / hours_in_year</f>
        <v>-0.13700177495881596</v>
      </c>
      <c r="U172" s="359">
        <f t="shared" si="33"/>
        <v>-0.13700177495881596</v>
      </c>
      <c r="V172" s="359">
        <f t="shared" ref="V172:W172" si="34">hundred * $H63 * V93 / $H35 / hours_in_year</f>
        <v>-0.13094303220341705</v>
      </c>
      <c r="W172" s="359">
        <f t="shared" si="34"/>
        <v>-0.13094303220341705</v>
      </c>
      <c r="X172" s="359">
        <f t="shared" ref="X172:Y172" si="35">hundred * $H63 * X93 / $H35 / hours_in_year</f>
        <v>-0.12822278035405429</v>
      </c>
      <c r="Y172" s="359">
        <f t="shared" si="35"/>
        <v>-0.12822278035405429</v>
      </c>
      <c r="Z172" s="348"/>
      <c r="AA172" s="348"/>
    </row>
    <row r="173" spans="5:27" s="293" customFormat="1" x14ac:dyDescent="0.25">
      <c r="E173" s="98"/>
      <c r="F173" s="293" t="s">
        <v>43</v>
      </c>
      <c r="G173" s="293" t="s">
        <v>183</v>
      </c>
      <c r="H173" s="348"/>
      <c r="I173" s="348"/>
      <c r="J173" s="417"/>
      <c r="K173" s="417"/>
      <c r="L173" s="417"/>
      <c r="M173" s="417"/>
      <c r="N173" s="417"/>
      <c r="O173" s="417"/>
      <c r="P173" s="417"/>
      <c r="Q173" s="417"/>
      <c r="R173" s="416">
        <f t="shared" ref="R173:S173" si="36">hundred * $H64 * R94 / $H36 / hours_in_year</f>
        <v>0</v>
      </c>
      <c r="S173" s="416">
        <f t="shared" si="36"/>
        <v>0</v>
      </c>
      <c r="T173" s="416">
        <f t="shared" ref="T173:U173" si="37">hundred * $H64 * T94 / $H36 / hours_in_year</f>
        <v>0</v>
      </c>
      <c r="U173" s="416">
        <f t="shared" si="37"/>
        <v>0</v>
      </c>
      <c r="V173" s="416">
        <f t="shared" ref="V173:W173" si="38">hundred * $H64 * V94 / $H36 / hours_in_year</f>
        <v>0</v>
      </c>
      <c r="W173" s="416">
        <f t="shared" si="38"/>
        <v>0</v>
      </c>
      <c r="X173" s="416">
        <f t="shared" ref="X173:Y173" si="39">hundred * $H64 * X94 / $H36 / hours_in_year</f>
        <v>0</v>
      </c>
      <c r="Y173" s="416">
        <f t="shared" si="39"/>
        <v>0</v>
      </c>
      <c r="Z173" s="348"/>
      <c r="AA173" s="348"/>
    </row>
    <row r="174" spans="5:27" s="293" customFormat="1" x14ac:dyDescent="0.25">
      <c r="E174" s="98"/>
      <c r="F174" s="293" t="s">
        <v>44</v>
      </c>
      <c r="G174" s="293" t="s">
        <v>183</v>
      </c>
      <c r="H174" s="348"/>
      <c r="I174" s="348"/>
      <c r="J174" s="417"/>
      <c r="K174" s="417"/>
      <c r="L174" s="417"/>
      <c r="M174" s="417"/>
      <c r="N174" s="417"/>
      <c r="O174" s="417"/>
      <c r="P174" s="417"/>
      <c r="Q174" s="417"/>
      <c r="R174" s="416">
        <f t="shared" ref="R174:S174" si="40">hundred * $H65 * R95 / $H37 / hours_in_year</f>
        <v>-0.15049475207485521</v>
      </c>
      <c r="S174" s="416">
        <f t="shared" si="40"/>
        <v>-0.14383929823760977</v>
      </c>
      <c r="T174" s="416">
        <f t="shared" ref="T174:U174" si="41">hundred * $H65 * T95 / $H37 / hours_in_year</f>
        <v>-0.15049475207485521</v>
      </c>
      <c r="U174" s="416">
        <f t="shared" si="41"/>
        <v>-0.15049475207485521</v>
      </c>
      <c r="V174" s="416">
        <f t="shared" ref="V174:W174" si="42">hundred * $H65 * V95 / $H37 / hours_in_year</f>
        <v>-0.14383929823760977</v>
      </c>
      <c r="W174" s="416">
        <f t="shared" si="42"/>
        <v>-0.14383929823760977</v>
      </c>
      <c r="X174" s="416">
        <f t="shared" ref="X174:Y174" si="43">hundred * $H65 * X95 / $H37 / hours_in_year</f>
        <v>-0.14085113529027513</v>
      </c>
      <c r="Y174" s="416">
        <f t="shared" si="43"/>
        <v>-0.14085113529027513</v>
      </c>
      <c r="Z174" s="348"/>
      <c r="AA174" s="348"/>
    </row>
    <row r="175" spans="5:27" s="293" customFormat="1" x14ac:dyDescent="0.25">
      <c r="E175" s="98"/>
      <c r="F175" s="293" t="s">
        <v>45</v>
      </c>
      <c r="G175" s="293" t="s">
        <v>183</v>
      </c>
      <c r="H175" s="348"/>
      <c r="I175" s="348"/>
      <c r="J175" s="417"/>
      <c r="K175" s="417"/>
      <c r="L175" s="417"/>
      <c r="M175" s="417"/>
      <c r="N175" s="417"/>
      <c r="O175" s="417"/>
      <c r="P175" s="417"/>
      <c r="Q175" s="417"/>
      <c r="R175" s="416">
        <f t="shared" ref="R175:S175" si="44">hundred * $H66 * R96 / $H38 / hours_in_year</f>
        <v>-1.2617784942633726E-2</v>
      </c>
      <c r="S175" s="416">
        <f t="shared" si="44"/>
        <v>-1.2059778207806059E-2</v>
      </c>
      <c r="T175" s="416">
        <f t="shared" ref="T175:U175" si="45">hundred * $H66 * T96 / $H38 / hours_in_year</f>
        <v>-1.2617784942633726E-2</v>
      </c>
      <c r="U175" s="416">
        <f t="shared" si="45"/>
        <v>-1.2617784942633726E-2</v>
      </c>
      <c r="V175" s="416">
        <f t="shared" ref="V175:W175" si="46">hundred * $H66 * V96 / $H38 / hours_in_year</f>
        <v>-1.2059778207806059E-2</v>
      </c>
      <c r="W175" s="416">
        <f t="shared" si="46"/>
        <v>-1.2059778207806059E-2</v>
      </c>
      <c r="X175" s="416">
        <f t="shared" ref="X175:Y175" si="47">hundred * $H66 * X96 / $H38 / hours_in_year</f>
        <v>-1.1809244571760986E-2</v>
      </c>
      <c r="Y175" s="416">
        <f t="shared" si="47"/>
        <v>-1.1809244571760986E-2</v>
      </c>
      <c r="Z175" s="348"/>
      <c r="AA175" s="348"/>
    </row>
    <row r="176" spans="5:27" s="293" customFormat="1" x14ac:dyDescent="0.25">
      <c r="E176" s="98"/>
      <c r="F176" s="293" t="s">
        <v>46</v>
      </c>
      <c r="G176" s="293" t="s">
        <v>183</v>
      </c>
      <c r="H176" s="348"/>
      <c r="I176" s="348"/>
      <c r="J176" s="417"/>
      <c r="K176" s="417"/>
      <c r="L176" s="417"/>
      <c r="M176" s="417"/>
      <c r="N176" s="417"/>
      <c r="O176" s="417"/>
      <c r="P176" s="417"/>
      <c r="Q176" s="417"/>
      <c r="R176" s="416">
        <f t="shared" ref="R176:S176" si="48">hundred * $H67 * R97 / $H39 / hours_in_year</f>
        <v>-0.12881124176422842</v>
      </c>
      <c r="S176" s="416">
        <f t="shared" si="48"/>
        <v>-0.12311471572952881</v>
      </c>
      <c r="T176" s="416">
        <f t="shared" ref="T176:U176" si="49">hundred * $H67 * T97 / $H39 / hours_in_year</f>
        <v>-0.12881124176422842</v>
      </c>
      <c r="U176" s="416">
        <f t="shared" si="49"/>
        <v>-0.12881124176422842</v>
      </c>
      <c r="V176" s="416">
        <f t="shared" ref="V176:W176" si="50">hundred * $H67 * V97 / $H39 / hours_in_year</f>
        <v>-0.12311471572952881</v>
      </c>
      <c r="W176" s="416">
        <f t="shared" si="50"/>
        <v>-0.12311471572952881</v>
      </c>
      <c r="X176" s="416">
        <f t="shared" ref="X176:Y176" si="51">hundred * $H67 * X97 / $H39 / hours_in_year</f>
        <v>-0.12055709179558201</v>
      </c>
      <c r="Y176" s="416">
        <f t="shared" si="51"/>
        <v>-0.12055709179558201</v>
      </c>
      <c r="Z176" s="348"/>
      <c r="AA176" s="348"/>
    </row>
    <row r="177" spans="2:27" x14ac:dyDescent="0.25">
      <c r="D177" s="293"/>
      <c r="F177" s="293" t="s">
        <v>47</v>
      </c>
      <c r="G177" s="293" t="s">
        <v>183</v>
      </c>
      <c r="H177" s="348"/>
      <c r="I177" s="348"/>
      <c r="J177" s="417"/>
      <c r="K177" s="417"/>
      <c r="L177" s="417"/>
      <c r="M177" s="417"/>
      <c r="N177" s="417"/>
      <c r="O177" s="417"/>
      <c r="P177" s="417"/>
      <c r="Q177" s="417"/>
      <c r="R177" s="416">
        <f t="shared" ref="R177:S177" si="52">hundred * $H68 * R98 / $H40 / hours_in_year</f>
        <v>-2.1394197021767942E-2</v>
      </c>
      <c r="S177" s="416">
        <f t="shared" si="52"/>
        <v>-2.044806375997495E-2</v>
      </c>
      <c r="T177" s="416">
        <f t="shared" ref="T177:U177" si="53">hundred * $H68 * T98 / $H40 / hours_in_year</f>
        <v>-2.1394197021767942E-2</v>
      </c>
      <c r="U177" s="416">
        <f t="shared" si="53"/>
        <v>-2.1394197021767942E-2</v>
      </c>
      <c r="V177" s="416">
        <f t="shared" ref="V177:W177" si="54">hundred * $H68 * V98 / $H40 / hours_in_year</f>
        <v>-2.044806375997495E-2</v>
      </c>
      <c r="W177" s="416">
        <f t="shared" si="54"/>
        <v>-2.044806375997495E-2</v>
      </c>
      <c r="X177" s="416">
        <f t="shared" ref="X177:Y177" si="55">hundred * $H68 * X98 / $H40 / hours_in_year</f>
        <v>-2.0023269234271977E-2</v>
      </c>
      <c r="Y177" s="416">
        <f t="shared" si="55"/>
        <v>-2.0023269234271977E-2</v>
      </c>
      <c r="Z177" s="348"/>
      <c r="AA177" s="348"/>
    </row>
    <row r="178" spans="2:27" x14ac:dyDescent="0.25">
      <c r="D178" s="293"/>
      <c r="F178" s="293" t="s">
        <v>51</v>
      </c>
      <c r="G178" s="293" t="s">
        <v>183</v>
      </c>
      <c r="H178" s="348"/>
      <c r="I178" s="348"/>
      <c r="J178" s="417"/>
      <c r="K178" s="417"/>
      <c r="L178" s="417"/>
      <c r="M178" s="417"/>
      <c r="N178" s="417"/>
      <c r="O178" s="417"/>
      <c r="P178" s="417"/>
      <c r="Q178" s="417"/>
      <c r="R178" s="416">
        <f t="shared" ref="R178:S178" si="56">hundred * $H69 * R99 / $H41 / hours_in_year</f>
        <v>0</v>
      </c>
      <c r="S178" s="416">
        <f t="shared" si="56"/>
        <v>0</v>
      </c>
      <c r="T178" s="416">
        <f t="shared" ref="T178:U178" si="57">hundred * $H69 * T99 / $H41 / hours_in_year</f>
        <v>0</v>
      </c>
      <c r="U178" s="416">
        <f t="shared" si="57"/>
        <v>0</v>
      </c>
      <c r="V178" s="416">
        <f t="shared" ref="V178:W178" si="58">hundred * $H69 * V99 / $H41 / hours_in_year</f>
        <v>0</v>
      </c>
      <c r="W178" s="416">
        <f t="shared" si="58"/>
        <v>0</v>
      </c>
      <c r="X178" s="416">
        <f t="shared" ref="X178:Y178" si="59">hundred * $H69 * X99 / $H41 / hours_in_year</f>
        <v>0</v>
      </c>
      <c r="Y178" s="416">
        <f t="shared" si="59"/>
        <v>0</v>
      </c>
      <c r="Z178" s="348"/>
      <c r="AA178" s="348"/>
    </row>
    <row r="179" spans="2:27" x14ac:dyDescent="0.25">
      <c r="D179" s="293"/>
      <c r="F179" s="293" t="s">
        <v>48</v>
      </c>
      <c r="G179" s="293" t="s">
        <v>183</v>
      </c>
      <c r="H179" s="348"/>
      <c r="I179" s="348"/>
      <c r="J179" s="417"/>
      <c r="K179" s="417"/>
      <c r="L179" s="417"/>
      <c r="M179" s="417"/>
      <c r="N179" s="417"/>
      <c r="O179" s="417"/>
      <c r="P179" s="417"/>
      <c r="Q179" s="417"/>
      <c r="R179" s="416">
        <f t="shared" ref="R179:S179" si="60">hundred * $H70 * R100 / $H42 / hours_in_year</f>
        <v>-0.17559219502460907</v>
      </c>
      <c r="S179" s="416">
        <f t="shared" si="60"/>
        <v>-0.16782683621936911</v>
      </c>
      <c r="T179" s="416">
        <f t="shared" ref="T179:U179" si="61">hundred * $H70 * T100 / $H42 / hours_in_year</f>
        <v>-0.17559219502460907</v>
      </c>
      <c r="U179" s="416">
        <f t="shared" si="61"/>
        <v>-0.17559219502460907</v>
      </c>
      <c r="V179" s="416">
        <f t="shared" ref="V179:W179" si="62">hundred * $H70 * V100 / $H42 / hours_in_year</f>
        <v>-0.16782683621936911</v>
      </c>
      <c r="W179" s="416">
        <f t="shared" si="62"/>
        <v>-0.16782683621936911</v>
      </c>
      <c r="X179" s="416">
        <f t="shared" ref="X179:Y179" si="63">hundred * $H70 * X100 / $H42 / hours_in_year</f>
        <v>-0.16434034859252669</v>
      </c>
      <c r="Y179" s="416">
        <f t="shared" si="63"/>
        <v>-0.16434034859252669</v>
      </c>
      <c r="Z179" s="348"/>
      <c r="AA179" s="348"/>
    </row>
    <row r="180" spans="2:27" x14ac:dyDescent="0.25">
      <c r="D180" s="293"/>
      <c r="F180" s="293" t="s">
        <v>49</v>
      </c>
      <c r="G180" s="293" t="s">
        <v>183</v>
      </c>
      <c r="H180" s="348"/>
      <c r="I180" s="348"/>
      <c r="J180" s="417"/>
      <c r="K180" s="417"/>
      <c r="L180" s="417"/>
      <c r="M180" s="417"/>
      <c r="N180" s="417"/>
      <c r="O180" s="417"/>
      <c r="P180" s="417"/>
      <c r="Q180" s="417"/>
      <c r="R180" s="416">
        <f t="shared" ref="R180:S180" si="64">hundred * $H71 * R101 / $H43 / hours_in_year</f>
        <v>-6.8678080566080366E-2</v>
      </c>
      <c r="S180" s="416">
        <f t="shared" si="64"/>
        <v>-6.5640873032020833E-2</v>
      </c>
      <c r="T180" s="416">
        <f t="shared" ref="T180:U180" si="65">hundred * $H71 * T101 / $H43 / hours_in_year</f>
        <v>-6.8678080566080366E-2</v>
      </c>
      <c r="U180" s="416">
        <f t="shared" si="65"/>
        <v>-6.8678080566080366E-2</v>
      </c>
      <c r="V180" s="416">
        <f t="shared" ref="V180:W180" si="66">hundred * $H71 * V101 / $H43 / hours_in_year</f>
        <v>-6.5640873032020833E-2</v>
      </c>
      <c r="W180" s="416">
        <f t="shared" si="66"/>
        <v>-6.5640873032020833E-2</v>
      </c>
      <c r="X180" s="416">
        <f t="shared" ref="X180:Y180" si="67">hundred * $H71 * X101 / $H43 / hours_in_year</f>
        <v>0</v>
      </c>
      <c r="Y180" s="416">
        <f t="shared" si="67"/>
        <v>0</v>
      </c>
      <c r="Z180" s="348"/>
      <c r="AA180" s="348"/>
    </row>
    <row r="181" spans="2:27" x14ac:dyDescent="0.25">
      <c r="D181" s="293"/>
      <c r="F181" s="293" t="s">
        <v>50</v>
      </c>
      <c r="G181" s="293" t="s">
        <v>183</v>
      </c>
      <c r="H181" s="348"/>
      <c r="I181" s="348"/>
      <c r="J181" s="417"/>
      <c r="K181" s="417"/>
      <c r="L181" s="417"/>
      <c r="M181" s="417"/>
      <c r="N181" s="417"/>
      <c r="O181" s="417"/>
      <c r="P181" s="417"/>
      <c r="Q181" s="417"/>
      <c r="R181" s="416">
        <f t="shared" ref="R181:S181" si="68">hundred * $H72 * R102 / $H44 / hours_in_year</f>
        <v>-4.2052929461400025E-2</v>
      </c>
      <c r="S181" s="416">
        <f t="shared" si="68"/>
        <v>0</v>
      </c>
      <c r="T181" s="416">
        <f t="shared" ref="T181:U181" si="69">hundred * $H72 * T102 / $H44 / hours_in_year</f>
        <v>-4.2052929461400025E-2</v>
      </c>
      <c r="U181" s="416">
        <f t="shared" si="69"/>
        <v>-4.2052929461400025E-2</v>
      </c>
      <c r="V181" s="416">
        <f t="shared" ref="V181:W181" si="70">hundred * $H72 * V102 / $H44 / hours_in_year</f>
        <v>0</v>
      </c>
      <c r="W181" s="416">
        <f t="shared" si="70"/>
        <v>0</v>
      </c>
      <c r="X181" s="416">
        <f t="shared" ref="X181:Y181" si="71">hundred * $H72 * X102 / $H44 / hours_in_year</f>
        <v>0</v>
      </c>
      <c r="Y181" s="416">
        <f t="shared" si="71"/>
        <v>0</v>
      </c>
      <c r="Z181" s="348"/>
      <c r="AA181" s="348"/>
    </row>
    <row r="182" spans="2:27" x14ac:dyDescent="0.25">
      <c r="D182" s="293"/>
      <c r="F182" s="293" t="s">
        <v>124</v>
      </c>
      <c r="G182" s="293" t="s">
        <v>183</v>
      </c>
      <c r="H182" s="348"/>
      <c r="I182" s="348"/>
      <c r="J182" s="417"/>
      <c r="K182" s="417"/>
      <c r="L182" s="417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348"/>
      <c r="AA182" s="348"/>
    </row>
    <row r="183" spans="2:27" x14ac:dyDescent="0.25">
      <c r="D183" s="293"/>
      <c r="F183" s="93" t="s">
        <v>123</v>
      </c>
      <c r="G183" s="93" t="s">
        <v>183</v>
      </c>
      <c r="H183" s="350"/>
      <c r="I183" s="350"/>
      <c r="J183" s="355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48"/>
      <c r="AA183" s="348"/>
    </row>
    <row r="184" spans="2:27" x14ac:dyDescent="0.2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2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25">
      <c r="B186" s="418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25">
      <c r="B187" s="418"/>
      <c r="C187" s="82" t="s">
        <v>536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25">
      <c r="B188" s="418"/>
      <c r="C188" s="82" t="s">
        <v>734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735</v>
      </c>
    </row>
    <row r="189" spans="2:27" x14ac:dyDescent="0.25">
      <c r="B189" s="418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25">
      <c r="C190" s="7" t="str">
        <f ca="1">INDEX('Version control'!$H$34:$H$60,MATCH($A$1,'Version control'!$F$34:$F$60,0),1)&amp;"-D: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2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806</v>
      </c>
    </row>
    <row r="192" spans="2:27" x14ac:dyDescent="0.2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25">
      <c r="F193" s="91" t="s">
        <v>267</v>
      </c>
      <c r="G193" s="91" t="s">
        <v>258</v>
      </c>
      <c r="H193" s="346"/>
      <c r="I193" s="346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8"/>
      <c r="AA193" s="348"/>
    </row>
    <row r="194" spans="4:27" x14ac:dyDescent="0.25">
      <c r="F194" s="293" t="s">
        <v>43</v>
      </c>
      <c r="G194" s="293" t="s">
        <v>258</v>
      </c>
      <c r="H194" s="348"/>
      <c r="I194" s="348"/>
      <c r="J194" s="417"/>
      <c r="K194" s="417"/>
      <c r="L194" s="417"/>
      <c r="M194" s="417"/>
      <c r="N194" s="417"/>
      <c r="O194" s="417"/>
      <c r="P194" s="417"/>
      <c r="Q194" s="417"/>
      <c r="R194" s="417"/>
      <c r="S194" s="417"/>
      <c r="T194" s="417"/>
      <c r="U194" s="417"/>
      <c r="V194" s="417"/>
      <c r="W194" s="417"/>
      <c r="X194" s="417"/>
      <c r="Y194" s="417"/>
      <c r="Z194" s="348"/>
      <c r="AA194" s="348"/>
    </row>
    <row r="195" spans="4:27" x14ac:dyDescent="0.25">
      <c r="F195" s="293" t="s">
        <v>44</v>
      </c>
      <c r="G195" s="293" t="s">
        <v>258</v>
      </c>
      <c r="H195" s="348"/>
      <c r="I195" s="348"/>
      <c r="J195" s="416">
        <f t="shared" ref="J195:K195" si="72">ABS(J125 + J160)*(1-J82)*PowerFactor*$H23</f>
        <v>9.593340710043248E-2</v>
      </c>
      <c r="K195" s="416">
        <f t="shared" si="72"/>
        <v>9.593340710043248E-2</v>
      </c>
      <c r="L195" s="416">
        <f t="shared" ref="L195:M195" si="73">ABS(L125 + L160)*(1-L82)*PowerFactor*$H23</f>
        <v>8.1110747110401726E-2</v>
      </c>
      <c r="M195" s="416">
        <f t="shared" si="73"/>
        <v>8.1110747110401726E-2</v>
      </c>
      <c r="N195" s="416">
        <f t="shared" ref="N195:P195" si="74">ABS(N125 + N160)*(1-N82)*PowerFactor*$H23</f>
        <v>7.1117058058946692E-2</v>
      </c>
      <c r="O195" s="416">
        <f t="shared" si="74"/>
        <v>6.4195639302119523E-2</v>
      </c>
      <c r="P195" s="416">
        <f t="shared" si="74"/>
        <v>5.3393545898068558E-2</v>
      </c>
      <c r="Q195" s="416">
        <f t="shared" ref="Q195:S195" si="75">ABS(Q125 + Q160)*(1-Q82)*PowerFactor*$H23</f>
        <v>9.5087132214654452E-2</v>
      </c>
      <c r="R195" s="416">
        <f t="shared" si="75"/>
        <v>5.0768788069915263E-2</v>
      </c>
      <c r="S195" s="416">
        <f t="shared" si="75"/>
        <v>4.8523597983790849E-2</v>
      </c>
      <c r="T195" s="416">
        <f t="shared" ref="T195:U195" si="76">ABS(T125 + T160)*(1-T82)*PowerFactor*$H23</f>
        <v>5.0768788069915263E-2</v>
      </c>
      <c r="U195" s="416">
        <f t="shared" si="76"/>
        <v>5.0768788069915263E-2</v>
      </c>
      <c r="V195" s="416">
        <f t="shared" ref="V195:W195" si="77">ABS(V125 + V160)*(1-V82)*PowerFactor*$H23</f>
        <v>4.8523597983790849E-2</v>
      </c>
      <c r="W195" s="416">
        <f t="shared" si="77"/>
        <v>4.8523597983790849E-2</v>
      </c>
      <c r="X195" s="416">
        <f t="shared" ref="X195:Y195" si="78">ABS(X125 + X160)*(1-X82)*PowerFactor*$H23</f>
        <v>4.7515553455326827E-2</v>
      </c>
      <c r="Y195" s="416">
        <f t="shared" si="78"/>
        <v>4.7515553455326827E-2</v>
      </c>
      <c r="Z195" s="348"/>
      <c r="AA195" s="348"/>
    </row>
    <row r="196" spans="4:27" x14ac:dyDescent="0.25">
      <c r="F196" s="293" t="s">
        <v>45</v>
      </c>
      <c r="G196" s="293" t="s">
        <v>258</v>
      </c>
      <c r="H196" s="348"/>
      <c r="I196" s="348"/>
      <c r="J196" s="416">
        <f t="shared" ref="J196:K196" si="79">ABS(J126 + J161)*(1-J83)*PowerFactor*$H24</f>
        <v>9.9742478286327096E-3</v>
      </c>
      <c r="K196" s="416">
        <f t="shared" si="79"/>
        <v>9.9742478286327096E-3</v>
      </c>
      <c r="L196" s="416">
        <f t="shared" ref="L196:M196" si="80">ABS(L126 + L161)*(1-L83)*PowerFactor*$H24</f>
        <v>8.4331279133841395E-3</v>
      </c>
      <c r="M196" s="416">
        <f t="shared" si="80"/>
        <v>8.4331279133841395E-3</v>
      </c>
      <c r="N196" s="416">
        <f t="shared" ref="N196:P196" si="81">ABS(N126 + N161)*(1-N83)*PowerFactor*$H24</f>
        <v>7.394078698576707E-3</v>
      </c>
      <c r="O196" s="416">
        <f t="shared" si="81"/>
        <v>6.6744550753474463E-3</v>
      </c>
      <c r="P196" s="416">
        <f t="shared" si="81"/>
        <v>5.5513556260883643E-3</v>
      </c>
      <c r="Q196" s="416">
        <f t="shared" ref="Q196:S196" si="82">ABS(Q126 + Q161)*(1-Q83)*PowerFactor*$H24</f>
        <v>9.8862601745190494E-3</v>
      </c>
      <c r="R196" s="416">
        <f t="shared" si="82"/>
        <v>5.2784581458525485E-3</v>
      </c>
      <c r="S196" s="416">
        <f t="shared" si="82"/>
        <v>5.045024527489032E-3</v>
      </c>
      <c r="T196" s="416">
        <f t="shared" ref="T196:U196" si="83">ABS(T126 + T161)*(1-T83)*PowerFactor*$H24</f>
        <v>5.2784581458525485E-3</v>
      </c>
      <c r="U196" s="416">
        <f t="shared" si="83"/>
        <v>5.2784581458525485E-3</v>
      </c>
      <c r="V196" s="416">
        <f t="shared" ref="V196:W196" si="84">ABS(V126 + V161)*(1-V83)*PowerFactor*$H24</f>
        <v>5.045024527489032E-3</v>
      </c>
      <c r="W196" s="416">
        <f t="shared" si="84"/>
        <v>5.045024527489032E-3</v>
      </c>
      <c r="X196" s="416">
        <f t="shared" ref="X196:Y196" si="85">ABS(X126 + X161)*(1-X83)*PowerFactor*$H24</f>
        <v>4.9402175967952107E-3</v>
      </c>
      <c r="Y196" s="416">
        <f t="shared" si="85"/>
        <v>4.9402175967952107E-3</v>
      </c>
      <c r="Z196" s="348"/>
      <c r="AA196" s="348"/>
    </row>
    <row r="197" spans="4:27" x14ac:dyDescent="0.25">
      <c r="F197" s="293" t="s">
        <v>46</v>
      </c>
      <c r="G197" s="293" t="s">
        <v>258</v>
      </c>
      <c r="H197" s="348"/>
      <c r="I197" s="348"/>
      <c r="J197" s="416">
        <f t="shared" ref="J197:K197" si="86">ABS(J127 + J162)*(1-J84)*PowerFactor*$H25</f>
        <v>0.10182415172802603</v>
      </c>
      <c r="K197" s="416">
        <f t="shared" si="86"/>
        <v>0.10182415172802603</v>
      </c>
      <c r="L197" s="416">
        <f t="shared" ref="L197:M197" si="87">ABS(L127 + L162)*(1-L84)*PowerFactor*$H25</f>
        <v>8.6091313445135223E-2</v>
      </c>
      <c r="M197" s="416">
        <f t="shared" si="87"/>
        <v>8.6091313445135223E-2</v>
      </c>
      <c r="N197" s="416">
        <f t="shared" ref="N197:P197" si="88">ABS(N127 + N162)*(1-N84)*PowerFactor*$H25</f>
        <v>7.5483966733965568E-2</v>
      </c>
      <c r="O197" s="416">
        <f t="shared" si="88"/>
        <v>6.8137541594175066E-2</v>
      </c>
      <c r="P197" s="416">
        <f t="shared" si="88"/>
        <v>3.1988926538901064E-2</v>
      </c>
      <c r="Q197" s="416">
        <f t="shared" ref="Q197:S197" si="89">ABS(Q127 + Q162)*(1-Q84)*PowerFactor*$H25</f>
        <v>0.10092591174075165</v>
      </c>
      <c r="R197" s="416">
        <f t="shared" si="89"/>
        <v>5.3886221033170666E-2</v>
      </c>
      <c r="S197" s="416">
        <f t="shared" si="89"/>
        <v>5.1503166131884229E-2</v>
      </c>
      <c r="T197" s="416">
        <f t="shared" ref="T197:U197" si="90">ABS(T127 + T162)*(1-T84)*PowerFactor*$H25</f>
        <v>5.3886221033170666E-2</v>
      </c>
      <c r="U197" s="416">
        <f t="shared" si="90"/>
        <v>5.3886221033170666E-2</v>
      </c>
      <c r="V197" s="416">
        <f t="shared" ref="V197:W197" si="91">ABS(V127 + V162)*(1-V84)*PowerFactor*$H25</f>
        <v>5.1503166131884229E-2</v>
      </c>
      <c r="W197" s="416">
        <f t="shared" si="91"/>
        <v>5.1503166131884229E-2</v>
      </c>
      <c r="X197" s="416">
        <f t="shared" ref="X197:Y197" si="92">ABS(X127 + X162)*(1-X84)*PowerFactor*$H25</f>
        <v>3.5584159175328797E-2</v>
      </c>
      <c r="Y197" s="416">
        <f t="shared" si="92"/>
        <v>3.5584159175328797E-2</v>
      </c>
      <c r="Z197" s="348"/>
      <c r="AA197" s="348"/>
    </row>
    <row r="198" spans="4:27" x14ac:dyDescent="0.25">
      <c r="F198" s="293" t="s">
        <v>47</v>
      </c>
      <c r="G198" s="293" t="s">
        <v>258</v>
      </c>
      <c r="H198" s="348"/>
      <c r="I198" s="348"/>
      <c r="J198" s="416">
        <f t="shared" ref="J198:K198" si="93">ABS(J128 + J163)*(1-J85)*PowerFactor*$H26</f>
        <v>1.7532582169969911E-2</v>
      </c>
      <c r="K198" s="416">
        <f t="shared" si="93"/>
        <v>1.7532582169969911E-2</v>
      </c>
      <c r="L198" s="416">
        <f t="shared" ref="L198:M198" si="94">ABS(L128 + L163)*(1-L85)*PowerFactor*$H26</f>
        <v>1.4823624861900241E-2</v>
      </c>
      <c r="M198" s="416">
        <f t="shared" si="94"/>
        <v>1.4823624861900241E-2</v>
      </c>
      <c r="N198" s="416">
        <f t="shared" ref="N198:P198" si="95">ABS(N128 + N163)*(1-N85)*PowerFactor*$H26</f>
        <v>1.2997199847177975E-2</v>
      </c>
      <c r="O198" s="416">
        <f t="shared" si="95"/>
        <v>1.1732256312338213E-2</v>
      </c>
      <c r="P198" s="416">
        <f t="shared" si="95"/>
        <v>0</v>
      </c>
      <c r="Q198" s="416">
        <f t="shared" ref="Q198:S198" si="96">ABS(Q128 + Q163)*(1-Q85)*PowerFactor*$H26</f>
        <v>1.7377918800641729E-2</v>
      </c>
      <c r="R198" s="416">
        <f t="shared" si="96"/>
        <v>9.2783939965118255E-3</v>
      </c>
      <c r="S198" s="416">
        <f t="shared" si="96"/>
        <v>8.8680679082184296E-3</v>
      </c>
      <c r="T198" s="416">
        <f t="shared" ref="T198:U198" si="97">ABS(T128 + T163)*(1-T85)*PowerFactor*$H26</f>
        <v>9.2783939965118255E-3</v>
      </c>
      <c r="U198" s="416">
        <f t="shared" si="97"/>
        <v>9.2783939965118255E-3</v>
      </c>
      <c r="V198" s="416">
        <f t="shared" ref="V198:W198" si="98">ABS(V128 + V163)*(1-V85)*PowerFactor*$H26</f>
        <v>8.8680679082184296E-3</v>
      </c>
      <c r="W198" s="416">
        <f t="shared" si="98"/>
        <v>8.8680679082184296E-3</v>
      </c>
      <c r="X198" s="416">
        <f t="shared" ref="X198:Y198" si="99">ABS(X128 + X163)*(1-X85)*PowerFactor*$H26</f>
        <v>7.4405694064513025E-3</v>
      </c>
      <c r="Y198" s="416">
        <f t="shared" si="99"/>
        <v>7.4405694064513025E-3</v>
      </c>
      <c r="Z198" s="348"/>
      <c r="AA198" s="348"/>
    </row>
    <row r="199" spans="4:27" x14ac:dyDescent="0.25">
      <c r="F199" s="293" t="s">
        <v>51</v>
      </c>
      <c r="G199" s="293" t="s">
        <v>258</v>
      </c>
      <c r="H199" s="348"/>
      <c r="I199" s="348"/>
      <c r="J199" s="416">
        <f t="shared" ref="J199:K199" si="100">ABS(J129 + J164)*(1-J86)*PowerFactor*$H27</f>
        <v>0</v>
      </c>
      <c r="K199" s="416">
        <f t="shared" si="100"/>
        <v>0</v>
      </c>
      <c r="L199" s="416">
        <f t="shared" ref="L199:M199" si="101">ABS(L129 + L164)*(1-L86)*PowerFactor*$H27</f>
        <v>0</v>
      </c>
      <c r="M199" s="416">
        <f t="shared" si="101"/>
        <v>0</v>
      </c>
      <c r="N199" s="416">
        <f t="shared" ref="N199:P199" si="102">ABS(N129 + N164)*(1-N86)*PowerFactor*$H27</f>
        <v>0</v>
      </c>
      <c r="O199" s="416">
        <f t="shared" si="102"/>
        <v>0</v>
      </c>
      <c r="P199" s="416">
        <f t="shared" si="102"/>
        <v>0</v>
      </c>
      <c r="Q199" s="416">
        <f t="shared" ref="Q199:S199" si="103">ABS(Q129 + Q164)*(1-Q86)*PowerFactor*$H27</f>
        <v>0</v>
      </c>
      <c r="R199" s="416">
        <f t="shared" si="103"/>
        <v>0</v>
      </c>
      <c r="S199" s="416">
        <f t="shared" si="103"/>
        <v>0</v>
      </c>
      <c r="T199" s="416">
        <f t="shared" ref="T199:U199" si="104">ABS(T129 + T164)*(1-T86)*PowerFactor*$H27</f>
        <v>0</v>
      </c>
      <c r="U199" s="416">
        <f t="shared" si="104"/>
        <v>0</v>
      </c>
      <c r="V199" s="416">
        <f t="shared" ref="V199:W199" si="105">ABS(V129 + V164)*(1-V86)*PowerFactor*$H27</f>
        <v>0</v>
      </c>
      <c r="W199" s="416">
        <f t="shared" si="105"/>
        <v>0</v>
      </c>
      <c r="X199" s="416">
        <f t="shared" ref="X199:Y199" si="106">ABS(X129 + X164)*(1-X86)*PowerFactor*$H27</f>
        <v>0</v>
      </c>
      <c r="Y199" s="416">
        <f t="shared" si="106"/>
        <v>0</v>
      </c>
      <c r="Z199" s="348"/>
      <c r="AA199" s="348"/>
    </row>
    <row r="200" spans="4:27" x14ac:dyDescent="0.25">
      <c r="F200" s="293" t="s">
        <v>48</v>
      </c>
      <c r="G200" s="293" t="s">
        <v>258</v>
      </c>
      <c r="H200" s="348"/>
      <c r="I200" s="348"/>
      <c r="J200" s="416">
        <f t="shared" ref="J200:K200" si="107">ABS(J130 + J165)*(1-J87)*PowerFactor*$H28</f>
        <v>9.6936778391778999E-2</v>
      </c>
      <c r="K200" s="416">
        <f t="shared" si="107"/>
        <v>9.6936778391778999E-2</v>
      </c>
      <c r="L200" s="416">
        <f t="shared" ref="L200:M200" si="108">ABS(L130 + L165)*(1-L87)*PowerFactor*$H28</f>
        <v>8.1959087615863443E-2</v>
      </c>
      <c r="M200" s="416">
        <f t="shared" si="108"/>
        <v>8.1959087615863443E-2</v>
      </c>
      <c r="N200" s="416">
        <f t="shared" ref="N200:P200" si="109">ABS(N130 + N165)*(1-N87)*PowerFactor*$H28</f>
        <v>5.7488699340935367E-2</v>
      </c>
      <c r="O200" s="416">
        <f t="shared" si="109"/>
        <v>0</v>
      </c>
      <c r="P200" s="416">
        <f t="shared" si="109"/>
        <v>0</v>
      </c>
      <c r="Q200" s="416">
        <f t="shared" ref="Q200:S200" si="110">ABS(Q130 + Q165)*(1-Q87)*PowerFactor*$H28</f>
        <v>9.6081652283568228E-2</v>
      </c>
      <c r="R200" s="416">
        <f t="shared" si="110"/>
        <v>5.1299780828178092E-2</v>
      </c>
      <c r="S200" s="416">
        <f t="shared" si="110"/>
        <v>4.9031108210325455E-2</v>
      </c>
      <c r="T200" s="416">
        <f t="shared" ref="T200:U200" si="111">ABS(T130 + T165)*(1-T87)*PowerFactor*$H28</f>
        <v>5.1299780828178092E-2</v>
      </c>
      <c r="U200" s="416">
        <f t="shared" si="111"/>
        <v>5.1299780828178092E-2</v>
      </c>
      <c r="V200" s="416">
        <f t="shared" ref="V200:W200" si="112">ABS(V130 + V165)*(1-V87)*PowerFactor*$H28</f>
        <v>4.9031108210325455E-2</v>
      </c>
      <c r="W200" s="416">
        <f t="shared" si="112"/>
        <v>4.9031108210325455E-2</v>
      </c>
      <c r="X200" s="416">
        <f t="shared" ref="X200:Y200" si="113">ABS(X130 + X165)*(1-X87)*PowerFactor*$H28</f>
        <v>1.8937744989436119E-2</v>
      </c>
      <c r="Y200" s="416">
        <f t="shared" si="113"/>
        <v>1.8937744989436119E-2</v>
      </c>
      <c r="Z200" s="348"/>
      <c r="AA200" s="348"/>
    </row>
    <row r="201" spans="4:27" x14ac:dyDescent="0.25">
      <c r="F201" s="293" t="s">
        <v>49</v>
      </c>
      <c r="G201" s="293" t="s">
        <v>258</v>
      </c>
      <c r="H201" s="348"/>
      <c r="I201" s="348"/>
      <c r="J201" s="416">
        <f t="shared" ref="J201:K201" si="114">ABS(J131 + J166)*(1-J88)*PowerFactor*$H29</f>
        <v>1.6266970547951873E-2</v>
      </c>
      <c r="K201" s="416">
        <f t="shared" si="114"/>
        <v>1.6266970547951873E-2</v>
      </c>
      <c r="L201" s="416">
        <f t="shared" ref="L201:M201" si="115">ABS(L131 + L166)*(1-L88)*PowerFactor*$H29</f>
        <v>1.3753562749897674E-2</v>
      </c>
      <c r="M201" s="416">
        <f t="shared" si="115"/>
        <v>1.3753562749897674E-2</v>
      </c>
      <c r="N201" s="416">
        <f t="shared" ref="N201:P201" si="116">ABS(N131 + N166)*(1-N88)*PowerFactor*$H29</f>
        <v>0</v>
      </c>
      <c r="O201" s="416">
        <f t="shared" si="116"/>
        <v>0</v>
      </c>
      <c r="P201" s="416">
        <f t="shared" si="116"/>
        <v>0</v>
      </c>
      <c r="Q201" s="416">
        <f t="shared" ref="Q201:S201" si="117">ABS(Q131 + Q166)*(1-Q88)*PowerFactor*$H29</f>
        <v>1.6123471749582178E-2</v>
      </c>
      <c r="R201" s="416">
        <f t="shared" si="117"/>
        <v>8.6086213890426803E-3</v>
      </c>
      <c r="S201" s="416">
        <f t="shared" si="117"/>
        <v>8.2279152084803221E-3</v>
      </c>
      <c r="T201" s="416">
        <f t="shared" ref="T201:U201" si="118">ABS(T131 + T166)*(1-T88)*PowerFactor*$H29</f>
        <v>8.6086213890426803E-3</v>
      </c>
      <c r="U201" s="416">
        <f t="shared" si="118"/>
        <v>8.6086213890426803E-3</v>
      </c>
      <c r="V201" s="416">
        <f t="shared" ref="V201:W201" si="119">ABS(V131 + V166)*(1-V88)*PowerFactor*$H29</f>
        <v>8.2279152084803221E-3</v>
      </c>
      <c r="W201" s="416">
        <f t="shared" si="119"/>
        <v>8.2279152084803221E-3</v>
      </c>
      <c r="X201" s="416">
        <f t="shared" ref="X201:Y201" si="120">ABS(X131 + X166)*(1-X88)*PowerFactor*$H29</f>
        <v>0</v>
      </c>
      <c r="Y201" s="416">
        <f t="shared" si="120"/>
        <v>0</v>
      </c>
      <c r="Z201" s="348"/>
      <c r="AA201" s="348"/>
    </row>
    <row r="202" spans="4:27" x14ac:dyDescent="0.25">
      <c r="F202" s="293" t="s">
        <v>50</v>
      </c>
      <c r="G202" s="293" t="s">
        <v>258</v>
      </c>
      <c r="H202" s="348"/>
      <c r="I202" s="348"/>
      <c r="J202" s="416">
        <f t="shared" ref="J202:K202" si="121">ABS(J132 + J167)*(1-J89)*PowerFactor*$H30</f>
        <v>0</v>
      </c>
      <c r="K202" s="416">
        <f t="shared" si="121"/>
        <v>0</v>
      </c>
      <c r="L202" s="416">
        <f t="shared" ref="L202:M202" si="122">ABS(L132 + L167)*(1-L89)*PowerFactor*$H30</f>
        <v>0</v>
      </c>
      <c r="M202" s="416">
        <f t="shared" si="122"/>
        <v>0</v>
      </c>
      <c r="N202" s="416">
        <f t="shared" ref="N202:P202" si="123">ABS(N132 + N167)*(1-N89)*PowerFactor*$H30</f>
        <v>0</v>
      </c>
      <c r="O202" s="416">
        <f t="shared" si="123"/>
        <v>0</v>
      </c>
      <c r="P202" s="416">
        <f t="shared" si="123"/>
        <v>0</v>
      </c>
      <c r="Q202" s="416">
        <f t="shared" ref="Q202:S202" si="124">ABS(Q132 + Q167)*(1-Q89)*PowerFactor*$H30</f>
        <v>2.3586849978388127E-3</v>
      </c>
      <c r="R202" s="416">
        <f t="shared" si="124"/>
        <v>1.259345780969007E-3</v>
      </c>
      <c r="S202" s="416">
        <f t="shared" si="124"/>
        <v>0</v>
      </c>
      <c r="T202" s="416">
        <f t="shared" ref="T202:U202" si="125">ABS(T132 + T167)*(1-T89)*PowerFactor*$H30</f>
        <v>1.259345780969007E-3</v>
      </c>
      <c r="U202" s="416">
        <f t="shared" si="125"/>
        <v>1.259345780969007E-3</v>
      </c>
      <c r="V202" s="416">
        <f t="shared" ref="V202:W202" si="126">ABS(V132 + V167)*(1-V89)*PowerFactor*$H30</f>
        <v>0</v>
      </c>
      <c r="W202" s="416">
        <f t="shared" si="126"/>
        <v>0</v>
      </c>
      <c r="X202" s="416">
        <f t="shared" ref="X202:Y202" si="127">ABS(X132 + X167)*(1-X89)*PowerFactor*$H30</f>
        <v>0</v>
      </c>
      <c r="Y202" s="416">
        <f t="shared" si="127"/>
        <v>0</v>
      </c>
      <c r="Z202" s="348"/>
      <c r="AA202" s="348"/>
    </row>
    <row r="203" spans="4:27" x14ac:dyDescent="0.25">
      <c r="F203" s="293" t="s">
        <v>124</v>
      </c>
      <c r="G203" s="293" t="s">
        <v>258</v>
      </c>
      <c r="H203" s="348"/>
      <c r="I203" s="348"/>
      <c r="J203" s="417"/>
      <c r="K203" s="417"/>
      <c r="L203" s="417"/>
      <c r="M203" s="417"/>
      <c r="N203" s="417"/>
      <c r="O203" s="417"/>
      <c r="P203" s="417"/>
      <c r="Q203" s="417"/>
      <c r="R203" s="417"/>
      <c r="S203" s="417"/>
      <c r="T203" s="417"/>
      <c r="U203" s="417"/>
      <c r="V203" s="417"/>
      <c r="W203" s="417"/>
      <c r="X203" s="417"/>
      <c r="Y203" s="417"/>
      <c r="Z203" s="348"/>
      <c r="AA203" s="348"/>
    </row>
    <row r="204" spans="4:27" x14ac:dyDescent="0.25">
      <c r="F204" s="93" t="s">
        <v>123</v>
      </c>
      <c r="G204" s="93" t="s">
        <v>258</v>
      </c>
      <c r="H204" s="350"/>
      <c r="I204" s="350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48"/>
      <c r="AA204" s="348"/>
    </row>
    <row r="205" spans="4:27" x14ac:dyDescent="0.2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2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25">
      <c r="F207" s="91" t="s">
        <v>267</v>
      </c>
      <c r="G207" s="91" t="s">
        <v>258</v>
      </c>
      <c r="H207" s="346"/>
      <c r="I207" s="346"/>
      <c r="J207" s="530">
        <f t="shared" ref="J207:K207" si="128">ABS(J137 + J172)*(1-J81)*PowerFactor*$H22</f>
        <v>5.8058168052483317E-2</v>
      </c>
      <c r="K207" s="530">
        <f t="shared" si="128"/>
        <v>5.8058168052483317E-2</v>
      </c>
      <c r="L207" s="530">
        <f t="shared" ref="L207:M207" si="129">ABS(L137 + L172)*(1-L81)*PowerFactor*$H22</f>
        <v>4.9087607007100124E-2</v>
      </c>
      <c r="M207" s="530">
        <f t="shared" si="129"/>
        <v>4.9087607007100124E-2</v>
      </c>
      <c r="N207" s="530">
        <f t="shared" ref="N207:P207" si="130">ABS(N137 + N172)*(1-N81)*PowerFactor*$H22</f>
        <v>4.3039502431743863E-2</v>
      </c>
      <c r="O207" s="530">
        <f t="shared" si="130"/>
        <v>3.8850712462835647E-2</v>
      </c>
      <c r="P207" s="530">
        <f t="shared" si="130"/>
        <v>3.2313367724162378E-2</v>
      </c>
      <c r="Q207" s="530">
        <f t="shared" ref="Q207:S207" si="131">ABS(Q137 + Q172)*(1-Q81)*PowerFactor*$H22</f>
        <v>5.7546008930628501E-2</v>
      </c>
      <c r="R207" s="530">
        <f t="shared" si="131"/>
        <v>3.0724884257454482E-2</v>
      </c>
      <c r="S207" s="530">
        <f t="shared" si="131"/>
        <v>2.9366112300220477E-2</v>
      </c>
      <c r="T207" s="530">
        <f t="shared" ref="T207:U207" si="132">ABS(T137 + T172)*(1-T81)*PowerFactor*$H22</f>
        <v>3.0724884257454482E-2</v>
      </c>
      <c r="U207" s="530">
        <f t="shared" si="132"/>
        <v>3.0724884257454482E-2</v>
      </c>
      <c r="V207" s="530">
        <f t="shared" ref="V207:W207" si="133">ABS(V137 + V172)*(1-V81)*PowerFactor*$H22</f>
        <v>2.9366112300220477E-2</v>
      </c>
      <c r="W207" s="530">
        <f t="shared" si="133"/>
        <v>2.9366112300220477E-2</v>
      </c>
      <c r="X207" s="530">
        <f t="shared" ref="X207:Y207" si="134">ABS(X137 + X172)*(1-X81)*PowerFactor*$H22</f>
        <v>2.8756051421462359E-2</v>
      </c>
      <c r="Y207" s="530">
        <f t="shared" si="134"/>
        <v>2.8756051421462359E-2</v>
      </c>
      <c r="Z207" s="348"/>
      <c r="AA207" s="348"/>
    </row>
    <row r="208" spans="4:27" x14ac:dyDescent="0.25">
      <c r="F208" s="293" t="s">
        <v>43</v>
      </c>
      <c r="G208" s="293" t="s">
        <v>258</v>
      </c>
      <c r="H208" s="348"/>
      <c r="I208" s="348"/>
      <c r="J208" s="416">
        <f t="shared" ref="J208:K208" si="135">ABS(J138 + J173)*(1-J81)*PowerFactor*$H22</f>
        <v>0</v>
      </c>
      <c r="K208" s="416">
        <f t="shared" si="135"/>
        <v>0</v>
      </c>
      <c r="L208" s="416">
        <f t="shared" ref="L208:M208" si="136">ABS(L138 + L173)*(1-L81)*PowerFactor*$H22</f>
        <v>0</v>
      </c>
      <c r="M208" s="416">
        <f t="shared" si="136"/>
        <v>0</v>
      </c>
      <c r="N208" s="416">
        <f t="shared" ref="N208:P208" si="137">ABS(N138 + N173)*(1-N81)*PowerFactor*$H22</f>
        <v>0</v>
      </c>
      <c r="O208" s="416">
        <f t="shared" si="137"/>
        <v>0</v>
      </c>
      <c r="P208" s="416">
        <f t="shared" si="137"/>
        <v>0</v>
      </c>
      <c r="Q208" s="416">
        <f t="shared" ref="Q208:S208" si="138">ABS(Q138 + Q173)*(1-Q81)*PowerFactor*$H22</f>
        <v>0</v>
      </c>
      <c r="R208" s="416">
        <f t="shared" si="138"/>
        <v>0</v>
      </c>
      <c r="S208" s="416">
        <f t="shared" si="138"/>
        <v>0</v>
      </c>
      <c r="T208" s="416">
        <f t="shared" ref="T208:U208" si="139">ABS(T138 + T173)*(1-T81)*PowerFactor*$H22</f>
        <v>0</v>
      </c>
      <c r="U208" s="416">
        <f t="shared" si="139"/>
        <v>0</v>
      </c>
      <c r="V208" s="416">
        <f t="shared" ref="V208:W208" si="140">ABS(V138 + V173)*(1-V81)*PowerFactor*$H22</f>
        <v>0</v>
      </c>
      <c r="W208" s="416">
        <f t="shared" si="140"/>
        <v>0</v>
      </c>
      <c r="X208" s="416">
        <f t="shared" ref="X208:Y208" si="141">ABS(X138 + X173)*(1-X81)*PowerFactor*$H22</f>
        <v>0</v>
      </c>
      <c r="Y208" s="416">
        <f t="shared" si="141"/>
        <v>0</v>
      </c>
      <c r="Z208" s="348"/>
      <c r="AA208" s="348"/>
    </row>
    <row r="209" spans="3:27" x14ac:dyDescent="0.25">
      <c r="F209" s="293" t="s">
        <v>44</v>
      </c>
      <c r="G209" s="293" t="s">
        <v>258</v>
      </c>
      <c r="H209" s="348"/>
      <c r="I209" s="348"/>
      <c r="J209" s="416">
        <f t="shared" ref="J209:K209" si="142">ABS(J139 + J174)*(1-J82)*PowerFactor*$H23</f>
        <v>6.3776178152475133E-2</v>
      </c>
      <c r="K209" s="416">
        <f t="shared" si="142"/>
        <v>6.3776178152475133E-2</v>
      </c>
      <c r="L209" s="416">
        <f t="shared" ref="L209:M209" si="143">ABS(L139 + L174)*(1-L82)*PowerFactor*$H23</f>
        <v>5.3922128006751661E-2</v>
      </c>
      <c r="M209" s="416">
        <f t="shared" si="143"/>
        <v>5.3922128006751661E-2</v>
      </c>
      <c r="N209" s="416">
        <f t="shared" ref="N209:P209" si="144">ABS(N139 + N174)*(1-N82)*PowerFactor*$H23</f>
        <v>4.7278360078455442E-2</v>
      </c>
      <c r="O209" s="416">
        <f t="shared" si="144"/>
        <v>4.2677026204832366E-2</v>
      </c>
      <c r="P209" s="416">
        <f t="shared" si="144"/>
        <v>3.5495834019765853E-2</v>
      </c>
      <c r="Q209" s="416">
        <f t="shared" ref="Q209:S209" si="145">ABS(Q139 + Q174)*(1-Q82)*PowerFactor*$H23</f>
        <v>6.3213577703761348E-2</v>
      </c>
      <c r="R209" s="416">
        <f t="shared" si="145"/>
        <v>3.3750904615974742E-2</v>
      </c>
      <c r="S209" s="416">
        <f t="shared" si="145"/>
        <v>3.2258310458770069E-2</v>
      </c>
      <c r="T209" s="416">
        <f t="shared" ref="T209:U209" si="146">ABS(T139 + T174)*(1-T82)*PowerFactor*$H23</f>
        <v>3.3750904615974742E-2</v>
      </c>
      <c r="U209" s="416">
        <f t="shared" si="146"/>
        <v>3.3750904615974742E-2</v>
      </c>
      <c r="V209" s="416">
        <f t="shared" ref="V209:W209" si="147">ABS(V139 + V174)*(1-V82)*PowerFactor*$H23</f>
        <v>3.2258310458770069E-2</v>
      </c>
      <c r="W209" s="416">
        <f t="shared" si="147"/>
        <v>3.2258310458770069E-2</v>
      </c>
      <c r="X209" s="416">
        <f t="shared" ref="X209:Y209" si="148">ABS(X139 + X174)*(1-X82)*PowerFactor*$H23</f>
        <v>3.1588166143290429E-2</v>
      </c>
      <c r="Y209" s="416">
        <f t="shared" si="148"/>
        <v>3.1588166143290429E-2</v>
      </c>
      <c r="Z209" s="348"/>
      <c r="AA209" s="348"/>
    </row>
    <row r="210" spans="3:27" x14ac:dyDescent="0.25">
      <c r="F210" s="293" t="s">
        <v>45</v>
      </c>
      <c r="G210" s="293" t="s">
        <v>258</v>
      </c>
      <c r="H210" s="348"/>
      <c r="I210" s="348"/>
      <c r="J210" s="416">
        <f t="shared" ref="J210:K210" si="149">ABS(J140 + J175)*(1-J83)*PowerFactor*$H24</f>
        <v>6.6308434744725125E-3</v>
      </c>
      <c r="K210" s="416">
        <f t="shared" si="149"/>
        <v>6.6308434744725125E-3</v>
      </c>
      <c r="L210" s="416">
        <f t="shared" ref="L210:M210" si="150">ABS(L140 + L175)*(1-L83)*PowerFactor*$H24</f>
        <v>5.6063125916453876E-3</v>
      </c>
      <c r="M210" s="416">
        <f t="shared" si="150"/>
        <v>5.6063125916453876E-3</v>
      </c>
      <c r="N210" s="416">
        <f t="shared" ref="N210:P210" si="151">ABS(N140 + N175)*(1-N83)*PowerFactor*$H24</f>
        <v>4.9155564740879874E-3</v>
      </c>
      <c r="O210" s="416">
        <f t="shared" si="151"/>
        <v>4.4371533214745112E-3</v>
      </c>
      <c r="P210" s="416">
        <f t="shared" si="151"/>
        <v>3.6905209154774249E-3</v>
      </c>
      <c r="Q210" s="416">
        <f t="shared" ref="Q210:S210" si="152">ABS(Q140 + Q175)*(1-Q83)*PowerFactor*$H24</f>
        <v>6.572349603843103E-3</v>
      </c>
      <c r="R210" s="416">
        <f t="shared" si="152"/>
        <v>3.5090996687717761E-3</v>
      </c>
      <c r="S210" s="416">
        <f t="shared" si="152"/>
        <v>3.3539138530950456E-3</v>
      </c>
      <c r="T210" s="416">
        <f t="shared" ref="T210:U210" si="153">ABS(T140 + T175)*(1-T83)*PowerFactor*$H24</f>
        <v>3.5090996687717761E-3</v>
      </c>
      <c r="U210" s="416">
        <f t="shared" si="153"/>
        <v>3.5090996687717761E-3</v>
      </c>
      <c r="V210" s="416">
        <f t="shared" ref="V210:W210" si="154">ABS(V140 + V175)*(1-V83)*PowerFactor*$H24</f>
        <v>3.3539138530950456E-3</v>
      </c>
      <c r="W210" s="416">
        <f t="shared" si="154"/>
        <v>3.3539138530950456E-3</v>
      </c>
      <c r="X210" s="416">
        <f t="shared" ref="X210:Y210" si="155">ABS(X140 + X175)*(1-X83)*PowerFactor*$H24</f>
        <v>3.2842385889136566E-3</v>
      </c>
      <c r="Y210" s="416">
        <f t="shared" si="155"/>
        <v>3.2842385889136566E-3</v>
      </c>
      <c r="Z210" s="348"/>
      <c r="AA210" s="348"/>
    </row>
    <row r="211" spans="3:27" x14ac:dyDescent="0.25">
      <c r="F211" s="293" t="s">
        <v>46</v>
      </c>
      <c r="G211" s="293" t="s">
        <v>258</v>
      </c>
      <c r="H211" s="348"/>
      <c r="I211" s="348"/>
      <c r="J211" s="416">
        <f t="shared" ref="J211:K211" si="156">ABS(J141 + J176)*(1-J84)*PowerFactor*$H25</f>
        <v>6.7692323634797366E-2</v>
      </c>
      <c r="K211" s="416">
        <f t="shared" si="156"/>
        <v>6.7692323634797366E-2</v>
      </c>
      <c r="L211" s="416">
        <f t="shared" ref="L211:M211" si="157">ABS(L141 + L176)*(1-L84)*PowerFactor*$H25</f>
        <v>5.723319028906633E-2</v>
      </c>
      <c r="M211" s="416">
        <f t="shared" si="157"/>
        <v>5.723319028906633E-2</v>
      </c>
      <c r="N211" s="416">
        <f t="shared" ref="N211:P211" si="158">ABS(N141 + N176)*(1-N84)*PowerFactor*$H25</f>
        <v>5.0181464993118027E-2</v>
      </c>
      <c r="O211" s="416">
        <f t="shared" si="158"/>
        <v>4.5297588430612538E-2</v>
      </c>
      <c r="P211" s="416">
        <f t="shared" si="158"/>
        <v>3.01403508803362E-2</v>
      </c>
      <c r="Q211" s="416">
        <f t="shared" ref="Q211:S211" si="159">ABS(Q141 + Q176)*(1-Q84)*PowerFactor*$H25</f>
        <v>6.7095176976677384E-2</v>
      </c>
      <c r="R211" s="416">
        <f t="shared" si="159"/>
        <v>3.5823362647563584E-2</v>
      </c>
      <c r="S211" s="416">
        <f t="shared" si="159"/>
        <v>3.4239116465496239E-2</v>
      </c>
      <c r="T211" s="416">
        <f t="shared" ref="T211:U211" si="160">ABS(T141 + T176)*(1-T84)*PowerFactor*$H25</f>
        <v>3.5823362647563584E-2</v>
      </c>
      <c r="U211" s="416">
        <f t="shared" si="160"/>
        <v>3.5823362647563584E-2</v>
      </c>
      <c r="V211" s="416">
        <f t="shared" ref="V211:W211" si="161">ABS(V141 + V176)*(1-V84)*PowerFactor*$H25</f>
        <v>3.4239116465496239E-2</v>
      </c>
      <c r="W211" s="416">
        <f t="shared" si="161"/>
        <v>3.4239116465496239E-2</v>
      </c>
      <c r="X211" s="416">
        <f t="shared" ref="X211:Y211" si="162">ABS(X141 + X176)*(1-X84)*PowerFactor*$H25</f>
        <v>3.3527822261302735E-2</v>
      </c>
      <c r="Y211" s="416">
        <f t="shared" si="162"/>
        <v>3.3527822261302735E-2</v>
      </c>
      <c r="Z211" s="348"/>
      <c r="AA211" s="348"/>
    </row>
    <row r="212" spans="3:27" x14ac:dyDescent="0.25">
      <c r="F212" s="293" t="s">
        <v>47</v>
      </c>
      <c r="G212" s="293" t="s">
        <v>258</v>
      </c>
      <c r="H212" s="348"/>
      <c r="I212" s="348"/>
      <c r="J212" s="416">
        <f t="shared" ref="J212:K212" si="163">ABS(J142 + J177)*(1-J85)*PowerFactor*$H26</f>
        <v>1.1655596499083055E-2</v>
      </c>
      <c r="K212" s="416">
        <f t="shared" si="163"/>
        <v>1.1655596499083055E-2</v>
      </c>
      <c r="L212" s="416">
        <f t="shared" ref="L212:M212" si="164">ABS(L142 + L177)*(1-L85)*PowerFactor*$H26</f>
        <v>9.8546915890131825E-3</v>
      </c>
      <c r="M212" s="416">
        <f t="shared" si="164"/>
        <v>9.8546915890131825E-3</v>
      </c>
      <c r="N212" s="416">
        <f t="shared" ref="N212:P212" si="165">ABS(N142 + N177)*(1-N85)*PowerFactor*$H26</f>
        <v>8.6404909195934142E-3</v>
      </c>
      <c r="O212" s="416">
        <f t="shared" si="165"/>
        <v>7.7995610843139707E-3</v>
      </c>
      <c r="P212" s="416">
        <f t="shared" si="165"/>
        <v>0</v>
      </c>
      <c r="Q212" s="416">
        <f t="shared" ref="Q212:S212" si="166">ABS(Q142 + Q177)*(1-Q85)*PowerFactor*$H26</f>
        <v>1.1552776856853421E-2</v>
      </c>
      <c r="R212" s="416">
        <f t="shared" si="166"/>
        <v>6.1682423920470372E-3</v>
      </c>
      <c r="S212" s="416">
        <f t="shared" si="166"/>
        <v>5.8954591093662552E-3</v>
      </c>
      <c r="T212" s="416">
        <f t="shared" ref="T212:U212" si="167">ABS(T142 + T177)*(1-T85)*PowerFactor*$H26</f>
        <v>6.1682423920470372E-3</v>
      </c>
      <c r="U212" s="416">
        <f t="shared" si="167"/>
        <v>6.1682423920470372E-3</v>
      </c>
      <c r="V212" s="416">
        <f t="shared" ref="V212:W212" si="168">ABS(V142 + V177)*(1-V85)*PowerFactor*$H26</f>
        <v>5.8954591093662552E-3</v>
      </c>
      <c r="W212" s="416">
        <f t="shared" si="168"/>
        <v>5.8954591093662552E-3</v>
      </c>
      <c r="X212" s="416">
        <f t="shared" ref="X212:Y212" si="169">ABS(X142 + X177)*(1-X85)*PowerFactor*$H26</f>
        <v>5.7729849824483537E-3</v>
      </c>
      <c r="Y212" s="416">
        <f t="shared" si="169"/>
        <v>5.7729849824483537E-3</v>
      </c>
      <c r="Z212" s="348"/>
      <c r="AA212" s="348"/>
    </row>
    <row r="213" spans="3:27" x14ac:dyDescent="0.25">
      <c r="F213" s="293" t="s">
        <v>51</v>
      </c>
      <c r="G213" s="293" t="s">
        <v>258</v>
      </c>
      <c r="H213" s="348"/>
      <c r="I213" s="348"/>
      <c r="J213" s="416">
        <f t="shared" ref="J213:K213" si="170">ABS(J143 + J178)*(1-J86)*PowerFactor*$H27</f>
        <v>0</v>
      </c>
      <c r="K213" s="416">
        <f t="shared" si="170"/>
        <v>0</v>
      </c>
      <c r="L213" s="416">
        <f t="shared" ref="L213:M213" si="171">ABS(L143 + L178)*(1-L86)*PowerFactor*$H27</f>
        <v>0</v>
      </c>
      <c r="M213" s="416">
        <f t="shared" si="171"/>
        <v>0</v>
      </c>
      <c r="N213" s="416">
        <f t="shared" ref="N213:P213" si="172">ABS(N143 + N178)*(1-N86)*PowerFactor*$H27</f>
        <v>0</v>
      </c>
      <c r="O213" s="416">
        <f t="shared" si="172"/>
        <v>0</v>
      </c>
      <c r="P213" s="416">
        <f t="shared" si="172"/>
        <v>0</v>
      </c>
      <c r="Q213" s="416">
        <f t="shared" ref="Q213:S213" si="173">ABS(Q143 + Q178)*(1-Q86)*PowerFactor*$H27</f>
        <v>0</v>
      </c>
      <c r="R213" s="416">
        <f t="shared" si="173"/>
        <v>0</v>
      </c>
      <c r="S213" s="416">
        <f t="shared" si="173"/>
        <v>0</v>
      </c>
      <c r="T213" s="416">
        <f t="shared" ref="T213:U213" si="174">ABS(T143 + T178)*(1-T86)*PowerFactor*$H27</f>
        <v>0</v>
      </c>
      <c r="U213" s="416">
        <f t="shared" si="174"/>
        <v>0</v>
      </c>
      <c r="V213" s="416">
        <f t="shared" ref="V213:W213" si="175">ABS(V143 + V178)*(1-V86)*PowerFactor*$H27</f>
        <v>0</v>
      </c>
      <c r="W213" s="416">
        <f t="shared" si="175"/>
        <v>0</v>
      </c>
      <c r="X213" s="416">
        <f t="shared" ref="X213:Y213" si="176">ABS(X143 + X178)*(1-X86)*PowerFactor*$H27</f>
        <v>0</v>
      </c>
      <c r="Y213" s="416">
        <f t="shared" si="176"/>
        <v>0</v>
      </c>
      <c r="Z213" s="348"/>
      <c r="AA213" s="348"/>
    </row>
    <row r="214" spans="3:27" x14ac:dyDescent="0.25">
      <c r="F214" s="293" t="s">
        <v>48</v>
      </c>
      <c r="G214" s="293" t="s">
        <v>258</v>
      </c>
      <c r="H214" s="348"/>
      <c r="I214" s="348"/>
      <c r="J214" s="416">
        <f t="shared" ref="J214:K214" si="177">ABS(J144 + J179)*(1-J87)*PowerFactor*$H28</f>
        <v>9.56629394182337E-2</v>
      </c>
      <c r="K214" s="416">
        <f t="shared" si="177"/>
        <v>9.56629394182337E-2</v>
      </c>
      <c r="L214" s="416">
        <f t="shared" ref="L214:M214" si="178">ABS(L144 + L179)*(1-L87)*PowerFactor*$H28</f>
        <v>8.0882069359496947E-2</v>
      </c>
      <c r="M214" s="416">
        <f t="shared" si="178"/>
        <v>8.0882069359496947E-2</v>
      </c>
      <c r="N214" s="416">
        <f t="shared" ref="N214:P214" si="179">ABS(N144 + N179)*(1-N87)*PowerFactor*$H28</f>
        <v>5.6733244631444822E-2</v>
      </c>
      <c r="O214" s="416">
        <f t="shared" si="179"/>
        <v>0</v>
      </c>
      <c r="P214" s="416">
        <f t="shared" si="179"/>
        <v>0</v>
      </c>
      <c r="Q214" s="416">
        <f t="shared" ref="Q214:S214" si="180">ABS(Q144 + Q179)*(1-Q87)*PowerFactor*$H28</f>
        <v>9.4819050458420123E-2</v>
      </c>
      <c r="R214" s="416">
        <f t="shared" si="180"/>
        <v>5.0625654235182012E-2</v>
      </c>
      <c r="S214" s="416">
        <f t="shared" si="180"/>
        <v>4.838679407496186E-2</v>
      </c>
      <c r="T214" s="416">
        <f t="shared" ref="T214:U214" si="181">ABS(T144 + T179)*(1-T87)*PowerFactor*$H28</f>
        <v>5.0625654235182012E-2</v>
      </c>
      <c r="U214" s="416">
        <f t="shared" si="181"/>
        <v>5.0625654235182012E-2</v>
      </c>
      <c r="V214" s="416">
        <f t="shared" ref="V214:W214" si="182">ABS(V144 + V179)*(1-V87)*PowerFactor*$H28</f>
        <v>4.838679407496186E-2</v>
      </c>
      <c r="W214" s="416">
        <f t="shared" si="182"/>
        <v>4.838679407496186E-2</v>
      </c>
      <c r="X214" s="416">
        <f t="shared" ref="X214:Y214" si="183">ABS(X144 + X179)*(1-X87)*PowerFactor*$H28</f>
        <v>4.7381591554046691E-2</v>
      </c>
      <c r="Y214" s="416">
        <f t="shared" si="183"/>
        <v>4.7381591554046691E-2</v>
      </c>
      <c r="Z214" s="348"/>
      <c r="AA214" s="348"/>
    </row>
    <row r="215" spans="3:27" x14ac:dyDescent="0.25">
      <c r="F215" s="293" t="s">
        <v>49</v>
      </c>
      <c r="G215" s="293" t="s">
        <v>258</v>
      </c>
      <c r="H215" s="348"/>
      <c r="I215" s="348"/>
      <c r="J215" s="416">
        <f t="shared" ref="J215:K215" si="184">ABS(J145 + J180)*(1-J88)*PowerFactor*$H29</f>
        <v>3.7415940154018508E-2</v>
      </c>
      <c r="K215" s="416">
        <f t="shared" si="184"/>
        <v>3.7415940154018508E-2</v>
      </c>
      <c r="L215" s="416">
        <f t="shared" ref="L215:M215" si="185">ABS(L145 + L180)*(1-L88)*PowerFactor*$H29</f>
        <v>3.1634807430047374E-2</v>
      </c>
      <c r="M215" s="416">
        <f t="shared" si="185"/>
        <v>3.1634807430047374E-2</v>
      </c>
      <c r="N215" s="416">
        <f t="shared" ref="N215:P215" si="186">ABS(N145 + N180)*(1-N88)*PowerFactor*$H29</f>
        <v>0</v>
      </c>
      <c r="O215" s="416">
        <f t="shared" si="186"/>
        <v>0</v>
      </c>
      <c r="P215" s="416">
        <f t="shared" si="186"/>
        <v>0</v>
      </c>
      <c r="Q215" s="416">
        <f t="shared" ref="Q215:S215" si="187">ABS(Q145 + Q180)*(1-Q88)*PowerFactor*$H29</f>
        <v>3.7085876087316789E-2</v>
      </c>
      <c r="R215" s="416">
        <f t="shared" si="187"/>
        <v>1.9800838868647194E-2</v>
      </c>
      <c r="S215" s="416">
        <f t="shared" si="187"/>
        <v>1.892517000171243E-2</v>
      </c>
      <c r="T215" s="416">
        <f t="shared" ref="T215:U215" si="188">ABS(T145 + T180)*(1-T88)*PowerFactor*$H29</f>
        <v>1.9800838868647194E-2</v>
      </c>
      <c r="U215" s="416">
        <f t="shared" si="188"/>
        <v>1.9800838868647194E-2</v>
      </c>
      <c r="V215" s="416">
        <f t="shared" ref="V215:W215" si="189">ABS(V145 + V180)*(1-V88)*PowerFactor*$H29</f>
        <v>1.892517000171243E-2</v>
      </c>
      <c r="W215" s="416">
        <f t="shared" si="189"/>
        <v>1.892517000171243E-2</v>
      </c>
      <c r="X215" s="416">
        <f t="shared" ref="X215:Y215" si="190">ABS(X145 + X180)*(1-X88)*PowerFactor*$H29</f>
        <v>0</v>
      </c>
      <c r="Y215" s="416">
        <f t="shared" si="190"/>
        <v>0</v>
      </c>
      <c r="Z215" s="348"/>
      <c r="AA215" s="348"/>
    </row>
    <row r="216" spans="3:27" x14ac:dyDescent="0.25">
      <c r="F216" s="293" t="s">
        <v>50</v>
      </c>
      <c r="G216" s="293" t="s">
        <v>258</v>
      </c>
      <c r="H216" s="348"/>
      <c r="I216" s="348"/>
      <c r="J216" s="416">
        <f t="shared" ref="J216:K216" si="191">ABS(J146 + J181)*(1-J89)*PowerFactor*$H30</f>
        <v>0</v>
      </c>
      <c r="K216" s="416">
        <f t="shared" si="191"/>
        <v>0</v>
      </c>
      <c r="L216" s="416">
        <f t="shared" ref="L216:M216" si="192">ABS(L146 + L181)*(1-L89)*PowerFactor*$H30</f>
        <v>0</v>
      </c>
      <c r="M216" s="416">
        <f t="shared" si="192"/>
        <v>0</v>
      </c>
      <c r="N216" s="416">
        <f t="shared" ref="N216:P216" si="193">ABS(N146 + N181)*(1-N89)*PowerFactor*$H30</f>
        <v>0</v>
      </c>
      <c r="O216" s="416">
        <f t="shared" si="193"/>
        <v>0</v>
      </c>
      <c r="P216" s="416">
        <f t="shared" si="193"/>
        <v>0</v>
      </c>
      <c r="Q216" s="416">
        <f t="shared" ref="Q216:S216" si="194">ABS(Q146 + Q181)*(1-Q89)*PowerFactor*$H30</f>
        <v>2.2708405917279167E-2</v>
      </c>
      <c r="R216" s="416">
        <f t="shared" si="194"/>
        <v>1.2124440190470683E-2</v>
      </c>
      <c r="S216" s="416">
        <f t="shared" si="194"/>
        <v>0</v>
      </c>
      <c r="T216" s="416">
        <f t="shared" ref="T216:U216" si="195">ABS(T146 + T181)*(1-T89)*PowerFactor*$H30</f>
        <v>1.2124440190470683E-2</v>
      </c>
      <c r="U216" s="416">
        <f t="shared" si="195"/>
        <v>1.2124440190470683E-2</v>
      </c>
      <c r="V216" s="416">
        <f t="shared" ref="V216:W216" si="196">ABS(V146 + V181)*(1-V89)*PowerFactor*$H30</f>
        <v>0</v>
      </c>
      <c r="W216" s="416">
        <f t="shared" si="196"/>
        <v>0</v>
      </c>
      <c r="X216" s="416">
        <f t="shared" ref="X216:Y216" si="197">ABS(X146 + X181)*(1-X89)*PowerFactor*$H30</f>
        <v>0</v>
      </c>
      <c r="Y216" s="416">
        <f t="shared" si="197"/>
        <v>0</v>
      </c>
      <c r="Z216" s="348"/>
      <c r="AA216" s="348"/>
    </row>
    <row r="217" spans="3:27" x14ac:dyDescent="0.25">
      <c r="F217" s="293" t="s">
        <v>124</v>
      </c>
      <c r="G217" s="293" t="s">
        <v>258</v>
      </c>
      <c r="H217" s="348"/>
      <c r="I217" s="348"/>
      <c r="J217" s="417"/>
      <c r="K217" s="417"/>
      <c r="L217" s="417"/>
      <c r="M217" s="417"/>
      <c r="N217" s="417"/>
      <c r="O217" s="417"/>
      <c r="P217" s="417"/>
      <c r="Q217" s="417"/>
      <c r="R217" s="417"/>
      <c r="S217" s="417"/>
      <c r="T217" s="417"/>
      <c r="U217" s="417"/>
      <c r="V217" s="417"/>
      <c r="W217" s="417"/>
      <c r="X217" s="417"/>
      <c r="Y217" s="417"/>
      <c r="Z217" s="348"/>
      <c r="AA217" s="348"/>
    </row>
    <row r="218" spans="3:27" x14ac:dyDescent="0.25">
      <c r="F218" s="93" t="s">
        <v>123</v>
      </c>
      <c r="G218" s="93" t="s">
        <v>258</v>
      </c>
      <c r="H218" s="350"/>
      <c r="I218" s="350"/>
      <c r="J218" s="355"/>
      <c r="K218" s="355"/>
      <c r="L218" s="355"/>
      <c r="M218" s="355"/>
      <c r="N218" s="355"/>
      <c r="O218" s="355"/>
      <c r="P218" s="355"/>
      <c r="Q218" s="355"/>
      <c r="R218" s="355"/>
      <c r="S218" s="355"/>
      <c r="T218" s="355"/>
      <c r="U218" s="355"/>
      <c r="V218" s="355"/>
      <c r="W218" s="355"/>
      <c r="X218" s="355"/>
      <c r="Y218" s="355"/>
      <c r="Z218" s="348"/>
      <c r="AA218" s="348"/>
    </row>
    <row r="219" spans="3:27" x14ac:dyDescent="0.2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25">
      <c r="C220" s="7" t="str">
        <f ca="1">INDEX('Version control'!$H$34:$H$60,MATCH($A$1,'Version control'!$F$34:$F$60,0),1)&amp;"-E: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2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25">
      <c r="D223" s="293"/>
      <c r="F223" s="91" t="s">
        <v>267</v>
      </c>
      <c r="G223" s="91" t="s">
        <v>258</v>
      </c>
      <c r="H223" s="346"/>
      <c r="I223" s="346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8"/>
      <c r="AA223" s="348"/>
    </row>
    <row r="224" spans="3:27" x14ac:dyDescent="0.25">
      <c r="D224" s="293"/>
      <c r="F224" s="293" t="s">
        <v>43</v>
      </c>
      <c r="G224" s="293" t="s">
        <v>258</v>
      </c>
      <c r="H224" s="348"/>
      <c r="I224" s="348"/>
      <c r="J224" s="417"/>
      <c r="K224" s="417"/>
      <c r="L224" s="417"/>
      <c r="M224" s="417"/>
      <c r="N224" s="417"/>
      <c r="O224" s="417"/>
      <c r="P224" s="417"/>
      <c r="Q224" s="417"/>
      <c r="R224" s="417"/>
      <c r="S224" s="417"/>
      <c r="T224" s="417"/>
      <c r="U224" s="417"/>
      <c r="V224" s="417"/>
      <c r="W224" s="417"/>
      <c r="X224" s="417"/>
      <c r="Y224" s="417"/>
      <c r="Z224" s="348"/>
      <c r="AA224" s="348"/>
    </row>
    <row r="225" spans="5:27" s="293" customFormat="1" x14ac:dyDescent="0.25">
      <c r="E225" s="98"/>
      <c r="F225" s="293" t="s">
        <v>44</v>
      </c>
      <c r="G225" s="293" t="s">
        <v>258</v>
      </c>
      <c r="H225" s="348"/>
      <c r="I225" s="348"/>
      <c r="J225" s="416">
        <f t="shared" ref="J225:Y232" si="198">J$78 * J195</f>
        <v>0</v>
      </c>
      <c r="K225" s="416">
        <f t="shared" si="198"/>
        <v>0</v>
      </c>
      <c r="L225" s="416">
        <f t="shared" si="198"/>
        <v>0</v>
      </c>
      <c r="M225" s="416">
        <f t="shared" si="198"/>
        <v>0</v>
      </c>
      <c r="N225" s="416">
        <f t="shared" si="198"/>
        <v>7.1117058058946692E-2</v>
      </c>
      <c r="O225" s="416">
        <f t="shared" si="198"/>
        <v>6.4195639302119523E-2</v>
      </c>
      <c r="P225" s="416">
        <f t="shared" si="198"/>
        <v>5.3393545898068558E-2</v>
      </c>
      <c r="Q225" s="416">
        <f t="shared" si="198"/>
        <v>0</v>
      </c>
      <c r="R225" s="416">
        <f t="shared" si="198"/>
        <v>0</v>
      </c>
      <c r="S225" s="416">
        <f t="shared" si="198"/>
        <v>0</v>
      </c>
      <c r="T225" s="416">
        <f t="shared" si="198"/>
        <v>5.0768788069915263E-2</v>
      </c>
      <c r="U225" s="416">
        <f t="shared" si="198"/>
        <v>0</v>
      </c>
      <c r="V225" s="416">
        <f t="shared" si="198"/>
        <v>4.8523597983790849E-2</v>
      </c>
      <c r="W225" s="416">
        <f t="shared" si="198"/>
        <v>0</v>
      </c>
      <c r="X225" s="416">
        <f t="shared" si="198"/>
        <v>4.7515553455326827E-2</v>
      </c>
      <c r="Y225" s="416">
        <f t="shared" si="198"/>
        <v>0</v>
      </c>
      <c r="Z225" s="348"/>
      <c r="AA225" s="348"/>
    </row>
    <row r="226" spans="5:27" s="293" customFormat="1" x14ac:dyDescent="0.25">
      <c r="E226" s="98"/>
      <c r="F226" s="293" t="s">
        <v>45</v>
      </c>
      <c r="G226" s="293" t="s">
        <v>258</v>
      </c>
      <c r="H226" s="348"/>
      <c r="I226" s="348"/>
      <c r="J226" s="416">
        <f t="shared" si="198"/>
        <v>0</v>
      </c>
      <c r="K226" s="416">
        <f t="shared" si="198"/>
        <v>0</v>
      </c>
      <c r="L226" s="416">
        <f t="shared" si="198"/>
        <v>0</v>
      </c>
      <c r="M226" s="416">
        <f t="shared" si="198"/>
        <v>0</v>
      </c>
      <c r="N226" s="416">
        <f t="shared" si="198"/>
        <v>7.394078698576707E-3</v>
      </c>
      <c r="O226" s="416">
        <f t="shared" si="198"/>
        <v>6.6744550753474463E-3</v>
      </c>
      <c r="P226" s="416">
        <f t="shared" si="198"/>
        <v>5.5513556260883643E-3</v>
      </c>
      <c r="Q226" s="416">
        <f t="shared" si="198"/>
        <v>0</v>
      </c>
      <c r="R226" s="416">
        <f t="shared" si="198"/>
        <v>0</v>
      </c>
      <c r="S226" s="416">
        <f t="shared" si="198"/>
        <v>0</v>
      </c>
      <c r="T226" s="416">
        <f t="shared" si="198"/>
        <v>5.2784581458525485E-3</v>
      </c>
      <c r="U226" s="416">
        <f t="shared" si="198"/>
        <v>0</v>
      </c>
      <c r="V226" s="416">
        <f t="shared" si="198"/>
        <v>5.045024527489032E-3</v>
      </c>
      <c r="W226" s="416">
        <f t="shared" si="198"/>
        <v>0</v>
      </c>
      <c r="X226" s="416">
        <f t="shared" si="198"/>
        <v>4.9402175967952107E-3</v>
      </c>
      <c r="Y226" s="416">
        <f t="shared" si="198"/>
        <v>0</v>
      </c>
      <c r="Z226" s="348"/>
      <c r="AA226" s="348"/>
    </row>
    <row r="227" spans="5:27" s="293" customFormat="1" x14ac:dyDescent="0.25">
      <c r="E227" s="98"/>
      <c r="F227" s="293" t="s">
        <v>46</v>
      </c>
      <c r="G227" s="293" t="s">
        <v>258</v>
      </c>
      <c r="H227" s="348"/>
      <c r="I227" s="348"/>
      <c r="J227" s="416">
        <f t="shared" si="198"/>
        <v>0</v>
      </c>
      <c r="K227" s="416">
        <f t="shared" si="198"/>
        <v>0</v>
      </c>
      <c r="L227" s="416">
        <f t="shared" si="198"/>
        <v>0</v>
      </c>
      <c r="M227" s="416">
        <f t="shared" si="198"/>
        <v>0</v>
      </c>
      <c r="N227" s="416">
        <f t="shared" si="198"/>
        <v>7.5483966733965568E-2</v>
      </c>
      <c r="O227" s="416">
        <f t="shared" si="198"/>
        <v>6.8137541594175066E-2</v>
      </c>
      <c r="P227" s="416">
        <f t="shared" si="198"/>
        <v>3.1988926538901064E-2</v>
      </c>
      <c r="Q227" s="416">
        <f t="shared" si="198"/>
        <v>0</v>
      </c>
      <c r="R227" s="416">
        <f t="shared" si="198"/>
        <v>0</v>
      </c>
      <c r="S227" s="416">
        <f t="shared" si="198"/>
        <v>0</v>
      </c>
      <c r="T227" s="416">
        <f t="shared" si="198"/>
        <v>5.3886221033170666E-2</v>
      </c>
      <c r="U227" s="416">
        <f t="shared" si="198"/>
        <v>0</v>
      </c>
      <c r="V227" s="416">
        <f t="shared" si="198"/>
        <v>5.1503166131884229E-2</v>
      </c>
      <c r="W227" s="416">
        <f t="shared" si="198"/>
        <v>0</v>
      </c>
      <c r="X227" s="416">
        <f t="shared" si="198"/>
        <v>3.5584159175328797E-2</v>
      </c>
      <c r="Y227" s="416">
        <f t="shared" si="198"/>
        <v>0</v>
      </c>
      <c r="Z227" s="348"/>
      <c r="AA227" s="348"/>
    </row>
    <row r="228" spans="5:27" s="293" customFormat="1" x14ac:dyDescent="0.25">
      <c r="E228" s="98"/>
      <c r="F228" s="293" t="s">
        <v>47</v>
      </c>
      <c r="G228" s="293" t="s">
        <v>258</v>
      </c>
      <c r="H228" s="348"/>
      <c r="I228" s="348"/>
      <c r="J228" s="416">
        <f t="shared" si="198"/>
        <v>0</v>
      </c>
      <c r="K228" s="416">
        <f t="shared" si="198"/>
        <v>0</v>
      </c>
      <c r="L228" s="416">
        <f t="shared" si="198"/>
        <v>0</v>
      </c>
      <c r="M228" s="416">
        <f t="shared" si="198"/>
        <v>0</v>
      </c>
      <c r="N228" s="416">
        <f t="shared" si="198"/>
        <v>1.2997199847177975E-2</v>
      </c>
      <c r="O228" s="416">
        <f t="shared" si="198"/>
        <v>1.1732256312338213E-2</v>
      </c>
      <c r="P228" s="416">
        <f t="shared" si="198"/>
        <v>0</v>
      </c>
      <c r="Q228" s="416">
        <f t="shared" si="198"/>
        <v>0</v>
      </c>
      <c r="R228" s="416">
        <f t="shared" si="198"/>
        <v>0</v>
      </c>
      <c r="S228" s="416">
        <f t="shared" si="198"/>
        <v>0</v>
      </c>
      <c r="T228" s="416">
        <f t="shared" si="198"/>
        <v>9.2783939965118255E-3</v>
      </c>
      <c r="U228" s="416">
        <f t="shared" si="198"/>
        <v>0</v>
      </c>
      <c r="V228" s="416">
        <f t="shared" si="198"/>
        <v>8.8680679082184296E-3</v>
      </c>
      <c r="W228" s="416">
        <f t="shared" si="198"/>
        <v>0</v>
      </c>
      <c r="X228" s="416">
        <f t="shared" si="198"/>
        <v>7.4405694064513025E-3</v>
      </c>
      <c r="Y228" s="416">
        <f t="shared" si="198"/>
        <v>0</v>
      </c>
      <c r="Z228" s="348"/>
      <c r="AA228" s="348"/>
    </row>
    <row r="229" spans="5:27" s="293" customFormat="1" x14ac:dyDescent="0.25">
      <c r="E229" s="98"/>
      <c r="F229" s="293" t="s">
        <v>51</v>
      </c>
      <c r="G229" s="293" t="s">
        <v>258</v>
      </c>
      <c r="H229" s="348"/>
      <c r="I229" s="348"/>
      <c r="J229" s="416">
        <f t="shared" si="198"/>
        <v>0</v>
      </c>
      <c r="K229" s="416">
        <f t="shared" si="198"/>
        <v>0</v>
      </c>
      <c r="L229" s="416">
        <f t="shared" si="198"/>
        <v>0</v>
      </c>
      <c r="M229" s="416">
        <f t="shared" si="198"/>
        <v>0</v>
      </c>
      <c r="N229" s="416">
        <f t="shared" si="198"/>
        <v>0</v>
      </c>
      <c r="O229" s="416">
        <f t="shared" si="198"/>
        <v>0</v>
      </c>
      <c r="P229" s="416">
        <f t="shared" si="198"/>
        <v>0</v>
      </c>
      <c r="Q229" s="416">
        <f t="shared" si="198"/>
        <v>0</v>
      </c>
      <c r="R229" s="416">
        <f t="shared" si="198"/>
        <v>0</v>
      </c>
      <c r="S229" s="416">
        <f t="shared" si="198"/>
        <v>0</v>
      </c>
      <c r="T229" s="416">
        <f t="shared" si="198"/>
        <v>0</v>
      </c>
      <c r="U229" s="416">
        <f t="shared" si="198"/>
        <v>0</v>
      </c>
      <c r="V229" s="416">
        <f t="shared" si="198"/>
        <v>0</v>
      </c>
      <c r="W229" s="416">
        <f t="shared" si="198"/>
        <v>0</v>
      </c>
      <c r="X229" s="416">
        <f t="shared" si="198"/>
        <v>0</v>
      </c>
      <c r="Y229" s="416">
        <f t="shared" si="198"/>
        <v>0</v>
      </c>
      <c r="Z229" s="348"/>
      <c r="AA229" s="348"/>
    </row>
    <row r="230" spans="5:27" s="293" customFormat="1" x14ac:dyDescent="0.25">
      <c r="E230" s="98"/>
      <c r="F230" s="293" t="s">
        <v>48</v>
      </c>
      <c r="G230" s="293" t="s">
        <v>258</v>
      </c>
      <c r="H230" s="348"/>
      <c r="I230" s="348"/>
      <c r="J230" s="416">
        <f t="shared" si="198"/>
        <v>0</v>
      </c>
      <c r="K230" s="416">
        <f t="shared" si="198"/>
        <v>0</v>
      </c>
      <c r="L230" s="416">
        <f t="shared" si="198"/>
        <v>0</v>
      </c>
      <c r="M230" s="416">
        <f t="shared" si="198"/>
        <v>0</v>
      </c>
      <c r="N230" s="416">
        <f t="shared" si="198"/>
        <v>5.7488699340935367E-2</v>
      </c>
      <c r="O230" s="416">
        <f t="shared" si="198"/>
        <v>0</v>
      </c>
      <c r="P230" s="416">
        <f t="shared" si="198"/>
        <v>0</v>
      </c>
      <c r="Q230" s="416">
        <f t="shared" si="198"/>
        <v>0</v>
      </c>
      <c r="R230" s="416">
        <f t="shared" si="198"/>
        <v>0</v>
      </c>
      <c r="S230" s="416">
        <f t="shared" si="198"/>
        <v>0</v>
      </c>
      <c r="T230" s="416">
        <f t="shared" si="198"/>
        <v>5.1299780828178092E-2</v>
      </c>
      <c r="U230" s="416">
        <f t="shared" si="198"/>
        <v>0</v>
      </c>
      <c r="V230" s="416">
        <f t="shared" si="198"/>
        <v>4.9031108210325455E-2</v>
      </c>
      <c r="W230" s="416">
        <f t="shared" si="198"/>
        <v>0</v>
      </c>
      <c r="X230" s="416">
        <f t="shared" si="198"/>
        <v>1.8937744989436119E-2</v>
      </c>
      <c r="Y230" s="416">
        <f t="shared" si="198"/>
        <v>0</v>
      </c>
      <c r="Z230" s="348"/>
      <c r="AA230" s="348"/>
    </row>
    <row r="231" spans="5:27" s="293" customFormat="1" x14ac:dyDescent="0.25">
      <c r="E231" s="98"/>
      <c r="F231" s="293" t="s">
        <v>49</v>
      </c>
      <c r="G231" s="293" t="s">
        <v>258</v>
      </c>
      <c r="H231" s="348"/>
      <c r="I231" s="348"/>
      <c r="J231" s="416">
        <f t="shared" si="198"/>
        <v>0</v>
      </c>
      <c r="K231" s="416">
        <f t="shared" si="198"/>
        <v>0</v>
      </c>
      <c r="L231" s="416">
        <f t="shared" si="198"/>
        <v>0</v>
      </c>
      <c r="M231" s="416">
        <f t="shared" si="198"/>
        <v>0</v>
      </c>
      <c r="N231" s="416">
        <f t="shared" si="198"/>
        <v>0</v>
      </c>
      <c r="O231" s="416">
        <f t="shared" si="198"/>
        <v>0</v>
      </c>
      <c r="P231" s="416">
        <f t="shared" si="198"/>
        <v>0</v>
      </c>
      <c r="Q231" s="416">
        <f t="shared" si="198"/>
        <v>0</v>
      </c>
      <c r="R231" s="416">
        <f t="shared" si="198"/>
        <v>0</v>
      </c>
      <c r="S231" s="416">
        <f t="shared" si="198"/>
        <v>0</v>
      </c>
      <c r="T231" s="416">
        <f t="shared" si="198"/>
        <v>8.6086213890426803E-3</v>
      </c>
      <c r="U231" s="416">
        <f t="shared" si="198"/>
        <v>0</v>
      </c>
      <c r="V231" s="416">
        <f t="shared" si="198"/>
        <v>8.2279152084803221E-3</v>
      </c>
      <c r="W231" s="416">
        <f t="shared" si="198"/>
        <v>0</v>
      </c>
      <c r="X231" s="416">
        <f t="shared" si="198"/>
        <v>0</v>
      </c>
      <c r="Y231" s="416">
        <f t="shared" si="198"/>
        <v>0</v>
      </c>
      <c r="Z231" s="348"/>
      <c r="AA231" s="348"/>
    </row>
    <row r="232" spans="5:27" s="293" customFormat="1" x14ac:dyDescent="0.25">
      <c r="E232" s="98"/>
      <c r="F232" s="293" t="s">
        <v>50</v>
      </c>
      <c r="G232" s="293" t="s">
        <v>258</v>
      </c>
      <c r="H232" s="348"/>
      <c r="I232" s="348"/>
      <c r="J232" s="416">
        <f t="shared" si="198"/>
        <v>0</v>
      </c>
      <c r="K232" s="416">
        <f t="shared" si="198"/>
        <v>0</v>
      </c>
      <c r="L232" s="416">
        <f t="shared" si="198"/>
        <v>0</v>
      </c>
      <c r="M232" s="416">
        <f t="shared" si="198"/>
        <v>0</v>
      </c>
      <c r="N232" s="416">
        <f t="shared" si="198"/>
        <v>0</v>
      </c>
      <c r="O232" s="416">
        <f t="shared" si="198"/>
        <v>0</v>
      </c>
      <c r="P232" s="416">
        <f t="shared" si="198"/>
        <v>0</v>
      </c>
      <c r="Q232" s="416">
        <f t="shared" si="198"/>
        <v>0</v>
      </c>
      <c r="R232" s="416">
        <f t="shared" si="198"/>
        <v>0</v>
      </c>
      <c r="S232" s="416">
        <f t="shared" si="198"/>
        <v>0</v>
      </c>
      <c r="T232" s="416">
        <f t="shared" si="198"/>
        <v>1.259345780969007E-3</v>
      </c>
      <c r="U232" s="416">
        <f t="shared" si="198"/>
        <v>0</v>
      </c>
      <c r="V232" s="416">
        <f t="shared" si="198"/>
        <v>0</v>
      </c>
      <c r="W232" s="416">
        <f t="shared" si="198"/>
        <v>0</v>
      </c>
      <c r="X232" s="416">
        <f t="shared" si="198"/>
        <v>0</v>
      </c>
      <c r="Y232" s="416">
        <f t="shared" si="198"/>
        <v>0</v>
      </c>
      <c r="Z232" s="348"/>
      <c r="AA232" s="348"/>
    </row>
    <row r="233" spans="5:27" s="293" customFormat="1" x14ac:dyDescent="0.25">
      <c r="E233" s="98"/>
      <c r="F233" s="293" t="s">
        <v>124</v>
      </c>
      <c r="G233" s="293" t="s">
        <v>258</v>
      </c>
      <c r="H233" s="348"/>
      <c r="I233" s="348"/>
      <c r="J233" s="417"/>
      <c r="K233" s="417"/>
      <c r="L233" s="417"/>
      <c r="M233" s="417"/>
      <c r="N233" s="417"/>
      <c r="O233" s="417"/>
      <c r="P233" s="417"/>
      <c r="Q233" s="417"/>
      <c r="R233" s="417"/>
      <c r="S233" s="417"/>
      <c r="T233" s="417"/>
      <c r="U233" s="417"/>
      <c r="V233" s="417"/>
      <c r="W233" s="417"/>
      <c r="X233" s="417"/>
      <c r="Y233" s="417"/>
      <c r="Z233" s="348"/>
      <c r="AA233" s="348"/>
    </row>
    <row r="234" spans="5:27" s="293" customFormat="1" x14ac:dyDescent="0.25">
      <c r="E234" s="98"/>
      <c r="F234" s="93" t="s">
        <v>123</v>
      </c>
      <c r="G234" s="93" t="s">
        <v>258</v>
      </c>
      <c r="H234" s="350"/>
      <c r="I234" s="350"/>
      <c r="J234" s="355"/>
      <c r="K234" s="355"/>
      <c r="L234" s="355"/>
      <c r="M234" s="355"/>
      <c r="N234" s="355"/>
      <c r="O234" s="355"/>
      <c r="P234" s="355"/>
      <c r="Q234" s="355"/>
      <c r="R234" s="355"/>
      <c r="S234" s="355"/>
      <c r="T234" s="355"/>
      <c r="U234" s="355"/>
      <c r="V234" s="355"/>
      <c r="W234" s="355"/>
      <c r="X234" s="355"/>
      <c r="Y234" s="355"/>
      <c r="Z234" s="348"/>
      <c r="AA234" s="348"/>
    </row>
    <row r="235" spans="5:27" s="293" customFormat="1" x14ac:dyDescent="0.2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2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25">
      <c r="E237" s="98"/>
      <c r="F237" s="91" t="s">
        <v>267</v>
      </c>
      <c r="G237" s="91" t="s">
        <v>258</v>
      </c>
      <c r="H237" s="346"/>
      <c r="I237" s="346"/>
      <c r="J237" s="359">
        <f t="shared" ref="J237:Y246" si="199">J$78 * J207</f>
        <v>0</v>
      </c>
      <c r="K237" s="359">
        <f t="shared" si="199"/>
        <v>0</v>
      </c>
      <c r="L237" s="359">
        <f t="shared" si="199"/>
        <v>0</v>
      </c>
      <c r="M237" s="359">
        <f t="shared" si="199"/>
        <v>0</v>
      </c>
      <c r="N237" s="359">
        <f t="shared" si="199"/>
        <v>4.3039502431743863E-2</v>
      </c>
      <c r="O237" s="359">
        <f t="shared" si="199"/>
        <v>3.8850712462835647E-2</v>
      </c>
      <c r="P237" s="359">
        <f t="shared" si="199"/>
        <v>3.2313367724162378E-2</v>
      </c>
      <c r="Q237" s="359">
        <f t="shared" si="199"/>
        <v>0</v>
      </c>
      <c r="R237" s="359">
        <f t="shared" si="199"/>
        <v>0</v>
      </c>
      <c r="S237" s="359">
        <f t="shared" si="199"/>
        <v>0</v>
      </c>
      <c r="T237" s="359">
        <f t="shared" si="199"/>
        <v>3.0724884257454482E-2</v>
      </c>
      <c r="U237" s="359">
        <f t="shared" si="199"/>
        <v>0</v>
      </c>
      <c r="V237" s="359">
        <f t="shared" si="199"/>
        <v>2.9366112300220477E-2</v>
      </c>
      <c r="W237" s="359">
        <f t="shared" si="199"/>
        <v>0</v>
      </c>
      <c r="X237" s="359">
        <f t="shared" si="199"/>
        <v>2.8756051421462359E-2</v>
      </c>
      <c r="Y237" s="359">
        <f t="shared" si="199"/>
        <v>0</v>
      </c>
      <c r="Z237" s="348"/>
      <c r="AA237" s="348"/>
    </row>
    <row r="238" spans="5:27" s="293" customFormat="1" x14ac:dyDescent="0.25">
      <c r="E238" s="98"/>
      <c r="F238" s="293" t="s">
        <v>43</v>
      </c>
      <c r="G238" s="293" t="s">
        <v>258</v>
      </c>
      <c r="H238" s="348"/>
      <c r="I238" s="348"/>
      <c r="J238" s="416">
        <f t="shared" si="199"/>
        <v>0</v>
      </c>
      <c r="K238" s="416">
        <f t="shared" si="199"/>
        <v>0</v>
      </c>
      <c r="L238" s="416">
        <f t="shared" si="199"/>
        <v>0</v>
      </c>
      <c r="M238" s="416">
        <f t="shared" si="199"/>
        <v>0</v>
      </c>
      <c r="N238" s="416">
        <f t="shared" si="199"/>
        <v>0</v>
      </c>
      <c r="O238" s="416">
        <f t="shared" si="199"/>
        <v>0</v>
      </c>
      <c r="P238" s="416">
        <f t="shared" si="199"/>
        <v>0</v>
      </c>
      <c r="Q238" s="416">
        <f t="shared" si="199"/>
        <v>0</v>
      </c>
      <c r="R238" s="416">
        <f t="shared" si="199"/>
        <v>0</v>
      </c>
      <c r="S238" s="416">
        <f t="shared" si="199"/>
        <v>0</v>
      </c>
      <c r="T238" s="416">
        <f t="shared" si="199"/>
        <v>0</v>
      </c>
      <c r="U238" s="416">
        <f t="shared" si="199"/>
        <v>0</v>
      </c>
      <c r="V238" s="416">
        <f t="shared" si="199"/>
        <v>0</v>
      </c>
      <c r="W238" s="416">
        <f t="shared" si="199"/>
        <v>0</v>
      </c>
      <c r="X238" s="416">
        <f t="shared" si="199"/>
        <v>0</v>
      </c>
      <c r="Y238" s="416">
        <f t="shared" si="199"/>
        <v>0</v>
      </c>
      <c r="Z238" s="348"/>
      <c r="AA238" s="348"/>
    </row>
    <row r="239" spans="5:27" s="293" customFormat="1" x14ac:dyDescent="0.25">
      <c r="E239" s="98"/>
      <c r="F239" s="293" t="s">
        <v>44</v>
      </c>
      <c r="G239" s="293" t="s">
        <v>258</v>
      </c>
      <c r="H239" s="348"/>
      <c r="I239" s="348"/>
      <c r="J239" s="416">
        <f t="shared" si="199"/>
        <v>0</v>
      </c>
      <c r="K239" s="416">
        <f t="shared" si="199"/>
        <v>0</v>
      </c>
      <c r="L239" s="416">
        <f t="shared" si="199"/>
        <v>0</v>
      </c>
      <c r="M239" s="416">
        <f t="shared" si="199"/>
        <v>0</v>
      </c>
      <c r="N239" s="416">
        <f t="shared" si="199"/>
        <v>4.7278360078455442E-2</v>
      </c>
      <c r="O239" s="416">
        <f t="shared" si="199"/>
        <v>4.2677026204832366E-2</v>
      </c>
      <c r="P239" s="416">
        <f t="shared" si="199"/>
        <v>3.5495834019765853E-2</v>
      </c>
      <c r="Q239" s="416">
        <f t="shared" si="199"/>
        <v>0</v>
      </c>
      <c r="R239" s="416">
        <f t="shared" si="199"/>
        <v>0</v>
      </c>
      <c r="S239" s="416">
        <f t="shared" si="199"/>
        <v>0</v>
      </c>
      <c r="T239" s="416">
        <f t="shared" si="199"/>
        <v>3.3750904615974742E-2</v>
      </c>
      <c r="U239" s="416">
        <f t="shared" si="199"/>
        <v>0</v>
      </c>
      <c r="V239" s="416">
        <f t="shared" si="199"/>
        <v>3.2258310458770069E-2</v>
      </c>
      <c r="W239" s="416">
        <f t="shared" si="199"/>
        <v>0</v>
      </c>
      <c r="X239" s="416">
        <f t="shared" si="199"/>
        <v>3.1588166143290429E-2</v>
      </c>
      <c r="Y239" s="416">
        <f t="shared" si="199"/>
        <v>0</v>
      </c>
      <c r="Z239" s="348"/>
      <c r="AA239" s="348"/>
    </row>
    <row r="240" spans="5:27" s="293" customFormat="1" x14ac:dyDescent="0.25">
      <c r="E240" s="98"/>
      <c r="F240" s="293" t="s">
        <v>45</v>
      </c>
      <c r="G240" s="293" t="s">
        <v>258</v>
      </c>
      <c r="H240" s="348"/>
      <c r="I240" s="348"/>
      <c r="J240" s="416">
        <f t="shared" si="199"/>
        <v>0</v>
      </c>
      <c r="K240" s="416">
        <f t="shared" si="199"/>
        <v>0</v>
      </c>
      <c r="L240" s="416">
        <f t="shared" si="199"/>
        <v>0</v>
      </c>
      <c r="M240" s="416">
        <f t="shared" si="199"/>
        <v>0</v>
      </c>
      <c r="N240" s="416">
        <f t="shared" si="199"/>
        <v>4.9155564740879874E-3</v>
      </c>
      <c r="O240" s="416">
        <f t="shared" si="199"/>
        <v>4.4371533214745112E-3</v>
      </c>
      <c r="P240" s="416">
        <f t="shared" si="199"/>
        <v>3.6905209154774249E-3</v>
      </c>
      <c r="Q240" s="416">
        <f t="shared" si="199"/>
        <v>0</v>
      </c>
      <c r="R240" s="416">
        <f t="shared" si="199"/>
        <v>0</v>
      </c>
      <c r="S240" s="416">
        <f t="shared" si="199"/>
        <v>0</v>
      </c>
      <c r="T240" s="416">
        <f t="shared" si="199"/>
        <v>3.5090996687717761E-3</v>
      </c>
      <c r="U240" s="416">
        <f t="shared" si="199"/>
        <v>0</v>
      </c>
      <c r="V240" s="416">
        <f t="shared" si="199"/>
        <v>3.3539138530950456E-3</v>
      </c>
      <c r="W240" s="416">
        <f t="shared" si="199"/>
        <v>0</v>
      </c>
      <c r="X240" s="416">
        <f t="shared" si="199"/>
        <v>3.2842385889136566E-3</v>
      </c>
      <c r="Y240" s="416">
        <f t="shared" si="199"/>
        <v>0</v>
      </c>
      <c r="Z240" s="348"/>
      <c r="AA240" s="348"/>
    </row>
    <row r="241" spans="2:27" x14ac:dyDescent="0.25">
      <c r="D241" s="293"/>
      <c r="F241" s="293" t="s">
        <v>46</v>
      </c>
      <c r="G241" s="293" t="s">
        <v>258</v>
      </c>
      <c r="H241" s="348"/>
      <c r="I241" s="348"/>
      <c r="J241" s="416">
        <f t="shared" si="199"/>
        <v>0</v>
      </c>
      <c r="K241" s="416">
        <f t="shared" si="199"/>
        <v>0</v>
      </c>
      <c r="L241" s="416">
        <f t="shared" si="199"/>
        <v>0</v>
      </c>
      <c r="M241" s="416">
        <f t="shared" si="199"/>
        <v>0</v>
      </c>
      <c r="N241" s="416">
        <f t="shared" si="199"/>
        <v>5.0181464993118027E-2</v>
      </c>
      <c r="O241" s="416">
        <f t="shared" si="199"/>
        <v>4.5297588430612538E-2</v>
      </c>
      <c r="P241" s="416">
        <f t="shared" si="199"/>
        <v>3.01403508803362E-2</v>
      </c>
      <c r="Q241" s="416">
        <f t="shared" si="199"/>
        <v>0</v>
      </c>
      <c r="R241" s="416">
        <f t="shared" si="199"/>
        <v>0</v>
      </c>
      <c r="S241" s="416">
        <f t="shared" si="199"/>
        <v>0</v>
      </c>
      <c r="T241" s="416">
        <f t="shared" si="199"/>
        <v>3.5823362647563584E-2</v>
      </c>
      <c r="U241" s="416">
        <f t="shared" si="199"/>
        <v>0</v>
      </c>
      <c r="V241" s="416">
        <f t="shared" si="199"/>
        <v>3.4239116465496239E-2</v>
      </c>
      <c r="W241" s="416">
        <f t="shared" si="199"/>
        <v>0</v>
      </c>
      <c r="X241" s="416">
        <f t="shared" si="199"/>
        <v>3.3527822261302735E-2</v>
      </c>
      <c r="Y241" s="416">
        <f t="shared" si="199"/>
        <v>0</v>
      </c>
      <c r="Z241" s="348"/>
      <c r="AA241" s="348"/>
    </row>
    <row r="242" spans="2:27" x14ac:dyDescent="0.25">
      <c r="D242" s="293"/>
      <c r="F242" s="293" t="s">
        <v>47</v>
      </c>
      <c r="G242" s="293" t="s">
        <v>258</v>
      </c>
      <c r="H242" s="348"/>
      <c r="I242" s="348"/>
      <c r="J242" s="416">
        <f t="shared" si="199"/>
        <v>0</v>
      </c>
      <c r="K242" s="416">
        <f t="shared" si="199"/>
        <v>0</v>
      </c>
      <c r="L242" s="416">
        <f t="shared" si="199"/>
        <v>0</v>
      </c>
      <c r="M242" s="416">
        <f t="shared" si="199"/>
        <v>0</v>
      </c>
      <c r="N242" s="416">
        <f t="shared" si="199"/>
        <v>8.6404909195934142E-3</v>
      </c>
      <c r="O242" s="416">
        <f t="shared" si="199"/>
        <v>7.7995610843139707E-3</v>
      </c>
      <c r="P242" s="416">
        <f t="shared" si="199"/>
        <v>0</v>
      </c>
      <c r="Q242" s="416">
        <f t="shared" si="199"/>
        <v>0</v>
      </c>
      <c r="R242" s="416">
        <f t="shared" si="199"/>
        <v>0</v>
      </c>
      <c r="S242" s="416">
        <f t="shared" si="199"/>
        <v>0</v>
      </c>
      <c r="T242" s="416">
        <f t="shared" si="199"/>
        <v>6.1682423920470372E-3</v>
      </c>
      <c r="U242" s="416">
        <f t="shared" si="199"/>
        <v>0</v>
      </c>
      <c r="V242" s="416">
        <f t="shared" si="199"/>
        <v>5.8954591093662552E-3</v>
      </c>
      <c r="W242" s="416">
        <f t="shared" si="199"/>
        <v>0</v>
      </c>
      <c r="X242" s="416">
        <f t="shared" si="199"/>
        <v>5.7729849824483537E-3</v>
      </c>
      <c r="Y242" s="416">
        <f t="shared" si="199"/>
        <v>0</v>
      </c>
      <c r="Z242" s="348"/>
      <c r="AA242" s="348"/>
    </row>
    <row r="243" spans="2:27" x14ac:dyDescent="0.25">
      <c r="D243" s="293"/>
      <c r="F243" s="293" t="s">
        <v>51</v>
      </c>
      <c r="G243" s="293" t="s">
        <v>258</v>
      </c>
      <c r="H243" s="348"/>
      <c r="I243" s="348"/>
      <c r="J243" s="416">
        <f t="shared" si="199"/>
        <v>0</v>
      </c>
      <c r="K243" s="416">
        <f t="shared" si="199"/>
        <v>0</v>
      </c>
      <c r="L243" s="416">
        <f t="shared" si="199"/>
        <v>0</v>
      </c>
      <c r="M243" s="416">
        <f t="shared" si="199"/>
        <v>0</v>
      </c>
      <c r="N243" s="416">
        <f t="shared" si="199"/>
        <v>0</v>
      </c>
      <c r="O243" s="416">
        <f t="shared" si="199"/>
        <v>0</v>
      </c>
      <c r="P243" s="416">
        <f t="shared" si="199"/>
        <v>0</v>
      </c>
      <c r="Q243" s="416">
        <f t="shared" si="199"/>
        <v>0</v>
      </c>
      <c r="R243" s="416">
        <f t="shared" si="199"/>
        <v>0</v>
      </c>
      <c r="S243" s="416">
        <f t="shared" si="199"/>
        <v>0</v>
      </c>
      <c r="T243" s="416">
        <f t="shared" si="199"/>
        <v>0</v>
      </c>
      <c r="U243" s="416">
        <f t="shared" si="199"/>
        <v>0</v>
      </c>
      <c r="V243" s="416">
        <f t="shared" si="199"/>
        <v>0</v>
      </c>
      <c r="W243" s="416">
        <f t="shared" si="199"/>
        <v>0</v>
      </c>
      <c r="X243" s="416">
        <f t="shared" si="199"/>
        <v>0</v>
      </c>
      <c r="Y243" s="416">
        <f t="shared" si="199"/>
        <v>0</v>
      </c>
      <c r="Z243" s="348"/>
      <c r="AA243" s="348"/>
    </row>
    <row r="244" spans="2:27" x14ac:dyDescent="0.25">
      <c r="D244" s="293"/>
      <c r="F244" s="293" t="s">
        <v>48</v>
      </c>
      <c r="G244" s="293" t="s">
        <v>258</v>
      </c>
      <c r="H244" s="348"/>
      <c r="I244" s="348"/>
      <c r="J244" s="416">
        <f t="shared" si="199"/>
        <v>0</v>
      </c>
      <c r="K244" s="416">
        <f t="shared" si="199"/>
        <v>0</v>
      </c>
      <c r="L244" s="416">
        <f t="shared" si="199"/>
        <v>0</v>
      </c>
      <c r="M244" s="416">
        <f t="shared" si="199"/>
        <v>0</v>
      </c>
      <c r="N244" s="416">
        <f t="shared" si="199"/>
        <v>5.6733244631444822E-2</v>
      </c>
      <c r="O244" s="416">
        <f t="shared" si="199"/>
        <v>0</v>
      </c>
      <c r="P244" s="416">
        <f t="shared" si="199"/>
        <v>0</v>
      </c>
      <c r="Q244" s="416">
        <f t="shared" si="199"/>
        <v>0</v>
      </c>
      <c r="R244" s="416">
        <f t="shared" si="199"/>
        <v>0</v>
      </c>
      <c r="S244" s="416">
        <f t="shared" si="199"/>
        <v>0</v>
      </c>
      <c r="T244" s="416">
        <f t="shared" si="199"/>
        <v>5.0625654235182012E-2</v>
      </c>
      <c r="U244" s="416">
        <f t="shared" si="199"/>
        <v>0</v>
      </c>
      <c r="V244" s="416">
        <f t="shared" si="199"/>
        <v>4.838679407496186E-2</v>
      </c>
      <c r="W244" s="416">
        <f t="shared" si="199"/>
        <v>0</v>
      </c>
      <c r="X244" s="416">
        <f t="shared" si="199"/>
        <v>4.7381591554046691E-2</v>
      </c>
      <c r="Y244" s="416">
        <f t="shared" si="199"/>
        <v>0</v>
      </c>
      <c r="Z244" s="348"/>
      <c r="AA244" s="348"/>
    </row>
    <row r="245" spans="2:27" x14ac:dyDescent="0.25">
      <c r="D245" s="293"/>
      <c r="F245" s="293" t="s">
        <v>49</v>
      </c>
      <c r="G245" s="293" t="s">
        <v>258</v>
      </c>
      <c r="H245" s="348"/>
      <c r="I245" s="348"/>
      <c r="J245" s="416">
        <f t="shared" si="199"/>
        <v>0</v>
      </c>
      <c r="K245" s="416">
        <f t="shared" si="199"/>
        <v>0</v>
      </c>
      <c r="L245" s="416">
        <f t="shared" si="199"/>
        <v>0</v>
      </c>
      <c r="M245" s="416">
        <f t="shared" si="199"/>
        <v>0</v>
      </c>
      <c r="N245" s="416">
        <f t="shared" si="199"/>
        <v>0</v>
      </c>
      <c r="O245" s="416">
        <f t="shared" si="199"/>
        <v>0</v>
      </c>
      <c r="P245" s="416">
        <f t="shared" si="199"/>
        <v>0</v>
      </c>
      <c r="Q245" s="416">
        <f t="shared" si="199"/>
        <v>0</v>
      </c>
      <c r="R245" s="416">
        <f t="shared" si="199"/>
        <v>0</v>
      </c>
      <c r="S245" s="416">
        <f t="shared" si="199"/>
        <v>0</v>
      </c>
      <c r="T245" s="416">
        <f t="shared" si="199"/>
        <v>1.9800838868647194E-2</v>
      </c>
      <c r="U245" s="416">
        <f t="shared" si="199"/>
        <v>0</v>
      </c>
      <c r="V245" s="416">
        <f t="shared" si="199"/>
        <v>1.892517000171243E-2</v>
      </c>
      <c r="W245" s="416">
        <f t="shared" si="199"/>
        <v>0</v>
      </c>
      <c r="X245" s="416">
        <f t="shared" si="199"/>
        <v>0</v>
      </c>
      <c r="Y245" s="416">
        <f t="shared" si="199"/>
        <v>0</v>
      </c>
      <c r="Z245" s="348"/>
      <c r="AA245" s="348"/>
    </row>
    <row r="246" spans="2:27" x14ac:dyDescent="0.25">
      <c r="D246" s="293"/>
      <c r="F246" s="293" t="s">
        <v>50</v>
      </c>
      <c r="G246" s="293" t="s">
        <v>258</v>
      </c>
      <c r="H246" s="348"/>
      <c r="I246" s="348"/>
      <c r="J246" s="416">
        <f t="shared" si="199"/>
        <v>0</v>
      </c>
      <c r="K246" s="416">
        <f t="shared" si="199"/>
        <v>0</v>
      </c>
      <c r="L246" s="416">
        <f t="shared" si="199"/>
        <v>0</v>
      </c>
      <c r="M246" s="416">
        <f t="shared" si="199"/>
        <v>0</v>
      </c>
      <c r="N246" s="416">
        <f t="shared" si="199"/>
        <v>0</v>
      </c>
      <c r="O246" s="416">
        <f t="shared" si="199"/>
        <v>0</v>
      </c>
      <c r="P246" s="416">
        <f t="shared" si="199"/>
        <v>0</v>
      </c>
      <c r="Q246" s="416">
        <f t="shared" si="199"/>
        <v>0</v>
      </c>
      <c r="R246" s="416">
        <f t="shared" si="199"/>
        <v>0</v>
      </c>
      <c r="S246" s="416">
        <f t="shared" si="199"/>
        <v>0</v>
      </c>
      <c r="T246" s="416">
        <f t="shared" si="199"/>
        <v>1.2124440190470683E-2</v>
      </c>
      <c r="U246" s="416">
        <f t="shared" si="199"/>
        <v>0</v>
      </c>
      <c r="V246" s="416">
        <f t="shared" si="199"/>
        <v>0</v>
      </c>
      <c r="W246" s="416">
        <f t="shared" si="199"/>
        <v>0</v>
      </c>
      <c r="X246" s="416">
        <f t="shared" si="199"/>
        <v>0</v>
      </c>
      <c r="Y246" s="416">
        <f t="shared" si="199"/>
        <v>0</v>
      </c>
      <c r="Z246" s="348"/>
      <c r="AA246" s="348"/>
    </row>
    <row r="247" spans="2:27" x14ac:dyDescent="0.25">
      <c r="D247" s="293"/>
      <c r="F247" s="293" t="s">
        <v>124</v>
      </c>
      <c r="G247" s="293" t="s">
        <v>258</v>
      </c>
      <c r="H247" s="348"/>
      <c r="I247" s="348"/>
      <c r="J247" s="417"/>
      <c r="K247" s="417"/>
      <c r="L247" s="417"/>
      <c r="M247" s="417"/>
      <c r="N247" s="417"/>
      <c r="O247" s="417"/>
      <c r="P247" s="417"/>
      <c r="Q247" s="417"/>
      <c r="R247" s="417"/>
      <c r="S247" s="417"/>
      <c r="T247" s="417"/>
      <c r="U247" s="417"/>
      <c r="V247" s="417"/>
      <c r="W247" s="417"/>
      <c r="X247" s="417"/>
      <c r="Y247" s="417"/>
      <c r="Z247" s="348"/>
      <c r="AA247" s="348"/>
    </row>
    <row r="248" spans="2:27" x14ac:dyDescent="0.25">
      <c r="D248" s="293"/>
      <c r="F248" s="93" t="s">
        <v>123</v>
      </c>
      <c r="G248" s="93" t="s">
        <v>258</v>
      </c>
      <c r="H248" s="350"/>
      <c r="I248" s="350"/>
      <c r="J248" s="355"/>
      <c r="K248" s="355"/>
      <c r="L248" s="355"/>
      <c r="M248" s="355"/>
      <c r="N248" s="355"/>
      <c r="O248" s="355"/>
      <c r="P248" s="355"/>
      <c r="Q248" s="355"/>
      <c r="R248" s="355"/>
      <c r="S248" s="355"/>
      <c r="T248" s="355"/>
      <c r="U248" s="355"/>
      <c r="V248" s="355"/>
      <c r="W248" s="355"/>
      <c r="X248" s="355"/>
      <c r="Y248" s="355"/>
      <c r="Z248" s="348"/>
      <c r="AA248" s="348"/>
    </row>
    <row r="249" spans="2:27" x14ac:dyDescent="0.2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25">
      <c r="E250" s="293" t="s">
        <v>422</v>
      </c>
      <c r="G250" s="293" t="s">
        <v>258</v>
      </c>
      <c r="H250" s="348"/>
      <c r="I250" s="348" t="s">
        <v>359</v>
      </c>
      <c r="J250" s="349">
        <f t="shared" ref="J250:Y250" si="200">SUM(J223:J234,J237:J248)</f>
        <v>0</v>
      </c>
      <c r="K250" s="349">
        <f t="shared" si="200"/>
        <v>0</v>
      </c>
      <c r="L250" s="349">
        <f t="shared" si="200"/>
        <v>0</v>
      </c>
      <c r="M250" s="349">
        <f t="shared" si="200"/>
        <v>0</v>
      </c>
      <c r="N250" s="349">
        <f t="shared" si="200"/>
        <v>0.43526962220804583</v>
      </c>
      <c r="O250" s="349">
        <f t="shared" si="200"/>
        <v>0.28980193378804925</v>
      </c>
      <c r="P250" s="349">
        <f t="shared" si="200"/>
        <v>0.19257390160279983</v>
      </c>
      <c r="Q250" s="349">
        <f t="shared" si="200"/>
        <v>0</v>
      </c>
      <c r="R250" s="349">
        <f t="shared" si="200"/>
        <v>0</v>
      </c>
      <c r="S250" s="349">
        <f t="shared" si="200"/>
        <v>0</v>
      </c>
      <c r="T250" s="349">
        <f t="shared" si="200"/>
        <v>0.37290703611975162</v>
      </c>
      <c r="U250" s="349">
        <f t="shared" si="200"/>
        <v>0</v>
      </c>
      <c r="V250" s="349">
        <f t="shared" si="200"/>
        <v>0.3436237562338107</v>
      </c>
      <c r="W250" s="349">
        <f t="shared" si="200"/>
        <v>0</v>
      </c>
      <c r="X250" s="349">
        <f t="shared" si="200"/>
        <v>0.26472909957480251</v>
      </c>
      <c r="Y250" s="349">
        <f t="shared" si="200"/>
        <v>0</v>
      </c>
      <c r="Z250" s="348"/>
      <c r="AA250" s="348" t="s">
        <v>806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3" t="s">
        <v>416</v>
      </c>
      <c r="G254" s="122" t="s">
        <v>589</v>
      </c>
      <c r="H254" s="310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00000000-0004-0000-1D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4">
    <tabColor theme="4" tint="0.59999389629810485"/>
    <pageSetUpPr fitToPage="1"/>
  </sheetPr>
  <dimension ref="A1:LC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404</v>
      </c>
      <c r="E9" s="293"/>
    </row>
    <row r="10" spans="1:27" x14ac:dyDescent="0.25">
      <c r="D10" s="299" t="s">
        <v>825</v>
      </c>
      <c r="E10" s="293"/>
    </row>
    <row r="11" spans="1:27" x14ac:dyDescent="0.25">
      <c r="D11" s="82" t="s">
        <v>405</v>
      </c>
      <c r="E11" s="293"/>
    </row>
    <row r="12" spans="1:27" x14ac:dyDescent="0.25">
      <c r="D12" s="299" t="s">
        <v>826</v>
      </c>
      <c r="E12" s="293"/>
    </row>
    <row r="14" spans="1:27" x14ac:dyDescent="0.25">
      <c r="B14" s="95" t="s">
        <v>660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control'!$H$34:$H$60,MATCH($A$1,'Version control'!$F$34:$F$60,0),1)&amp;"-A: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3"/>
      <c r="E17" s="96"/>
      <c r="I17" s="293" t="s">
        <v>359</v>
      </c>
      <c r="AA17" s="293" t="s">
        <v>827</v>
      </c>
    </row>
    <row r="18" spans="3:27" x14ac:dyDescent="0.25">
      <c r="C18" s="86"/>
      <c r="E18" s="293" t="s">
        <v>402</v>
      </c>
      <c r="G18" s="293" t="s">
        <v>74</v>
      </c>
      <c r="J18" s="273">
        <f>'Volume adjustments'!J275</f>
        <v>1422018.8938824672</v>
      </c>
      <c r="K18" s="273">
        <f>'Volume adjustments'!K275</f>
        <v>3156</v>
      </c>
      <c r="L18" s="273">
        <f>'Volume adjustments'!L275</f>
        <v>101402.97544318593</v>
      </c>
      <c r="M18" s="273">
        <f>'Volume adjustments'!M275</f>
        <v>997</v>
      </c>
      <c r="N18" s="273">
        <f>'Volume adjustments'!N275</f>
        <v>5541.9855220795371</v>
      </c>
      <c r="O18" s="273">
        <f>'Volume adjustments'!O275</f>
        <v>3090.3028673264839</v>
      </c>
      <c r="P18" s="273">
        <f>'Volume adjustments'!P275</f>
        <v>814.99528425753192</v>
      </c>
      <c r="Q18" s="273">
        <f>'Volume adjustments'!Q275</f>
        <v>609.29602287087573</v>
      </c>
      <c r="R18" s="273">
        <f>'Volume adjustments'!R275</f>
        <v>283</v>
      </c>
      <c r="S18" s="273">
        <f>'Volume adjustments'!S275</f>
        <v>25</v>
      </c>
      <c r="T18" s="273">
        <f>'Volume adjustments'!T275</f>
        <v>317</v>
      </c>
      <c r="U18" s="273">
        <f>'Volume adjustments'!U275</f>
        <v>0</v>
      </c>
      <c r="V18" s="273">
        <f>'Volume adjustments'!V275</f>
        <v>41</v>
      </c>
      <c r="W18" s="273">
        <f>'Volume adjustments'!W275</f>
        <v>0</v>
      </c>
      <c r="X18" s="273">
        <f>'Volume adjustments'!X275</f>
        <v>138</v>
      </c>
      <c r="Y18" s="273">
        <f>'Volume adjustments'!Y275</f>
        <v>0</v>
      </c>
    </row>
    <row r="19" spans="3:27" x14ac:dyDescent="0.2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25">
      <c r="C20" s="86"/>
      <c r="E20" s="293" t="s">
        <v>247</v>
      </c>
      <c r="G20" s="293" t="s">
        <v>102</v>
      </c>
      <c r="H20" s="90"/>
      <c r="J20" s="273">
        <f>'System peak demand'!J200</f>
        <v>1297.1811392032987</v>
      </c>
      <c r="K20" s="273">
        <f>'System peak demand'!K200</f>
        <v>10.945522251202288</v>
      </c>
      <c r="L20" s="273">
        <f>'System peak demand'!L200</f>
        <v>386.22286626394623</v>
      </c>
      <c r="M20" s="273">
        <f>'System peak demand'!M200</f>
        <v>2.6883229243072342</v>
      </c>
      <c r="N20" s="273">
        <f>'System peak demand'!N200</f>
        <v>167.93021264395929</v>
      </c>
      <c r="O20" s="273">
        <f>'System peak demand'!O200</f>
        <v>215.65352439243728</v>
      </c>
      <c r="P20" s="273">
        <f>'System peak demand'!P200</f>
        <v>272.85503303289823</v>
      </c>
      <c r="Q20" s="273">
        <f>'System peak demand'!Q200</f>
        <v>37.899567164440015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2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25">
      <c r="C22" s="7" t="str">
        <f ca="1">INDEX('Version control'!$H$34:$H$60,MATCH($A$1,'Version control'!$F$34:$F$60,0),1)&amp;"-B: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2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827</v>
      </c>
    </row>
    <row r="24" spans="3:27" x14ac:dyDescent="0.2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2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25">
      <c r="C27" s="86"/>
      <c r="E27" s="82"/>
      <c r="F27" s="293" t="s">
        <v>44</v>
      </c>
      <c r="G27" s="293" t="s">
        <v>251</v>
      </c>
      <c r="J27" s="273">
        <f>'Capacity charges'!J264</f>
        <v>0</v>
      </c>
      <c r="K27" s="273">
        <f>'Capacity charges'!K264</f>
        <v>0</v>
      </c>
      <c r="L27" s="273">
        <f>'Capacity charges'!L264</f>
        <v>0</v>
      </c>
      <c r="M27" s="273">
        <f>'Capacity charges'!M264</f>
        <v>0</v>
      </c>
      <c r="N27" s="273">
        <f>'Capacity charges'!N264</f>
        <v>0</v>
      </c>
      <c r="O27" s="273">
        <f>'Capacity charges'!O264</f>
        <v>0</v>
      </c>
      <c r="P27" s="273">
        <f>'Capacity charges'!P264</f>
        <v>0</v>
      </c>
      <c r="Q27" s="273">
        <f>'Capacity charges'!Q264</f>
        <v>0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25">
      <c r="C28" s="86"/>
      <c r="E28" s="82"/>
      <c r="F28" s="293" t="s">
        <v>45</v>
      </c>
      <c r="G28" s="293" t="s">
        <v>251</v>
      </c>
      <c r="J28" s="273">
        <f>'Capacity charges'!J265</f>
        <v>0</v>
      </c>
      <c r="K28" s="273">
        <f>'Capacity charges'!K265</f>
        <v>0</v>
      </c>
      <c r="L28" s="273">
        <f>'Capacity charges'!L265</f>
        <v>0</v>
      </c>
      <c r="M28" s="273">
        <f>'Capacity charges'!M265</f>
        <v>0</v>
      </c>
      <c r="N28" s="273">
        <f>'Capacity charges'!N265</f>
        <v>0</v>
      </c>
      <c r="O28" s="273">
        <f>'Capacity charges'!O265</f>
        <v>0</v>
      </c>
      <c r="P28" s="273">
        <f>'Capacity charges'!P265</f>
        <v>0</v>
      </c>
      <c r="Q28" s="273">
        <f>'Capacity charges'!Q265</f>
        <v>0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25">
      <c r="C29" s="86"/>
      <c r="E29" s="82"/>
      <c r="F29" s="293" t="s">
        <v>46</v>
      </c>
      <c r="G29" s="293" t="s">
        <v>251</v>
      </c>
      <c r="J29" s="273">
        <f>'Capacity charges'!J266</f>
        <v>0</v>
      </c>
      <c r="K29" s="273">
        <f>'Capacity charges'!K266</f>
        <v>0</v>
      </c>
      <c r="L29" s="273">
        <f>'Capacity charges'!L266</f>
        <v>0</v>
      </c>
      <c r="M29" s="273">
        <f>'Capacity charges'!M266</f>
        <v>0</v>
      </c>
      <c r="N29" s="273">
        <f>'Capacity charges'!N266</f>
        <v>0</v>
      </c>
      <c r="O29" s="273">
        <f>'Capacity charges'!O266</f>
        <v>0</v>
      </c>
      <c r="P29" s="273">
        <f>'Capacity charges'!P266</f>
        <v>0</v>
      </c>
      <c r="Q29" s="273">
        <f>'Capacity charges'!Q266</f>
        <v>0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25">
      <c r="C30" s="86"/>
      <c r="E30" s="82"/>
      <c r="F30" s="293" t="s">
        <v>47</v>
      </c>
      <c r="G30" s="293" t="s">
        <v>251</v>
      </c>
      <c r="J30" s="273">
        <f>'Capacity charges'!J267</f>
        <v>0</v>
      </c>
      <c r="K30" s="273">
        <f>'Capacity charges'!K267</f>
        <v>0</v>
      </c>
      <c r="L30" s="273">
        <f>'Capacity charges'!L267</f>
        <v>0</v>
      </c>
      <c r="M30" s="273">
        <f>'Capacity charges'!M267</f>
        <v>0</v>
      </c>
      <c r="N30" s="273">
        <f>'Capacity charges'!N267</f>
        <v>0</v>
      </c>
      <c r="O30" s="273">
        <f>'Capacity charges'!O267</f>
        <v>0</v>
      </c>
      <c r="P30" s="273">
        <f>'Capacity charges'!P267</f>
        <v>0</v>
      </c>
      <c r="Q30" s="273">
        <f>'Capacity charges'!Q267</f>
        <v>0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25">
      <c r="C31" s="86"/>
      <c r="E31" s="82"/>
      <c r="F31" s="293" t="s">
        <v>51</v>
      </c>
      <c r="G31" s="293" t="s">
        <v>251</v>
      </c>
      <c r="J31" s="273">
        <f>'Capacity charges'!J268</f>
        <v>0</v>
      </c>
      <c r="K31" s="273">
        <f>'Capacity charges'!K268</f>
        <v>0</v>
      </c>
      <c r="L31" s="273">
        <f>'Capacity charges'!L268</f>
        <v>0</v>
      </c>
      <c r="M31" s="273">
        <f>'Capacity charges'!M268</f>
        <v>0</v>
      </c>
      <c r="N31" s="273">
        <f>'Capacity charges'!N268</f>
        <v>0</v>
      </c>
      <c r="O31" s="273">
        <f>'Capacity charges'!O268</f>
        <v>0</v>
      </c>
      <c r="P31" s="273">
        <f>'Capacity charges'!P268</f>
        <v>0</v>
      </c>
      <c r="Q31" s="273">
        <f>'Capacity charges'!Q268</f>
        <v>0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25">
      <c r="C32" s="86"/>
      <c r="E32" s="82"/>
      <c r="F32" s="293" t="s">
        <v>48</v>
      </c>
      <c r="G32" s="293" t="s">
        <v>251</v>
      </c>
      <c r="J32" s="273">
        <f>'Capacity charges'!J269</f>
        <v>0</v>
      </c>
      <c r="K32" s="273">
        <f>'Capacity charges'!K269</f>
        <v>0</v>
      </c>
      <c r="L32" s="273">
        <f>'Capacity charges'!L269</f>
        <v>0</v>
      </c>
      <c r="M32" s="273">
        <f>'Capacity charges'!M269</f>
        <v>0</v>
      </c>
      <c r="N32" s="273">
        <f>'Capacity charges'!N269</f>
        <v>0</v>
      </c>
      <c r="O32" s="273">
        <f>'Capacity charges'!O269</f>
        <v>0</v>
      </c>
      <c r="P32" s="273">
        <f>'Capacity charges'!P269</f>
        <v>0</v>
      </c>
      <c r="Q32" s="273">
        <f>'Capacity charges'!Q269</f>
        <v>0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25">
      <c r="C33" s="86"/>
      <c r="E33" s="82"/>
      <c r="F33" s="293" t="s">
        <v>49</v>
      </c>
      <c r="G33" s="293" t="s">
        <v>251</v>
      </c>
      <c r="J33" s="273">
        <f>'Capacity charges'!J270</f>
        <v>0</v>
      </c>
      <c r="K33" s="273">
        <f>'Capacity charges'!K270</f>
        <v>0</v>
      </c>
      <c r="L33" s="273">
        <f>'Capacity charges'!L270</f>
        <v>0</v>
      </c>
      <c r="M33" s="273">
        <f>'Capacity charges'!M270</f>
        <v>0</v>
      </c>
      <c r="N33" s="273">
        <f>'Capacity charges'!N270</f>
        <v>0</v>
      </c>
      <c r="O33" s="273">
        <f>'Capacity charges'!O270</f>
        <v>0</v>
      </c>
      <c r="P33" s="273">
        <f>'Capacity charges'!P270</f>
        <v>0</v>
      </c>
      <c r="Q33" s="273">
        <f>'Capacity charges'!Q270</f>
        <v>0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25">
      <c r="C34" s="86"/>
      <c r="E34" s="82"/>
      <c r="F34" s="293" t="s">
        <v>50</v>
      </c>
      <c r="G34" s="293" t="s">
        <v>251</v>
      </c>
      <c r="J34" s="273">
        <f>'Capacity charges'!J271</f>
        <v>6.2217699613785017E-2</v>
      </c>
      <c r="K34" s="273">
        <f>'Capacity charges'!K271</f>
        <v>0</v>
      </c>
      <c r="L34" s="273">
        <f>'Capacity charges'!L271</f>
        <v>6.2217699613785017E-2</v>
      </c>
      <c r="M34" s="273">
        <f>'Capacity charges'!M271</f>
        <v>0</v>
      </c>
      <c r="N34" s="273">
        <f>'Capacity charges'!N271</f>
        <v>0</v>
      </c>
      <c r="O34" s="273">
        <f>'Capacity charges'!O271</f>
        <v>0</v>
      </c>
      <c r="P34" s="273">
        <f>'Capacity charges'!P271</f>
        <v>0</v>
      </c>
      <c r="Q34" s="273">
        <f>'Capacity charges'!Q271</f>
        <v>0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2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2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2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2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25">
      <c r="C39" s="86"/>
      <c r="F39" s="91" t="s">
        <v>267</v>
      </c>
      <c r="G39" s="91" t="s">
        <v>251</v>
      </c>
      <c r="H39" s="91"/>
      <c r="I39" s="91"/>
      <c r="J39" s="272">
        <f>'Capacity charges'!J276</f>
        <v>0</v>
      </c>
      <c r="K39" s="272">
        <f>'Capacity charges'!K276</f>
        <v>0</v>
      </c>
      <c r="L39" s="272">
        <f>'Capacity charges'!L276</f>
        <v>0</v>
      </c>
      <c r="M39" s="272">
        <f>'Capacity charges'!M276</f>
        <v>0</v>
      </c>
      <c r="N39" s="272">
        <f>'Capacity charges'!N276</f>
        <v>0</v>
      </c>
      <c r="O39" s="272">
        <f>'Capacity charges'!O276</f>
        <v>0</v>
      </c>
      <c r="P39" s="272">
        <f>'Capacity charges'!P276</f>
        <v>0</v>
      </c>
      <c r="Q39" s="272">
        <f>'Capacity charges'!Q276</f>
        <v>0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25">
      <c r="C40" s="86"/>
      <c r="F40" s="293" t="s">
        <v>43</v>
      </c>
      <c r="G40" s="293" t="s">
        <v>251</v>
      </c>
      <c r="J40" s="273">
        <f>'Capacity charges'!J277</f>
        <v>0</v>
      </c>
      <c r="K40" s="273">
        <f>'Capacity charges'!K277</f>
        <v>0</v>
      </c>
      <c r="L40" s="273">
        <f>'Capacity charges'!L277</f>
        <v>0</v>
      </c>
      <c r="M40" s="273">
        <f>'Capacity charges'!M277</f>
        <v>0</v>
      </c>
      <c r="N40" s="273">
        <f>'Capacity charges'!N277</f>
        <v>0</v>
      </c>
      <c r="O40" s="273">
        <f>'Capacity charges'!O277</f>
        <v>0</v>
      </c>
      <c r="P40" s="273">
        <f>'Capacity charges'!P277</f>
        <v>0</v>
      </c>
      <c r="Q40" s="273">
        <f>'Capacity charges'!Q277</f>
        <v>0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25">
      <c r="C41" s="86"/>
      <c r="F41" s="293" t="s">
        <v>44</v>
      </c>
      <c r="G41" s="293" t="s">
        <v>251</v>
      </c>
      <c r="J41" s="273">
        <f>'Capacity charges'!J278</f>
        <v>0</v>
      </c>
      <c r="K41" s="273">
        <f>'Capacity charges'!K278</f>
        <v>0</v>
      </c>
      <c r="L41" s="273">
        <f>'Capacity charges'!L278</f>
        <v>0</v>
      </c>
      <c r="M41" s="273">
        <f>'Capacity charges'!M278</f>
        <v>0</v>
      </c>
      <c r="N41" s="273">
        <f>'Capacity charges'!N278</f>
        <v>0</v>
      </c>
      <c r="O41" s="273">
        <f>'Capacity charges'!O278</f>
        <v>0</v>
      </c>
      <c r="P41" s="273">
        <f>'Capacity charges'!P278</f>
        <v>0</v>
      </c>
      <c r="Q41" s="273">
        <f>'Capacity charges'!Q278</f>
        <v>0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25">
      <c r="C42" s="86"/>
      <c r="F42" s="293" t="s">
        <v>45</v>
      </c>
      <c r="G42" s="293" t="s">
        <v>251</v>
      </c>
      <c r="J42" s="273">
        <f>'Capacity charges'!J279</f>
        <v>0</v>
      </c>
      <c r="K42" s="273">
        <f>'Capacity charges'!K279</f>
        <v>0</v>
      </c>
      <c r="L42" s="273">
        <f>'Capacity charges'!L279</f>
        <v>0</v>
      </c>
      <c r="M42" s="273">
        <f>'Capacity charges'!M279</f>
        <v>0</v>
      </c>
      <c r="N42" s="273">
        <f>'Capacity charges'!N279</f>
        <v>0</v>
      </c>
      <c r="O42" s="273">
        <f>'Capacity charges'!O279</f>
        <v>0</v>
      </c>
      <c r="P42" s="273">
        <f>'Capacity charges'!P279</f>
        <v>0</v>
      </c>
      <c r="Q42" s="273">
        <f>'Capacity charges'!Q279</f>
        <v>0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25">
      <c r="C43" s="86"/>
      <c r="F43" s="293" t="s">
        <v>46</v>
      </c>
      <c r="G43" s="293" t="s">
        <v>251</v>
      </c>
      <c r="J43" s="273">
        <f>'Capacity charges'!J280</f>
        <v>0</v>
      </c>
      <c r="K43" s="273">
        <f>'Capacity charges'!K280</f>
        <v>0</v>
      </c>
      <c r="L43" s="273">
        <f>'Capacity charges'!L280</f>
        <v>0</v>
      </c>
      <c r="M43" s="273">
        <f>'Capacity charges'!M280</f>
        <v>0</v>
      </c>
      <c r="N43" s="273">
        <f>'Capacity charges'!N280</f>
        <v>0</v>
      </c>
      <c r="O43" s="273">
        <f>'Capacity charges'!O280</f>
        <v>0</v>
      </c>
      <c r="P43" s="273">
        <f>'Capacity charges'!P280</f>
        <v>0</v>
      </c>
      <c r="Q43" s="273">
        <f>'Capacity charges'!Q280</f>
        <v>0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25">
      <c r="C44" s="86"/>
      <c r="F44" s="293" t="s">
        <v>47</v>
      </c>
      <c r="G44" s="293" t="s">
        <v>251</v>
      </c>
      <c r="J44" s="273">
        <f>'Capacity charges'!J281</f>
        <v>0</v>
      </c>
      <c r="K44" s="273">
        <f>'Capacity charges'!K281</f>
        <v>0</v>
      </c>
      <c r="L44" s="273">
        <f>'Capacity charges'!L281</f>
        <v>0</v>
      </c>
      <c r="M44" s="273">
        <f>'Capacity charges'!M281</f>
        <v>0</v>
      </c>
      <c r="N44" s="273">
        <f>'Capacity charges'!N281</f>
        <v>0</v>
      </c>
      <c r="O44" s="273">
        <f>'Capacity charges'!O281</f>
        <v>0</v>
      </c>
      <c r="P44" s="273">
        <f>'Capacity charges'!P281</f>
        <v>0</v>
      </c>
      <c r="Q44" s="273">
        <f>'Capacity charges'!Q281</f>
        <v>0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25">
      <c r="C45" s="86"/>
      <c r="F45" s="293" t="s">
        <v>51</v>
      </c>
      <c r="G45" s="293" t="s">
        <v>251</v>
      </c>
      <c r="J45" s="273">
        <f>'Capacity charges'!J282</f>
        <v>0</v>
      </c>
      <c r="K45" s="273">
        <f>'Capacity charges'!K282</f>
        <v>0</v>
      </c>
      <c r="L45" s="273">
        <f>'Capacity charges'!L282</f>
        <v>0</v>
      </c>
      <c r="M45" s="273">
        <f>'Capacity charges'!M282</f>
        <v>0</v>
      </c>
      <c r="N45" s="273">
        <f>'Capacity charges'!N282</f>
        <v>0</v>
      </c>
      <c r="O45" s="273">
        <f>'Capacity charges'!O282</f>
        <v>0</v>
      </c>
      <c r="P45" s="273">
        <f>'Capacity charges'!P282</f>
        <v>0</v>
      </c>
      <c r="Q45" s="273">
        <f>'Capacity charges'!Q282</f>
        <v>0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25">
      <c r="C46" s="86"/>
      <c r="F46" s="293" t="s">
        <v>48</v>
      </c>
      <c r="G46" s="293" t="s">
        <v>251</v>
      </c>
      <c r="J46" s="273">
        <f>'Capacity charges'!J283</f>
        <v>0</v>
      </c>
      <c r="K46" s="273">
        <f>'Capacity charges'!K283</f>
        <v>0</v>
      </c>
      <c r="L46" s="273">
        <f>'Capacity charges'!L283</f>
        <v>0</v>
      </c>
      <c r="M46" s="273">
        <f>'Capacity charges'!M283</f>
        <v>0</v>
      </c>
      <c r="N46" s="273">
        <f>'Capacity charges'!N283</f>
        <v>0</v>
      </c>
      <c r="O46" s="273">
        <f>'Capacity charges'!O283</f>
        <v>0</v>
      </c>
      <c r="P46" s="273">
        <f>'Capacity charges'!P283</f>
        <v>0</v>
      </c>
      <c r="Q46" s="273">
        <f>'Capacity charges'!Q283</f>
        <v>0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25">
      <c r="C47" s="86"/>
      <c r="F47" s="293" t="s">
        <v>49</v>
      </c>
      <c r="G47" s="293" t="s">
        <v>251</v>
      </c>
      <c r="J47" s="273">
        <f>'Capacity charges'!J284</f>
        <v>0</v>
      </c>
      <c r="K47" s="273">
        <f>'Capacity charges'!K284</f>
        <v>0</v>
      </c>
      <c r="L47" s="273">
        <f>'Capacity charges'!L284</f>
        <v>0</v>
      </c>
      <c r="M47" s="273">
        <f>'Capacity charges'!M284</f>
        <v>0</v>
      </c>
      <c r="N47" s="273">
        <f>'Capacity charges'!N284</f>
        <v>0</v>
      </c>
      <c r="O47" s="273">
        <f>'Capacity charges'!O284</f>
        <v>0</v>
      </c>
      <c r="P47" s="273">
        <f>'Capacity charges'!P284</f>
        <v>0</v>
      </c>
      <c r="Q47" s="273">
        <f>'Capacity charges'!Q284</f>
        <v>0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25">
      <c r="C48" s="86"/>
      <c r="F48" s="293" t="s">
        <v>50</v>
      </c>
      <c r="G48" s="293" t="s">
        <v>251</v>
      </c>
      <c r="J48" s="273">
        <f>'Capacity charges'!J285</f>
        <v>0.59900528445457368</v>
      </c>
      <c r="K48" s="273">
        <f>'Capacity charges'!K285</f>
        <v>0</v>
      </c>
      <c r="L48" s="273">
        <f>'Capacity charges'!L285</f>
        <v>0.59900528445457368</v>
      </c>
      <c r="M48" s="273">
        <f>'Capacity charges'!M285</f>
        <v>0</v>
      </c>
      <c r="N48" s="273">
        <f>'Capacity charges'!N285</f>
        <v>0</v>
      </c>
      <c r="O48" s="273">
        <f>'Capacity charges'!O285</f>
        <v>0</v>
      </c>
      <c r="P48" s="273">
        <f>'Capacity charges'!P285</f>
        <v>0</v>
      </c>
      <c r="Q48" s="273">
        <f>'Capacity charges'!Q285</f>
        <v>0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2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2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2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C52" s="7" t="str">
        <f ca="1">INDEX('Version control'!$H$34:$H$60,MATCH($A$1,'Version control'!$F$34:$F$60,0),1)&amp;"-C: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25">
      <c r="D53" s="293"/>
    </row>
    <row r="54" spans="3:27" x14ac:dyDescent="0.2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828</v>
      </c>
    </row>
    <row r="55" spans="3:27" x14ac:dyDescent="0.25">
      <c r="C55" s="86"/>
      <c r="D55" s="293"/>
      <c r="F55" s="91" t="s">
        <v>124</v>
      </c>
      <c r="G55" s="91" t="s">
        <v>252</v>
      </c>
      <c r="H55" s="91"/>
      <c r="I55" s="91"/>
      <c r="J55" s="272">
        <f>'Service model charges'!J42</f>
        <v>3.2967354540275884</v>
      </c>
      <c r="K55" s="272">
        <f>'Service model charges'!K42</f>
        <v>0</v>
      </c>
      <c r="L55" s="272">
        <f>'Service model charges'!L42</f>
        <v>4.4405987880236575</v>
      </c>
      <c r="M55" s="272">
        <f>'Service model charges'!M42</f>
        <v>0</v>
      </c>
      <c r="N55" s="272">
        <f>'Service model charges'!N42</f>
        <v>20.773710300729842</v>
      </c>
      <c r="O55" s="272">
        <f>'Service model charges'!O42</f>
        <v>7.331897753198767</v>
      </c>
      <c r="P55" s="272">
        <f>'Service model charges'!P42</f>
        <v>0</v>
      </c>
      <c r="Q55" s="238"/>
      <c r="R55" s="272">
        <f>'Service model charges'!R42</f>
        <v>0</v>
      </c>
      <c r="S55" s="272">
        <f>'Service model charges'!S42</f>
        <v>0</v>
      </c>
      <c r="T55" s="272">
        <f>'Service model charges'!T42</f>
        <v>0</v>
      </c>
      <c r="U55" s="272">
        <f>'Service model charges'!U42</f>
        <v>0</v>
      </c>
      <c r="V55" s="272">
        <f>'Service model charges'!V42</f>
        <v>0</v>
      </c>
      <c r="W55" s="272">
        <f>'Service model charges'!W42</f>
        <v>0</v>
      </c>
      <c r="X55" s="272">
        <f>'Service model charges'!X42</f>
        <v>0</v>
      </c>
      <c r="Y55" s="272">
        <f>'Service model charges'!Y42</f>
        <v>0</v>
      </c>
    </row>
    <row r="56" spans="3:27" x14ac:dyDescent="0.25">
      <c r="C56" s="86"/>
      <c r="D56" s="293"/>
      <c r="F56" s="93" t="s">
        <v>123</v>
      </c>
      <c r="G56" s="93" t="s">
        <v>252</v>
      </c>
      <c r="H56" s="93"/>
      <c r="I56" s="93"/>
      <c r="J56" s="274">
        <f>'Service model charges'!J43</f>
        <v>0</v>
      </c>
      <c r="K56" s="274">
        <f>'Service model charges'!K43</f>
        <v>0</v>
      </c>
      <c r="L56" s="274">
        <f>'Service model charges'!L43</f>
        <v>0</v>
      </c>
      <c r="M56" s="274">
        <f>'Service model charges'!M43</f>
        <v>0</v>
      </c>
      <c r="N56" s="274">
        <f>'Service model charges'!N43</f>
        <v>0</v>
      </c>
      <c r="O56" s="274">
        <f>'Service model charges'!O43</f>
        <v>0</v>
      </c>
      <c r="P56" s="274">
        <f>'Service model charges'!P43</f>
        <v>111.00934456389379</v>
      </c>
      <c r="Q56" s="240"/>
      <c r="R56" s="274">
        <f>'Service model charges'!R43</f>
        <v>0</v>
      </c>
      <c r="S56" s="274">
        <f>'Service model charges'!S43</f>
        <v>0</v>
      </c>
      <c r="T56" s="274">
        <f>'Service model charges'!T43</f>
        <v>0</v>
      </c>
      <c r="U56" s="274">
        <f>'Service model charges'!U43</f>
        <v>0</v>
      </c>
      <c r="V56" s="274">
        <f>'Service model charges'!V43</f>
        <v>0</v>
      </c>
      <c r="W56" s="274">
        <f>'Service model charges'!W43</f>
        <v>0</v>
      </c>
      <c r="X56" s="274">
        <f>'Service model charges'!X43</f>
        <v>81.061112421377317</v>
      </c>
      <c r="Y56" s="274">
        <f>'Service model charges'!Y43</f>
        <v>81.061112421377317</v>
      </c>
    </row>
    <row r="57" spans="3:27" x14ac:dyDescent="0.25">
      <c r="C57" s="86"/>
      <c r="D57" s="293"/>
      <c r="F57" s="98"/>
    </row>
    <row r="58" spans="3:27" x14ac:dyDescent="0.25">
      <c r="C58" s="7" t="str">
        <f ca="1">INDEX('Version control'!$H$34:$H$60,MATCH($A$1,'Version control'!$F$34:$F$60,0),1)&amp;"-D: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3"/>
      <c r="E59" s="293"/>
    </row>
    <row r="60" spans="3:27" x14ac:dyDescent="0.25">
      <c r="D60" s="82" t="s">
        <v>403</v>
      </c>
      <c r="E60" s="293"/>
    </row>
    <row r="61" spans="3:27" x14ac:dyDescent="0.25">
      <c r="D61" s="82" t="s">
        <v>743</v>
      </c>
      <c r="E61" s="293"/>
    </row>
    <row r="62" spans="3:27" x14ac:dyDescent="0.25">
      <c r="D62" s="82"/>
      <c r="E62" s="293"/>
    </row>
    <row r="63" spans="3:27" x14ac:dyDescent="0.25">
      <c r="E63" s="293" t="s">
        <v>310</v>
      </c>
      <c r="G63" s="293" t="s">
        <v>427</v>
      </c>
      <c r="I63" s="293" t="s">
        <v>359</v>
      </c>
      <c r="J63" s="379">
        <f>'Fixed inputs'!J145</f>
        <v>1</v>
      </c>
      <c r="K63" s="379">
        <f>'Fixed inputs'!K145</f>
        <v>0</v>
      </c>
      <c r="L63" s="379">
        <f>'Fixed inputs'!L145</f>
        <v>1</v>
      </c>
      <c r="M63" s="379">
        <f>'Fixed inputs'!M145</f>
        <v>0</v>
      </c>
      <c r="N63" s="379">
        <f>'Fixed inputs'!N145</f>
        <v>0</v>
      </c>
      <c r="O63" s="379">
        <f>'Fixed inputs'!O145</f>
        <v>0</v>
      </c>
      <c r="P63" s="379">
        <f>'Fixed inputs'!P145</f>
        <v>0</v>
      </c>
      <c r="Q63" s="379">
        <f>'Fixed inputs'!Q145</f>
        <v>0</v>
      </c>
      <c r="R63" s="379">
        <f>'Fixed inputs'!R145</f>
        <v>0</v>
      </c>
      <c r="S63" s="379">
        <f>'Fixed inputs'!S145</f>
        <v>0</v>
      </c>
      <c r="T63" s="379">
        <f>'Fixed inputs'!T145</f>
        <v>0</v>
      </c>
      <c r="U63" s="379">
        <f>'Fixed inputs'!U145</f>
        <v>0</v>
      </c>
      <c r="V63" s="379">
        <f>'Fixed inputs'!V145</f>
        <v>0</v>
      </c>
      <c r="W63" s="379">
        <f>'Fixed inputs'!W145</f>
        <v>0</v>
      </c>
      <c r="X63" s="379">
        <f>'Fixed inputs'!X145</f>
        <v>0</v>
      </c>
      <c r="Y63" s="379">
        <f>'Fixed inputs'!Y145</f>
        <v>0</v>
      </c>
      <c r="AA63" s="293" t="s">
        <v>829</v>
      </c>
    </row>
    <row r="65" spans="2:27" x14ac:dyDescent="0.2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25">
      <c r="C67" s="7" t="str">
        <f ca="1">INDEX('Version control'!$H$34:$H$60,MATCH($A$1,'Version control'!$F$34:$F$60,0),1)&amp;"-E: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2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829</v>
      </c>
    </row>
    <row r="69" spans="2:27" x14ac:dyDescent="0.2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25">
      <c r="C70" s="86"/>
      <c r="D70" s="293"/>
      <c r="E70" s="82"/>
      <c r="F70" s="91" t="s">
        <v>267</v>
      </c>
      <c r="G70" s="91" t="s">
        <v>511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25">
      <c r="C71" s="86"/>
      <c r="D71" s="293"/>
      <c r="E71" s="82"/>
      <c r="F71" s="293" t="s">
        <v>43</v>
      </c>
      <c r="G71" s="293" t="s">
        <v>511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25">
      <c r="C72" s="86"/>
      <c r="D72" s="293"/>
      <c r="E72" s="82"/>
      <c r="F72" s="293" t="s">
        <v>44</v>
      </c>
      <c r="G72" s="293" t="s">
        <v>511</v>
      </c>
      <c r="J72" s="275">
        <f t="shared" ref="J72:K72" si="0">J$20 * J27 * thousand / PowerFactor</f>
        <v>0</v>
      </c>
      <c r="K72" s="275">
        <f t="shared" si="0"/>
        <v>0</v>
      </c>
      <c r="L72" s="275">
        <f t="shared" ref="L72:M72" si="1">L$20 * L27 * thousand / PowerFactor</f>
        <v>0</v>
      </c>
      <c r="M72" s="275">
        <f t="shared" si="1"/>
        <v>0</v>
      </c>
      <c r="N72" s="275">
        <f t="shared" ref="N72:P72" si="2">N$20 * N27 * thousand / PowerFactor</f>
        <v>0</v>
      </c>
      <c r="O72" s="275">
        <f t="shared" si="2"/>
        <v>0</v>
      </c>
      <c r="P72" s="275">
        <f t="shared" si="2"/>
        <v>0</v>
      </c>
      <c r="Q72" s="275">
        <f t="shared" ref="Q72:S72" si="3">Q$20 * Q27 * thousand / PowerFactor</f>
        <v>0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25">
      <c r="C73" s="86"/>
      <c r="D73" s="293"/>
      <c r="E73" s="82"/>
      <c r="F73" s="293" t="s">
        <v>45</v>
      </c>
      <c r="G73" s="293" t="s">
        <v>511</v>
      </c>
      <c r="J73" s="275">
        <f t="shared" ref="J73:K73" si="7">J$20 * J28 * thousand / PowerFactor</f>
        <v>0</v>
      </c>
      <c r="K73" s="275">
        <f t="shared" si="7"/>
        <v>0</v>
      </c>
      <c r="L73" s="275">
        <f t="shared" ref="L73:M73" si="8">L$20 * L28 * thousand / PowerFactor</f>
        <v>0</v>
      </c>
      <c r="M73" s="275">
        <f t="shared" si="8"/>
        <v>0</v>
      </c>
      <c r="N73" s="275">
        <f t="shared" ref="N73:P73" si="9">N$20 * N28 * thousand / PowerFactor</f>
        <v>0</v>
      </c>
      <c r="O73" s="275">
        <f t="shared" si="9"/>
        <v>0</v>
      </c>
      <c r="P73" s="275">
        <f t="shared" si="9"/>
        <v>0</v>
      </c>
      <c r="Q73" s="275">
        <f t="shared" ref="Q73:S73" si="10">Q$20 * Q28 * thousand / PowerFactor</f>
        <v>0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25">
      <c r="C74" s="86"/>
      <c r="D74" s="293"/>
      <c r="E74" s="82"/>
      <c r="F74" s="293" t="s">
        <v>46</v>
      </c>
      <c r="G74" s="293" t="s">
        <v>511</v>
      </c>
      <c r="J74" s="275">
        <f t="shared" ref="J74:K74" si="14">J$20 * J29 * thousand / PowerFactor</f>
        <v>0</v>
      </c>
      <c r="K74" s="275">
        <f t="shared" si="14"/>
        <v>0</v>
      </c>
      <c r="L74" s="275">
        <f t="shared" ref="L74:M74" si="15">L$20 * L29 * thousand / PowerFactor</f>
        <v>0</v>
      </c>
      <c r="M74" s="275">
        <f t="shared" si="15"/>
        <v>0</v>
      </c>
      <c r="N74" s="275">
        <f t="shared" ref="N74:P74" si="16">N$20 * N29 * thousand / PowerFactor</f>
        <v>0</v>
      </c>
      <c r="O74" s="275">
        <f t="shared" si="16"/>
        <v>0</v>
      </c>
      <c r="P74" s="275">
        <f t="shared" si="16"/>
        <v>0</v>
      </c>
      <c r="Q74" s="275">
        <f t="shared" ref="Q74:S74" si="17">Q$20 * Q29 * thousand / PowerFactor</f>
        <v>0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25">
      <c r="C75" s="86"/>
      <c r="D75" s="293"/>
      <c r="E75" s="82"/>
      <c r="F75" s="293" t="s">
        <v>47</v>
      </c>
      <c r="G75" s="293" t="s">
        <v>511</v>
      </c>
      <c r="J75" s="275">
        <f t="shared" ref="J75:K75" si="21">J$20 * J30 * thousand / PowerFactor</f>
        <v>0</v>
      </c>
      <c r="K75" s="275">
        <f t="shared" si="21"/>
        <v>0</v>
      </c>
      <c r="L75" s="275">
        <f t="shared" ref="L75:M75" si="22">L$20 * L30 * thousand / PowerFactor</f>
        <v>0</v>
      </c>
      <c r="M75" s="275">
        <f t="shared" si="22"/>
        <v>0</v>
      </c>
      <c r="N75" s="275">
        <f t="shared" ref="N75:P75" si="23">N$20 * N30 * thousand / PowerFactor</f>
        <v>0</v>
      </c>
      <c r="O75" s="275">
        <f t="shared" si="23"/>
        <v>0</v>
      </c>
      <c r="P75" s="275">
        <f t="shared" si="23"/>
        <v>0</v>
      </c>
      <c r="Q75" s="275">
        <f t="shared" ref="Q75:S75" si="24">Q$20 * Q30 * thousand / PowerFactor</f>
        <v>0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25">
      <c r="C76" s="86"/>
      <c r="D76" s="293"/>
      <c r="E76" s="82"/>
      <c r="F76" s="293" t="s">
        <v>51</v>
      </c>
      <c r="G76" s="293" t="s">
        <v>511</v>
      </c>
      <c r="J76" s="275">
        <f t="shared" ref="J76:K76" si="28">J$20 * J31 * thousand / PowerFactor</f>
        <v>0</v>
      </c>
      <c r="K76" s="275">
        <f t="shared" si="28"/>
        <v>0</v>
      </c>
      <c r="L76" s="275">
        <f t="shared" ref="L76:M76" si="29">L$20 * L31 * thousand / PowerFactor</f>
        <v>0</v>
      </c>
      <c r="M76" s="275">
        <f t="shared" si="29"/>
        <v>0</v>
      </c>
      <c r="N76" s="275">
        <f t="shared" ref="N76:P76" si="30">N$20 * N31 * thousand / PowerFactor</f>
        <v>0</v>
      </c>
      <c r="O76" s="275">
        <f t="shared" si="30"/>
        <v>0</v>
      </c>
      <c r="P76" s="275">
        <f t="shared" si="30"/>
        <v>0</v>
      </c>
      <c r="Q76" s="275">
        <f t="shared" ref="Q76:S76" si="31">Q$20 * Q31 * thousand / PowerFactor</f>
        <v>0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25">
      <c r="C77" s="86"/>
      <c r="D77" s="293"/>
      <c r="E77" s="82"/>
      <c r="F77" s="293" t="s">
        <v>48</v>
      </c>
      <c r="G77" s="293" t="s">
        <v>511</v>
      </c>
      <c r="J77" s="275">
        <f t="shared" ref="J77:K77" si="35">J$20 * J32 * thousand / PowerFactor</f>
        <v>0</v>
      </c>
      <c r="K77" s="275">
        <f t="shared" si="35"/>
        <v>0</v>
      </c>
      <c r="L77" s="275">
        <f t="shared" ref="L77:M77" si="36">L$20 * L32 * thousand / PowerFactor</f>
        <v>0</v>
      </c>
      <c r="M77" s="275">
        <f t="shared" si="36"/>
        <v>0</v>
      </c>
      <c r="N77" s="275">
        <f t="shared" ref="N77:P77" si="37">N$20 * N32 * thousand / PowerFactor</f>
        <v>0</v>
      </c>
      <c r="O77" s="275">
        <f t="shared" si="37"/>
        <v>0</v>
      </c>
      <c r="P77" s="275">
        <f t="shared" si="37"/>
        <v>0</v>
      </c>
      <c r="Q77" s="275">
        <f t="shared" ref="Q77:S77" si="38">Q$20 * Q32 * thousand / PowerFactor</f>
        <v>0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25">
      <c r="C78" s="86"/>
      <c r="D78" s="293"/>
      <c r="E78" s="82"/>
      <c r="F78" s="293" t="s">
        <v>49</v>
      </c>
      <c r="G78" s="293" t="s">
        <v>511</v>
      </c>
      <c r="J78" s="275">
        <f t="shared" ref="J78:K78" si="42">J$20 * J33 * thousand / PowerFactor</f>
        <v>0</v>
      </c>
      <c r="K78" s="275">
        <f t="shared" si="42"/>
        <v>0</v>
      </c>
      <c r="L78" s="275">
        <f t="shared" ref="L78:M78" si="43">L$20 * L33 * thousand / PowerFactor</f>
        <v>0</v>
      </c>
      <c r="M78" s="275">
        <f t="shared" si="43"/>
        <v>0</v>
      </c>
      <c r="N78" s="275">
        <f t="shared" ref="N78:P78" si="44">N$20 * N33 * thousand / PowerFactor</f>
        <v>0</v>
      </c>
      <c r="O78" s="275">
        <f t="shared" si="44"/>
        <v>0</v>
      </c>
      <c r="P78" s="275">
        <f t="shared" si="44"/>
        <v>0</v>
      </c>
      <c r="Q78" s="275">
        <f t="shared" ref="Q78:S78" si="45">Q$20 * Q33 * thousand / PowerFactor</f>
        <v>0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25">
      <c r="C79" s="86"/>
      <c r="D79" s="293"/>
      <c r="E79" s="82"/>
      <c r="F79" s="293" t="s">
        <v>50</v>
      </c>
      <c r="G79" s="293" t="s">
        <v>511</v>
      </c>
      <c r="J79" s="275">
        <f t="shared" ref="J79:K79" si="49">J$20 * J34 * thousand / PowerFactor</f>
        <v>84955.396277492939</v>
      </c>
      <c r="K79" s="275">
        <f t="shared" si="49"/>
        <v>0</v>
      </c>
      <c r="L79" s="275">
        <f t="shared" ref="L79:M79" si="50">L$20 * L34 * thousand / PowerFactor</f>
        <v>25294.629765458183</v>
      </c>
      <c r="M79" s="275">
        <f t="shared" si="50"/>
        <v>0</v>
      </c>
      <c r="N79" s="275">
        <f t="shared" ref="N79:P79" si="51">N$20 * N34 * thousand / PowerFactor</f>
        <v>0</v>
      </c>
      <c r="O79" s="275">
        <f t="shared" si="51"/>
        <v>0</v>
      </c>
      <c r="P79" s="275">
        <f t="shared" si="51"/>
        <v>0</v>
      </c>
      <c r="Q79" s="275">
        <f t="shared" ref="Q79:S79" si="52">Q$20 * Q34 * thousand / PowerFactor</f>
        <v>0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25">
      <c r="C80" s="86"/>
      <c r="D80" s="293"/>
      <c r="E80" s="82"/>
      <c r="F80" s="293" t="s">
        <v>124</v>
      </c>
      <c r="G80" s="293" t="s">
        <v>511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25">
      <c r="C81" s="86"/>
      <c r="D81" s="293"/>
      <c r="E81" s="82"/>
      <c r="F81" s="93" t="s">
        <v>123</v>
      </c>
      <c r="G81" s="93" t="s">
        <v>511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2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2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25">
      <c r="C84" s="86"/>
      <c r="D84" s="293"/>
      <c r="F84" s="91" t="s">
        <v>267</v>
      </c>
      <c r="G84" s="91" t="s">
        <v>511</v>
      </c>
      <c r="H84" s="91"/>
      <c r="I84" s="91"/>
      <c r="J84" s="267">
        <f t="shared" ref="J84:K84" si="56">J$20 * J39 * thousand / PowerFactor</f>
        <v>0</v>
      </c>
      <c r="K84" s="267">
        <f t="shared" si="56"/>
        <v>0</v>
      </c>
      <c r="L84" s="267">
        <f t="shared" ref="L84:M84" si="57">L$20 * L39 * thousand / PowerFactor</f>
        <v>0</v>
      </c>
      <c r="M84" s="267">
        <f t="shared" si="57"/>
        <v>0</v>
      </c>
      <c r="N84" s="267">
        <f t="shared" ref="N84:P84" si="58">N$20 * N39 * thousand / PowerFactor</f>
        <v>0</v>
      </c>
      <c r="O84" s="267">
        <f t="shared" si="58"/>
        <v>0</v>
      </c>
      <c r="P84" s="267">
        <f t="shared" si="58"/>
        <v>0</v>
      </c>
      <c r="Q84" s="267">
        <f t="shared" ref="Q84:S84" si="59">Q$20 * Q39 * thousand / PowerFactor</f>
        <v>0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25">
      <c r="C85" s="86"/>
      <c r="D85" s="293"/>
      <c r="F85" s="293" t="s">
        <v>43</v>
      </c>
      <c r="G85" s="293" t="s">
        <v>511</v>
      </c>
      <c r="J85" s="275">
        <f t="shared" ref="J85:K85" si="63">J$20 * J40 * thousand / PowerFactor</f>
        <v>0</v>
      </c>
      <c r="K85" s="275">
        <f t="shared" si="63"/>
        <v>0</v>
      </c>
      <c r="L85" s="275">
        <f t="shared" ref="L85:M85" si="64">L$20 * L40 * thousand / PowerFactor</f>
        <v>0</v>
      </c>
      <c r="M85" s="275">
        <f t="shared" si="64"/>
        <v>0</v>
      </c>
      <c r="N85" s="275">
        <f t="shared" ref="N85:P85" si="65">N$20 * N40 * thousand / PowerFactor</f>
        <v>0</v>
      </c>
      <c r="O85" s="275">
        <f t="shared" si="65"/>
        <v>0</v>
      </c>
      <c r="P85" s="275">
        <f t="shared" si="65"/>
        <v>0</v>
      </c>
      <c r="Q85" s="275">
        <f t="shared" ref="Q85:S85" si="66">Q$20 * Q40 * thousand / PowerFactor</f>
        <v>0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25">
      <c r="C86" s="86"/>
      <c r="D86" s="293"/>
      <c r="F86" s="293" t="s">
        <v>44</v>
      </c>
      <c r="G86" s="293" t="s">
        <v>511</v>
      </c>
      <c r="J86" s="275">
        <f t="shared" ref="J86:K86" si="70">J$20 * J41 * thousand / PowerFactor</f>
        <v>0</v>
      </c>
      <c r="K86" s="275">
        <f t="shared" si="70"/>
        <v>0</v>
      </c>
      <c r="L86" s="275">
        <f t="shared" ref="L86:M86" si="71">L$20 * L41 * thousand / PowerFactor</f>
        <v>0</v>
      </c>
      <c r="M86" s="275">
        <f t="shared" si="71"/>
        <v>0</v>
      </c>
      <c r="N86" s="275">
        <f t="shared" ref="N86:P86" si="72">N$20 * N41 * thousand / PowerFactor</f>
        <v>0</v>
      </c>
      <c r="O86" s="275">
        <f t="shared" si="72"/>
        <v>0</v>
      </c>
      <c r="P86" s="275">
        <f t="shared" si="72"/>
        <v>0</v>
      </c>
      <c r="Q86" s="275">
        <f t="shared" ref="Q86:S86" si="73">Q$20 * Q41 * thousand / PowerFactor</f>
        <v>0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25">
      <c r="C87" s="86"/>
      <c r="D87" s="293"/>
      <c r="F87" s="293" t="s">
        <v>45</v>
      </c>
      <c r="G87" s="293" t="s">
        <v>511</v>
      </c>
      <c r="J87" s="275">
        <f t="shared" ref="J87:K87" si="77">J$20 * J42 * thousand / PowerFactor</f>
        <v>0</v>
      </c>
      <c r="K87" s="275">
        <f t="shared" si="77"/>
        <v>0</v>
      </c>
      <c r="L87" s="275">
        <f t="shared" ref="L87:M87" si="78">L$20 * L42 * thousand / PowerFactor</f>
        <v>0</v>
      </c>
      <c r="M87" s="275">
        <f t="shared" si="78"/>
        <v>0</v>
      </c>
      <c r="N87" s="275">
        <f t="shared" ref="N87:P87" si="79">N$20 * N42 * thousand / PowerFactor</f>
        <v>0</v>
      </c>
      <c r="O87" s="275">
        <f t="shared" si="79"/>
        <v>0</v>
      </c>
      <c r="P87" s="275">
        <f t="shared" si="79"/>
        <v>0</v>
      </c>
      <c r="Q87" s="275">
        <f t="shared" ref="Q87:S87" si="80">Q$20 * Q42 * thousand / PowerFactor</f>
        <v>0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25">
      <c r="C88" s="86"/>
      <c r="D88" s="293"/>
      <c r="F88" s="293" t="s">
        <v>46</v>
      </c>
      <c r="G88" s="293" t="s">
        <v>511</v>
      </c>
      <c r="J88" s="275">
        <f t="shared" ref="J88:K88" si="84">J$20 * J43 * thousand / PowerFactor</f>
        <v>0</v>
      </c>
      <c r="K88" s="275">
        <f t="shared" si="84"/>
        <v>0</v>
      </c>
      <c r="L88" s="275">
        <f t="shared" ref="L88:M88" si="85">L$20 * L43 * thousand / PowerFactor</f>
        <v>0</v>
      </c>
      <c r="M88" s="275">
        <f t="shared" si="85"/>
        <v>0</v>
      </c>
      <c r="N88" s="275">
        <f t="shared" ref="N88:P88" si="86">N$20 * N43 * thousand / PowerFactor</f>
        <v>0</v>
      </c>
      <c r="O88" s="275">
        <f t="shared" si="86"/>
        <v>0</v>
      </c>
      <c r="P88" s="275">
        <f t="shared" si="86"/>
        <v>0</v>
      </c>
      <c r="Q88" s="275">
        <f t="shared" ref="Q88:S88" si="87">Q$20 * Q43 * thousand / PowerFactor</f>
        <v>0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25">
      <c r="C89" s="86"/>
      <c r="D89" s="293"/>
      <c r="F89" s="293" t="s">
        <v>47</v>
      </c>
      <c r="G89" s="293" t="s">
        <v>511</v>
      </c>
      <c r="J89" s="275">
        <f t="shared" ref="J89:K89" si="91">J$20 * J44 * thousand / PowerFactor</f>
        <v>0</v>
      </c>
      <c r="K89" s="275">
        <f t="shared" si="91"/>
        <v>0</v>
      </c>
      <c r="L89" s="275">
        <f t="shared" ref="L89:M89" si="92">L$20 * L44 * thousand / PowerFactor</f>
        <v>0</v>
      </c>
      <c r="M89" s="275">
        <f t="shared" si="92"/>
        <v>0</v>
      </c>
      <c r="N89" s="275">
        <f t="shared" ref="N89:P89" si="93">N$20 * N44 * thousand / PowerFactor</f>
        <v>0</v>
      </c>
      <c r="O89" s="275">
        <f t="shared" si="93"/>
        <v>0</v>
      </c>
      <c r="P89" s="275">
        <f t="shared" si="93"/>
        <v>0</v>
      </c>
      <c r="Q89" s="275">
        <f t="shared" ref="Q89:S89" si="94">Q$20 * Q44 * thousand / PowerFactor</f>
        <v>0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25">
      <c r="C90" s="86"/>
      <c r="D90" s="293"/>
      <c r="F90" s="293" t="s">
        <v>51</v>
      </c>
      <c r="G90" s="293" t="s">
        <v>511</v>
      </c>
      <c r="J90" s="275">
        <f t="shared" ref="J90:K90" si="98">J$20 * J45 * thousand / PowerFactor</f>
        <v>0</v>
      </c>
      <c r="K90" s="275">
        <f t="shared" si="98"/>
        <v>0</v>
      </c>
      <c r="L90" s="275">
        <f t="shared" ref="L90:M90" si="99">L$20 * L45 * thousand / PowerFactor</f>
        <v>0</v>
      </c>
      <c r="M90" s="275">
        <f t="shared" si="99"/>
        <v>0</v>
      </c>
      <c r="N90" s="275">
        <f t="shared" ref="N90:P90" si="100">N$20 * N45 * thousand / PowerFactor</f>
        <v>0</v>
      </c>
      <c r="O90" s="275">
        <f t="shared" si="100"/>
        <v>0</v>
      </c>
      <c r="P90" s="275">
        <f t="shared" si="100"/>
        <v>0</v>
      </c>
      <c r="Q90" s="275">
        <f t="shared" ref="Q90:S90" si="101">Q$20 * Q45 * thousand / PowerFactor</f>
        <v>0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25">
      <c r="C91" s="86"/>
      <c r="D91" s="293"/>
      <c r="F91" s="293" t="s">
        <v>48</v>
      </c>
      <c r="G91" s="293" t="s">
        <v>511</v>
      </c>
      <c r="J91" s="275">
        <f t="shared" ref="J91:K91" si="105">J$20 * J46 * thousand / PowerFactor</f>
        <v>0</v>
      </c>
      <c r="K91" s="275">
        <f t="shared" si="105"/>
        <v>0</v>
      </c>
      <c r="L91" s="275">
        <f t="shared" ref="L91:M91" si="106">L$20 * L46 * thousand / PowerFactor</f>
        <v>0</v>
      </c>
      <c r="M91" s="275">
        <f t="shared" si="106"/>
        <v>0</v>
      </c>
      <c r="N91" s="275">
        <f t="shared" ref="N91:P91" si="107">N$20 * N46 * thousand / PowerFactor</f>
        <v>0</v>
      </c>
      <c r="O91" s="275">
        <f t="shared" si="107"/>
        <v>0</v>
      </c>
      <c r="P91" s="275">
        <f t="shared" si="107"/>
        <v>0</v>
      </c>
      <c r="Q91" s="275">
        <f t="shared" ref="Q91:S91" si="108">Q$20 * Q46 * thousand / PowerFactor</f>
        <v>0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25">
      <c r="C92" s="86"/>
      <c r="D92" s="293"/>
      <c r="F92" s="293" t="s">
        <v>49</v>
      </c>
      <c r="G92" s="293" t="s">
        <v>511</v>
      </c>
      <c r="J92" s="275">
        <f t="shared" ref="J92:K92" si="112">J$20 * J47 * thousand / PowerFactor</f>
        <v>0</v>
      </c>
      <c r="K92" s="275">
        <f t="shared" si="112"/>
        <v>0</v>
      </c>
      <c r="L92" s="275">
        <f t="shared" ref="L92:M92" si="113">L$20 * L47 * thousand / PowerFactor</f>
        <v>0</v>
      </c>
      <c r="M92" s="275">
        <f t="shared" si="113"/>
        <v>0</v>
      </c>
      <c r="N92" s="275">
        <f t="shared" ref="N92:P92" si="114">N$20 * N47 * thousand / PowerFactor</f>
        <v>0</v>
      </c>
      <c r="O92" s="275">
        <f t="shared" si="114"/>
        <v>0</v>
      </c>
      <c r="P92" s="275">
        <f t="shared" si="114"/>
        <v>0</v>
      </c>
      <c r="Q92" s="275">
        <f t="shared" ref="Q92:S92" si="115">Q$20 * Q47 * thousand / PowerFactor</f>
        <v>0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25">
      <c r="C93" s="86"/>
      <c r="D93" s="293"/>
      <c r="F93" s="293" t="s">
        <v>50</v>
      </c>
      <c r="G93" s="293" t="s">
        <v>511</v>
      </c>
      <c r="J93" s="275">
        <f t="shared" ref="J93:K93" si="119">J$20 * J48 * thousand / PowerFactor</f>
        <v>817914.06029218936</v>
      </c>
      <c r="K93" s="275">
        <f t="shared" si="119"/>
        <v>0</v>
      </c>
      <c r="L93" s="275">
        <f t="shared" ref="L93:M93" si="120">L$20 * L48 * thousand / PowerFactor</f>
        <v>243525.82933610096</v>
      </c>
      <c r="M93" s="275">
        <f t="shared" si="120"/>
        <v>0</v>
      </c>
      <c r="N93" s="275">
        <f t="shared" ref="N93:P93" si="121">N$20 * N48 * thousand / PowerFactor</f>
        <v>0</v>
      </c>
      <c r="O93" s="275">
        <f t="shared" si="121"/>
        <v>0</v>
      </c>
      <c r="P93" s="275">
        <f t="shared" si="121"/>
        <v>0</v>
      </c>
      <c r="Q93" s="275">
        <f t="shared" ref="Q93:S93" si="122">Q$20 * Q48 * thousand / PowerFactor</f>
        <v>0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25">
      <c r="C94" s="86"/>
      <c r="D94" s="293"/>
      <c r="F94" s="293" t="s">
        <v>124</v>
      </c>
      <c r="G94" s="293" t="s">
        <v>511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25">
      <c r="C95" s="86"/>
      <c r="D95" s="293"/>
      <c r="F95" s="93" t="s">
        <v>123</v>
      </c>
      <c r="G95" s="93" t="s">
        <v>511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2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25">
      <c r="C97" s="7" t="str">
        <f ca="1">INDEX('Version control'!$H$34:$H$60,MATCH($A$1,'Version control'!$F$34:$F$60,0),1)&amp;"-F: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2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829</v>
      </c>
    </row>
    <row r="99" spans="3:27" x14ac:dyDescent="0.2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25">
      <c r="C100" s="86"/>
      <c r="D100" s="293"/>
      <c r="E100" s="82"/>
      <c r="F100" s="91" t="s">
        <v>267</v>
      </c>
      <c r="G100" s="91" t="s">
        <v>511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25">
      <c r="C101" s="86"/>
      <c r="D101" s="293"/>
      <c r="E101" s="82"/>
      <c r="F101" s="293" t="s">
        <v>43</v>
      </c>
      <c r="G101" s="293" t="s">
        <v>511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25">
      <c r="C102" s="86"/>
      <c r="D102" s="293"/>
      <c r="E102" s="82"/>
      <c r="F102" s="293" t="s">
        <v>44</v>
      </c>
      <c r="G102" s="293" t="s">
        <v>511</v>
      </c>
      <c r="J102" s="275">
        <f t="shared" ref="J102:Y109" si="126">SUMIFS($J72:$Y72,$J$63:$Y$63,J$63)</f>
        <v>0</v>
      </c>
      <c r="K102" s="275">
        <f t="shared" si="126"/>
        <v>0</v>
      </c>
      <c r="L102" s="275">
        <f t="shared" si="126"/>
        <v>0</v>
      </c>
      <c r="M102" s="275">
        <f t="shared" si="126"/>
        <v>0</v>
      </c>
      <c r="N102" s="275">
        <f t="shared" si="126"/>
        <v>0</v>
      </c>
      <c r="O102" s="275">
        <f t="shared" si="126"/>
        <v>0</v>
      </c>
      <c r="P102" s="275">
        <f t="shared" si="126"/>
        <v>0</v>
      </c>
      <c r="Q102" s="275">
        <f t="shared" si="126"/>
        <v>0</v>
      </c>
      <c r="R102" s="275">
        <f t="shared" si="126"/>
        <v>0</v>
      </c>
      <c r="S102" s="275">
        <f t="shared" si="126"/>
        <v>0</v>
      </c>
      <c r="T102" s="275">
        <f t="shared" si="126"/>
        <v>0</v>
      </c>
      <c r="U102" s="275">
        <f t="shared" si="126"/>
        <v>0</v>
      </c>
      <c r="V102" s="275">
        <f t="shared" si="126"/>
        <v>0</v>
      </c>
      <c r="W102" s="275">
        <f t="shared" si="126"/>
        <v>0</v>
      </c>
      <c r="X102" s="275">
        <f t="shared" si="126"/>
        <v>0</v>
      </c>
      <c r="Y102" s="275">
        <f t="shared" si="126"/>
        <v>0</v>
      </c>
    </row>
    <row r="103" spans="3:27" x14ac:dyDescent="0.25">
      <c r="C103" s="86"/>
      <c r="D103" s="293"/>
      <c r="E103" s="82"/>
      <c r="F103" s="293" t="s">
        <v>45</v>
      </c>
      <c r="G103" s="293" t="s">
        <v>511</v>
      </c>
      <c r="J103" s="275">
        <f t="shared" si="126"/>
        <v>0</v>
      </c>
      <c r="K103" s="275">
        <f t="shared" si="126"/>
        <v>0</v>
      </c>
      <c r="L103" s="275">
        <f t="shared" si="126"/>
        <v>0</v>
      </c>
      <c r="M103" s="275">
        <f t="shared" si="126"/>
        <v>0</v>
      </c>
      <c r="N103" s="275">
        <f t="shared" si="126"/>
        <v>0</v>
      </c>
      <c r="O103" s="275">
        <f t="shared" si="126"/>
        <v>0</v>
      </c>
      <c r="P103" s="275">
        <f t="shared" si="126"/>
        <v>0</v>
      </c>
      <c r="Q103" s="275">
        <f t="shared" si="126"/>
        <v>0</v>
      </c>
      <c r="R103" s="275">
        <f t="shared" si="126"/>
        <v>0</v>
      </c>
      <c r="S103" s="275">
        <f t="shared" si="126"/>
        <v>0</v>
      </c>
      <c r="T103" s="275">
        <f t="shared" si="126"/>
        <v>0</v>
      </c>
      <c r="U103" s="275">
        <f t="shared" si="126"/>
        <v>0</v>
      </c>
      <c r="V103" s="275">
        <f t="shared" si="126"/>
        <v>0</v>
      </c>
      <c r="W103" s="275">
        <f t="shared" si="126"/>
        <v>0</v>
      </c>
      <c r="X103" s="275">
        <f t="shared" si="126"/>
        <v>0</v>
      </c>
      <c r="Y103" s="275">
        <f t="shared" si="126"/>
        <v>0</v>
      </c>
    </row>
    <row r="104" spans="3:27" x14ac:dyDescent="0.25">
      <c r="C104" s="86"/>
      <c r="D104" s="293"/>
      <c r="E104" s="82"/>
      <c r="F104" s="293" t="s">
        <v>46</v>
      </c>
      <c r="G104" s="293" t="s">
        <v>511</v>
      </c>
      <c r="J104" s="275">
        <f t="shared" si="126"/>
        <v>0</v>
      </c>
      <c r="K104" s="275">
        <f t="shared" si="126"/>
        <v>0</v>
      </c>
      <c r="L104" s="275">
        <f t="shared" si="126"/>
        <v>0</v>
      </c>
      <c r="M104" s="275">
        <f t="shared" si="126"/>
        <v>0</v>
      </c>
      <c r="N104" s="275">
        <f t="shared" si="126"/>
        <v>0</v>
      </c>
      <c r="O104" s="275">
        <f t="shared" si="126"/>
        <v>0</v>
      </c>
      <c r="P104" s="275">
        <f t="shared" si="126"/>
        <v>0</v>
      </c>
      <c r="Q104" s="275">
        <f t="shared" si="126"/>
        <v>0</v>
      </c>
      <c r="R104" s="275">
        <f t="shared" si="126"/>
        <v>0</v>
      </c>
      <c r="S104" s="275">
        <f t="shared" si="126"/>
        <v>0</v>
      </c>
      <c r="T104" s="275">
        <f t="shared" si="126"/>
        <v>0</v>
      </c>
      <c r="U104" s="275">
        <f t="shared" si="126"/>
        <v>0</v>
      </c>
      <c r="V104" s="275">
        <f t="shared" si="126"/>
        <v>0</v>
      </c>
      <c r="W104" s="275">
        <f t="shared" si="126"/>
        <v>0</v>
      </c>
      <c r="X104" s="275">
        <f t="shared" si="126"/>
        <v>0</v>
      </c>
      <c r="Y104" s="275">
        <f t="shared" si="126"/>
        <v>0</v>
      </c>
    </row>
    <row r="105" spans="3:27" x14ac:dyDescent="0.25">
      <c r="C105" s="86"/>
      <c r="D105" s="293"/>
      <c r="E105" s="82"/>
      <c r="F105" s="293" t="s">
        <v>47</v>
      </c>
      <c r="G105" s="293" t="s">
        <v>511</v>
      </c>
      <c r="J105" s="275">
        <f t="shared" si="126"/>
        <v>0</v>
      </c>
      <c r="K105" s="275">
        <f t="shared" si="126"/>
        <v>0</v>
      </c>
      <c r="L105" s="275">
        <f t="shared" si="126"/>
        <v>0</v>
      </c>
      <c r="M105" s="275">
        <f t="shared" si="126"/>
        <v>0</v>
      </c>
      <c r="N105" s="275">
        <f t="shared" si="126"/>
        <v>0</v>
      </c>
      <c r="O105" s="275">
        <f t="shared" si="126"/>
        <v>0</v>
      </c>
      <c r="P105" s="275">
        <f t="shared" si="126"/>
        <v>0</v>
      </c>
      <c r="Q105" s="275">
        <f t="shared" si="126"/>
        <v>0</v>
      </c>
      <c r="R105" s="275">
        <f t="shared" si="126"/>
        <v>0</v>
      </c>
      <c r="S105" s="275">
        <f t="shared" si="126"/>
        <v>0</v>
      </c>
      <c r="T105" s="275">
        <f t="shared" si="126"/>
        <v>0</v>
      </c>
      <c r="U105" s="275">
        <f t="shared" si="126"/>
        <v>0</v>
      </c>
      <c r="V105" s="275">
        <f t="shared" si="126"/>
        <v>0</v>
      </c>
      <c r="W105" s="275">
        <f t="shared" si="126"/>
        <v>0</v>
      </c>
      <c r="X105" s="275">
        <f t="shared" si="126"/>
        <v>0</v>
      </c>
      <c r="Y105" s="275">
        <f t="shared" si="126"/>
        <v>0</v>
      </c>
    </row>
    <row r="106" spans="3:27" x14ac:dyDescent="0.25">
      <c r="C106" s="86"/>
      <c r="D106" s="293"/>
      <c r="E106" s="82"/>
      <c r="F106" s="293" t="s">
        <v>51</v>
      </c>
      <c r="G106" s="293" t="s">
        <v>511</v>
      </c>
      <c r="J106" s="275">
        <f t="shared" si="126"/>
        <v>0</v>
      </c>
      <c r="K106" s="275">
        <f t="shared" si="126"/>
        <v>0</v>
      </c>
      <c r="L106" s="275">
        <f t="shared" si="126"/>
        <v>0</v>
      </c>
      <c r="M106" s="275">
        <f t="shared" si="126"/>
        <v>0</v>
      </c>
      <c r="N106" s="275">
        <f t="shared" si="126"/>
        <v>0</v>
      </c>
      <c r="O106" s="275">
        <f t="shared" si="126"/>
        <v>0</v>
      </c>
      <c r="P106" s="275">
        <f t="shared" si="126"/>
        <v>0</v>
      </c>
      <c r="Q106" s="275">
        <f t="shared" si="126"/>
        <v>0</v>
      </c>
      <c r="R106" s="275">
        <f t="shared" si="126"/>
        <v>0</v>
      </c>
      <c r="S106" s="275">
        <f t="shared" si="126"/>
        <v>0</v>
      </c>
      <c r="T106" s="275">
        <f t="shared" si="126"/>
        <v>0</v>
      </c>
      <c r="U106" s="275">
        <f t="shared" si="126"/>
        <v>0</v>
      </c>
      <c r="V106" s="275">
        <f t="shared" si="126"/>
        <v>0</v>
      </c>
      <c r="W106" s="275">
        <f t="shared" si="126"/>
        <v>0</v>
      </c>
      <c r="X106" s="275">
        <f t="shared" si="126"/>
        <v>0</v>
      </c>
      <c r="Y106" s="275">
        <f t="shared" si="126"/>
        <v>0</v>
      </c>
    </row>
    <row r="107" spans="3:27" x14ac:dyDescent="0.25">
      <c r="C107" s="86"/>
      <c r="D107" s="293"/>
      <c r="E107" s="82"/>
      <c r="F107" s="293" t="s">
        <v>48</v>
      </c>
      <c r="G107" s="293" t="s">
        <v>511</v>
      </c>
      <c r="J107" s="275">
        <f t="shared" si="126"/>
        <v>0</v>
      </c>
      <c r="K107" s="275">
        <f t="shared" si="126"/>
        <v>0</v>
      </c>
      <c r="L107" s="275">
        <f t="shared" si="126"/>
        <v>0</v>
      </c>
      <c r="M107" s="275">
        <f t="shared" si="126"/>
        <v>0</v>
      </c>
      <c r="N107" s="275">
        <f t="shared" si="126"/>
        <v>0</v>
      </c>
      <c r="O107" s="275">
        <f t="shared" si="126"/>
        <v>0</v>
      </c>
      <c r="P107" s="275">
        <f t="shared" si="126"/>
        <v>0</v>
      </c>
      <c r="Q107" s="275">
        <f t="shared" si="126"/>
        <v>0</v>
      </c>
      <c r="R107" s="275">
        <f t="shared" si="126"/>
        <v>0</v>
      </c>
      <c r="S107" s="275">
        <f t="shared" si="126"/>
        <v>0</v>
      </c>
      <c r="T107" s="275">
        <f t="shared" si="126"/>
        <v>0</v>
      </c>
      <c r="U107" s="275">
        <f t="shared" si="126"/>
        <v>0</v>
      </c>
      <c r="V107" s="275">
        <f t="shared" si="126"/>
        <v>0</v>
      </c>
      <c r="W107" s="275">
        <f t="shared" si="126"/>
        <v>0</v>
      </c>
      <c r="X107" s="275">
        <f t="shared" si="126"/>
        <v>0</v>
      </c>
      <c r="Y107" s="275">
        <f t="shared" si="126"/>
        <v>0</v>
      </c>
    </row>
    <row r="108" spans="3:27" x14ac:dyDescent="0.25">
      <c r="C108" s="86"/>
      <c r="D108" s="293"/>
      <c r="E108" s="82"/>
      <c r="F108" s="293" t="s">
        <v>49</v>
      </c>
      <c r="G108" s="293" t="s">
        <v>511</v>
      </c>
      <c r="J108" s="275">
        <f t="shared" si="126"/>
        <v>0</v>
      </c>
      <c r="K108" s="275">
        <f t="shared" si="126"/>
        <v>0</v>
      </c>
      <c r="L108" s="275">
        <f t="shared" si="126"/>
        <v>0</v>
      </c>
      <c r="M108" s="275">
        <f t="shared" si="126"/>
        <v>0</v>
      </c>
      <c r="N108" s="275">
        <f t="shared" si="126"/>
        <v>0</v>
      </c>
      <c r="O108" s="275">
        <f t="shared" si="126"/>
        <v>0</v>
      </c>
      <c r="P108" s="275">
        <f t="shared" si="126"/>
        <v>0</v>
      </c>
      <c r="Q108" s="275">
        <f t="shared" si="126"/>
        <v>0</v>
      </c>
      <c r="R108" s="275">
        <f t="shared" si="126"/>
        <v>0</v>
      </c>
      <c r="S108" s="275">
        <f t="shared" si="126"/>
        <v>0</v>
      </c>
      <c r="T108" s="275">
        <f t="shared" si="126"/>
        <v>0</v>
      </c>
      <c r="U108" s="275">
        <f t="shared" si="126"/>
        <v>0</v>
      </c>
      <c r="V108" s="275">
        <f t="shared" si="126"/>
        <v>0</v>
      </c>
      <c r="W108" s="275">
        <f t="shared" si="126"/>
        <v>0</v>
      </c>
      <c r="X108" s="275">
        <f t="shared" si="126"/>
        <v>0</v>
      </c>
      <c r="Y108" s="275">
        <f t="shared" si="126"/>
        <v>0</v>
      </c>
    </row>
    <row r="109" spans="3:27" x14ac:dyDescent="0.25">
      <c r="C109" s="86"/>
      <c r="D109" s="293"/>
      <c r="E109" s="82"/>
      <c r="F109" s="293" t="s">
        <v>50</v>
      </c>
      <c r="G109" s="293" t="s">
        <v>511</v>
      </c>
      <c r="J109" s="275">
        <f t="shared" si="126"/>
        <v>110250.02604295113</v>
      </c>
      <c r="K109" s="275">
        <f t="shared" si="126"/>
        <v>0</v>
      </c>
      <c r="L109" s="275">
        <f t="shared" si="126"/>
        <v>110250.02604295113</v>
      </c>
      <c r="M109" s="275">
        <f t="shared" si="126"/>
        <v>0</v>
      </c>
      <c r="N109" s="275">
        <f t="shared" si="126"/>
        <v>0</v>
      </c>
      <c r="O109" s="275">
        <f t="shared" si="126"/>
        <v>0</v>
      </c>
      <c r="P109" s="275">
        <f t="shared" si="126"/>
        <v>0</v>
      </c>
      <c r="Q109" s="275">
        <f t="shared" si="126"/>
        <v>0</v>
      </c>
      <c r="R109" s="275">
        <f t="shared" si="126"/>
        <v>0</v>
      </c>
      <c r="S109" s="275">
        <f t="shared" si="126"/>
        <v>0</v>
      </c>
      <c r="T109" s="275">
        <f t="shared" si="126"/>
        <v>0</v>
      </c>
      <c r="U109" s="275">
        <f t="shared" si="126"/>
        <v>0</v>
      </c>
      <c r="V109" s="275">
        <f t="shared" si="126"/>
        <v>0</v>
      </c>
      <c r="W109" s="275">
        <f t="shared" si="126"/>
        <v>0</v>
      </c>
      <c r="X109" s="275">
        <f t="shared" si="126"/>
        <v>0</v>
      </c>
      <c r="Y109" s="275">
        <f t="shared" si="126"/>
        <v>0</v>
      </c>
    </row>
    <row r="110" spans="3:27" x14ac:dyDescent="0.25">
      <c r="C110" s="86"/>
      <c r="D110" s="293"/>
      <c r="E110" s="82"/>
      <c r="F110" s="293" t="s">
        <v>124</v>
      </c>
      <c r="G110" s="293" t="s">
        <v>511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25">
      <c r="C111" s="86"/>
      <c r="D111" s="293"/>
      <c r="E111" s="82"/>
      <c r="F111" s="93" t="s">
        <v>123</v>
      </c>
      <c r="G111" s="93" t="s">
        <v>511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2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2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25">
      <c r="C114" s="86"/>
      <c r="D114" s="293"/>
      <c r="F114" s="91" t="s">
        <v>267</v>
      </c>
      <c r="G114" s="91" t="s">
        <v>511</v>
      </c>
      <c r="H114" s="91"/>
      <c r="I114" s="91"/>
      <c r="J114" s="267">
        <f t="shared" ref="J114:Y123" si="127">SUMIFS($J84:$Y84,$J$63:$Y$63,J$63)</f>
        <v>0</v>
      </c>
      <c r="K114" s="267">
        <f t="shared" si="127"/>
        <v>0</v>
      </c>
      <c r="L114" s="267">
        <f t="shared" si="127"/>
        <v>0</v>
      </c>
      <c r="M114" s="267">
        <f t="shared" si="127"/>
        <v>0</v>
      </c>
      <c r="N114" s="267">
        <f t="shared" si="127"/>
        <v>0</v>
      </c>
      <c r="O114" s="267">
        <f t="shared" si="127"/>
        <v>0</v>
      </c>
      <c r="P114" s="267">
        <f t="shared" si="127"/>
        <v>0</v>
      </c>
      <c r="Q114" s="267">
        <f t="shared" si="127"/>
        <v>0</v>
      </c>
      <c r="R114" s="267">
        <f t="shared" si="127"/>
        <v>0</v>
      </c>
      <c r="S114" s="267">
        <f t="shared" si="127"/>
        <v>0</v>
      </c>
      <c r="T114" s="267">
        <f t="shared" si="127"/>
        <v>0</v>
      </c>
      <c r="U114" s="267">
        <f t="shared" si="127"/>
        <v>0</v>
      </c>
      <c r="V114" s="267">
        <f t="shared" si="127"/>
        <v>0</v>
      </c>
      <c r="W114" s="267">
        <f t="shared" si="127"/>
        <v>0</v>
      </c>
      <c r="X114" s="267">
        <f t="shared" si="127"/>
        <v>0</v>
      </c>
      <c r="Y114" s="267">
        <f t="shared" si="127"/>
        <v>0</v>
      </c>
    </row>
    <row r="115" spans="3:27" x14ac:dyDescent="0.25">
      <c r="C115" s="86"/>
      <c r="D115" s="293"/>
      <c r="F115" s="293" t="s">
        <v>43</v>
      </c>
      <c r="G115" s="293" t="s">
        <v>511</v>
      </c>
      <c r="J115" s="275">
        <f t="shared" si="127"/>
        <v>0</v>
      </c>
      <c r="K115" s="275">
        <f t="shared" si="127"/>
        <v>0</v>
      </c>
      <c r="L115" s="275">
        <f t="shared" si="127"/>
        <v>0</v>
      </c>
      <c r="M115" s="275">
        <f t="shared" si="127"/>
        <v>0</v>
      </c>
      <c r="N115" s="275">
        <f t="shared" si="127"/>
        <v>0</v>
      </c>
      <c r="O115" s="275">
        <f t="shared" si="127"/>
        <v>0</v>
      </c>
      <c r="P115" s="275">
        <f t="shared" si="127"/>
        <v>0</v>
      </c>
      <c r="Q115" s="275">
        <f t="shared" si="127"/>
        <v>0</v>
      </c>
      <c r="R115" s="275">
        <f t="shared" si="127"/>
        <v>0</v>
      </c>
      <c r="S115" s="275">
        <f t="shared" si="127"/>
        <v>0</v>
      </c>
      <c r="T115" s="275">
        <f t="shared" si="127"/>
        <v>0</v>
      </c>
      <c r="U115" s="275">
        <f t="shared" si="127"/>
        <v>0</v>
      </c>
      <c r="V115" s="275">
        <f t="shared" si="127"/>
        <v>0</v>
      </c>
      <c r="W115" s="275">
        <f t="shared" si="127"/>
        <v>0</v>
      </c>
      <c r="X115" s="275">
        <f t="shared" si="127"/>
        <v>0</v>
      </c>
      <c r="Y115" s="275">
        <f t="shared" si="127"/>
        <v>0</v>
      </c>
    </row>
    <row r="116" spans="3:27" x14ac:dyDescent="0.25">
      <c r="C116" s="86"/>
      <c r="D116" s="293"/>
      <c r="F116" s="293" t="s">
        <v>44</v>
      </c>
      <c r="G116" s="293" t="s">
        <v>511</v>
      </c>
      <c r="J116" s="275">
        <f t="shared" si="127"/>
        <v>0</v>
      </c>
      <c r="K116" s="275">
        <f t="shared" si="127"/>
        <v>0</v>
      </c>
      <c r="L116" s="275">
        <f t="shared" si="127"/>
        <v>0</v>
      </c>
      <c r="M116" s="275">
        <f t="shared" si="127"/>
        <v>0</v>
      </c>
      <c r="N116" s="275">
        <f t="shared" si="127"/>
        <v>0</v>
      </c>
      <c r="O116" s="275">
        <f t="shared" si="127"/>
        <v>0</v>
      </c>
      <c r="P116" s="275">
        <f t="shared" si="127"/>
        <v>0</v>
      </c>
      <c r="Q116" s="275">
        <f t="shared" si="127"/>
        <v>0</v>
      </c>
      <c r="R116" s="275">
        <f t="shared" si="127"/>
        <v>0</v>
      </c>
      <c r="S116" s="275">
        <f t="shared" si="127"/>
        <v>0</v>
      </c>
      <c r="T116" s="275">
        <f t="shared" si="127"/>
        <v>0</v>
      </c>
      <c r="U116" s="275">
        <f t="shared" si="127"/>
        <v>0</v>
      </c>
      <c r="V116" s="275">
        <f t="shared" si="127"/>
        <v>0</v>
      </c>
      <c r="W116" s="275">
        <f t="shared" si="127"/>
        <v>0</v>
      </c>
      <c r="X116" s="275">
        <f t="shared" si="127"/>
        <v>0</v>
      </c>
      <c r="Y116" s="275">
        <f t="shared" si="127"/>
        <v>0</v>
      </c>
    </row>
    <row r="117" spans="3:27" x14ac:dyDescent="0.25">
      <c r="C117" s="86"/>
      <c r="D117" s="293"/>
      <c r="F117" s="293" t="s">
        <v>45</v>
      </c>
      <c r="G117" s="293" t="s">
        <v>511</v>
      </c>
      <c r="J117" s="275">
        <f t="shared" si="127"/>
        <v>0</v>
      </c>
      <c r="K117" s="275">
        <f t="shared" si="127"/>
        <v>0</v>
      </c>
      <c r="L117" s="275">
        <f t="shared" si="127"/>
        <v>0</v>
      </c>
      <c r="M117" s="275">
        <f t="shared" si="127"/>
        <v>0</v>
      </c>
      <c r="N117" s="275">
        <f t="shared" si="127"/>
        <v>0</v>
      </c>
      <c r="O117" s="275">
        <f t="shared" si="127"/>
        <v>0</v>
      </c>
      <c r="P117" s="275">
        <f t="shared" si="127"/>
        <v>0</v>
      </c>
      <c r="Q117" s="275">
        <f t="shared" si="127"/>
        <v>0</v>
      </c>
      <c r="R117" s="275">
        <f t="shared" si="127"/>
        <v>0</v>
      </c>
      <c r="S117" s="275">
        <f t="shared" si="127"/>
        <v>0</v>
      </c>
      <c r="T117" s="275">
        <f t="shared" si="127"/>
        <v>0</v>
      </c>
      <c r="U117" s="275">
        <f t="shared" si="127"/>
        <v>0</v>
      </c>
      <c r="V117" s="275">
        <f t="shared" si="127"/>
        <v>0</v>
      </c>
      <c r="W117" s="275">
        <f t="shared" si="127"/>
        <v>0</v>
      </c>
      <c r="X117" s="275">
        <f t="shared" si="127"/>
        <v>0</v>
      </c>
      <c r="Y117" s="275">
        <f t="shared" si="127"/>
        <v>0</v>
      </c>
    </row>
    <row r="118" spans="3:27" x14ac:dyDescent="0.25">
      <c r="C118" s="86"/>
      <c r="D118" s="293"/>
      <c r="F118" s="293" t="s">
        <v>46</v>
      </c>
      <c r="G118" s="293" t="s">
        <v>511</v>
      </c>
      <c r="J118" s="275">
        <f t="shared" si="127"/>
        <v>0</v>
      </c>
      <c r="K118" s="275">
        <f t="shared" si="127"/>
        <v>0</v>
      </c>
      <c r="L118" s="275">
        <f t="shared" si="127"/>
        <v>0</v>
      </c>
      <c r="M118" s="275">
        <f t="shared" si="127"/>
        <v>0</v>
      </c>
      <c r="N118" s="275">
        <f t="shared" si="127"/>
        <v>0</v>
      </c>
      <c r="O118" s="275">
        <f t="shared" si="127"/>
        <v>0</v>
      </c>
      <c r="P118" s="275">
        <f t="shared" si="127"/>
        <v>0</v>
      </c>
      <c r="Q118" s="275">
        <f t="shared" si="127"/>
        <v>0</v>
      </c>
      <c r="R118" s="275">
        <f t="shared" si="127"/>
        <v>0</v>
      </c>
      <c r="S118" s="275">
        <f t="shared" si="127"/>
        <v>0</v>
      </c>
      <c r="T118" s="275">
        <f t="shared" si="127"/>
        <v>0</v>
      </c>
      <c r="U118" s="275">
        <f t="shared" si="127"/>
        <v>0</v>
      </c>
      <c r="V118" s="275">
        <f t="shared" si="127"/>
        <v>0</v>
      </c>
      <c r="W118" s="275">
        <f t="shared" si="127"/>
        <v>0</v>
      </c>
      <c r="X118" s="275">
        <f t="shared" si="127"/>
        <v>0</v>
      </c>
      <c r="Y118" s="275">
        <f t="shared" si="127"/>
        <v>0</v>
      </c>
    </row>
    <row r="119" spans="3:27" x14ac:dyDescent="0.25">
      <c r="C119" s="86"/>
      <c r="D119" s="293"/>
      <c r="F119" s="293" t="s">
        <v>47</v>
      </c>
      <c r="G119" s="293" t="s">
        <v>511</v>
      </c>
      <c r="J119" s="275">
        <f t="shared" si="127"/>
        <v>0</v>
      </c>
      <c r="K119" s="275">
        <f t="shared" si="127"/>
        <v>0</v>
      </c>
      <c r="L119" s="275">
        <f t="shared" si="127"/>
        <v>0</v>
      </c>
      <c r="M119" s="275">
        <f t="shared" si="127"/>
        <v>0</v>
      </c>
      <c r="N119" s="275">
        <f t="shared" si="127"/>
        <v>0</v>
      </c>
      <c r="O119" s="275">
        <f t="shared" si="127"/>
        <v>0</v>
      </c>
      <c r="P119" s="275">
        <f t="shared" si="127"/>
        <v>0</v>
      </c>
      <c r="Q119" s="275">
        <f t="shared" si="127"/>
        <v>0</v>
      </c>
      <c r="R119" s="275">
        <f t="shared" si="127"/>
        <v>0</v>
      </c>
      <c r="S119" s="275">
        <f t="shared" si="127"/>
        <v>0</v>
      </c>
      <c r="T119" s="275">
        <f t="shared" si="127"/>
        <v>0</v>
      </c>
      <c r="U119" s="275">
        <f t="shared" si="127"/>
        <v>0</v>
      </c>
      <c r="V119" s="275">
        <f t="shared" si="127"/>
        <v>0</v>
      </c>
      <c r="W119" s="275">
        <f t="shared" si="127"/>
        <v>0</v>
      </c>
      <c r="X119" s="275">
        <f t="shared" si="127"/>
        <v>0</v>
      </c>
      <c r="Y119" s="275">
        <f t="shared" si="127"/>
        <v>0</v>
      </c>
    </row>
    <row r="120" spans="3:27" x14ac:dyDescent="0.25">
      <c r="C120" s="86"/>
      <c r="D120" s="293"/>
      <c r="F120" s="293" t="s">
        <v>51</v>
      </c>
      <c r="G120" s="293" t="s">
        <v>511</v>
      </c>
      <c r="J120" s="275">
        <f t="shared" si="127"/>
        <v>0</v>
      </c>
      <c r="K120" s="275">
        <f t="shared" si="127"/>
        <v>0</v>
      </c>
      <c r="L120" s="275">
        <f t="shared" si="127"/>
        <v>0</v>
      </c>
      <c r="M120" s="275">
        <f t="shared" si="127"/>
        <v>0</v>
      </c>
      <c r="N120" s="275">
        <f t="shared" si="127"/>
        <v>0</v>
      </c>
      <c r="O120" s="275">
        <f t="shared" si="127"/>
        <v>0</v>
      </c>
      <c r="P120" s="275">
        <f t="shared" si="127"/>
        <v>0</v>
      </c>
      <c r="Q120" s="275">
        <f t="shared" si="127"/>
        <v>0</v>
      </c>
      <c r="R120" s="275">
        <f t="shared" si="127"/>
        <v>0</v>
      </c>
      <c r="S120" s="275">
        <f t="shared" si="127"/>
        <v>0</v>
      </c>
      <c r="T120" s="275">
        <f t="shared" si="127"/>
        <v>0</v>
      </c>
      <c r="U120" s="275">
        <f t="shared" si="127"/>
        <v>0</v>
      </c>
      <c r="V120" s="275">
        <f t="shared" si="127"/>
        <v>0</v>
      </c>
      <c r="W120" s="275">
        <f t="shared" si="127"/>
        <v>0</v>
      </c>
      <c r="X120" s="275">
        <f t="shared" si="127"/>
        <v>0</v>
      </c>
      <c r="Y120" s="275">
        <f t="shared" si="127"/>
        <v>0</v>
      </c>
    </row>
    <row r="121" spans="3:27" x14ac:dyDescent="0.25">
      <c r="C121" s="86"/>
      <c r="D121" s="293"/>
      <c r="F121" s="293" t="s">
        <v>48</v>
      </c>
      <c r="G121" s="293" t="s">
        <v>511</v>
      </c>
      <c r="J121" s="275">
        <f t="shared" si="127"/>
        <v>0</v>
      </c>
      <c r="K121" s="275">
        <f t="shared" si="127"/>
        <v>0</v>
      </c>
      <c r="L121" s="275">
        <f t="shared" si="127"/>
        <v>0</v>
      </c>
      <c r="M121" s="275">
        <f t="shared" si="127"/>
        <v>0</v>
      </c>
      <c r="N121" s="275">
        <f t="shared" si="127"/>
        <v>0</v>
      </c>
      <c r="O121" s="275">
        <f t="shared" si="127"/>
        <v>0</v>
      </c>
      <c r="P121" s="275">
        <f t="shared" si="127"/>
        <v>0</v>
      </c>
      <c r="Q121" s="275">
        <f t="shared" si="127"/>
        <v>0</v>
      </c>
      <c r="R121" s="275">
        <f t="shared" si="127"/>
        <v>0</v>
      </c>
      <c r="S121" s="275">
        <f t="shared" si="127"/>
        <v>0</v>
      </c>
      <c r="T121" s="275">
        <f t="shared" si="127"/>
        <v>0</v>
      </c>
      <c r="U121" s="275">
        <f t="shared" si="127"/>
        <v>0</v>
      </c>
      <c r="V121" s="275">
        <f t="shared" si="127"/>
        <v>0</v>
      </c>
      <c r="W121" s="275">
        <f t="shared" si="127"/>
        <v>0</v>
      </c>
      <c r="X121" s="275">
        <f t="shared" si="127"/>
        <v>0</v>
      </c>
      <c r="Y121" s="275">
        <f t="shared" si="127"/>
        <v>0</v>
      </c>
    </row>
    <row r="122" spans="3:27" x14ac:dyDescent="0.25">
      <c r="C122" s="86"/>
      <c r="D122" s="293"/>
      <c r="F122" s="293" t="s">
        <v>49</v>
      </c>
      <c r="G122" s="293" t="s">
        <v>511</v>
      </c>
      <c r="J122" s="275">
        <f t="shared" si="127"/>
        <v>0</v>
      </c>
      <c r="K122" s="275">
        <f t="shared" si="127"/>
        <v>0</v>
      </c>
      <c r="L122" s="275">
        <f t="shared" si="127"/>
        <v>0</v>
      </c>
      <c r="M122" s="275">
        <f t="shared" si="127"/>
        <v>0</v>
      </c>
      <c r="N122" s="275">
        <f t="shared" si="127"/>
        <v>0</v>
      </c>
      <c r="O122" s="275">
        <f t="shared" si="127"/>
        <v>0</v>
      </c>
      <c r="P122" s="275">
        <f t="shared" si="127"/>
        <v>0</v>
      </c>
      <c r="Q122" s="275">
        <f t="shared" si="127"/>
        <v>0</v>
      </c>
      <c r="R122" s="275">
        <f t="shared" si="127"/>
        <v>0</v>
      </c>
      <c r="S122" s="275">
        <f t="shared" si="127"/>
        <v>0</v>
      </c>
      <c r="T122" s="275">
        <f t="shared" si="127"/>
        <v>0</v>
      </c>
      <c r="U122" s="275">
        <f t="shared" si="127"/>
        <v>0</v>
      </c>
      <c r="V122" s="275">
        <f t="shared" si="127"/>
        <v>0</v>
      </c>
      <c r="W122" s="275">
        <f t="shared" si="127"/>
        <v>0</v>
      </c>
      <c r="X122" s="275">
        <f t="shared" si="127"/>
        <v>0</v>
      </c>
      <c r="Y122" s="275">
        <f t="shared" si="127"/>
        <v>0</v>
      </c>
    </row>
    <row r="123" spans="3:27" x14ac:dyDescent="0.25">
      <c r="C123" s="86"/>
      <c r="D123" s="293"/>
      <c r="F123" s="293" t="s">
        <v>50</v>
      </c>
      <c r="G123" s="293" t="s">
        <v>511</v>
      </c>
      <c r="J123" s="275">
        <f t="shared" si="127"/>
        <v>1061439.8896282902</v>
      </c>
      <c r="K123" s="275">
        <f t="shared" si="127"/>
        <v>0</v>
      </c>
      <c r="L123" s="275">
        <f t="shared" si="127"/>
        <v>1061439.8896282902</v>
      </c>
      <c r="M123" s="275">
        <f t="shared" si="127"/>
        <v>0</v>
      </c>
      <c r="N123" s="275">
        <f t="shared" si="127"/>
        <v>0</v>
      </c>
      <c r="O123" s="275">
        <f t="shared" si="127"/>
        <v>0</v>
      </c>
      <c r="P123" s="275">
        <f t="shared" si="127"/>
        <v>0</v>
      </c>
      <c r="Q123" s="275">
        <f t="shared" si="127"/>
        <v>0</v>
      </c>
      <c r="R123" s="275">
        <f t="shared" si="127"/>
        <v>0</v>
      </c>
      <c r="S123" s="275">
        <f t="shared" si="127"/>
        <v>0</v>
      </c>
      <c r="T123" s="275">
        <f t="shared" si="127"/>
        <v>0</v>
      </c>
      <c r="U123" s="275">
        <f t="shared" si="127"/>
        <v>0</v>
      </c>
      <c r="V123" s="275">
        <f t="shared" si="127"/>
        <v>0</v>
      </c>
      <c r="W123" s="275">
        <f t="shared" si="127"/>
        <v>0</v>
      </c>
      <c r="X123" s="275">
        <f t="shared" si="127"/>
        <v>0</v>
      </c>
      <c r="Y123" s="275">
        <f t="shared" si="127"/>
        <v>0</v>
      </c>
    </row>
    <row r="124" spans="3:27" x14ac:dyDescent="0.25">
      <c r="C124" s="86"/>
      <c r="D124" s="293"/>
      <c r="F124" s="293" t="s">
        <v>124</v>
      </c>
      <c r="G124" s="293" t="s">
        <v>511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25">
      <c r="C125" s="86"/>
      <c r="D125" s="293"/>
      <c r="F125" s="93" t="s">
        <v>123</v>
      </c>
      <c r="G125" s="93" t="s">
        <v>511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2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25">
      <c r="C127" s="7" t="str">
        <f ca="1">INDEX('Version control'!$H$34:$H$60,MATCH($A$1,'Version control'!$F$34:$F$60,0),1)&amp;"-G: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25">
      <c r="D128" s="293"/>
      <c r="E128" s="96"/>
    </row>
    <row r="129" spans="3:27" x14ac:dyDescent="0.25">
      <c r="D129" s="293"/>
      <c r="E129" s="293" t="s">
        <v>591</v>
      </c>
      <c r="G129" s="293" t="s">
        <v>74</v>
      </c>
      <c r="J129" s="252">
        <f t="shared" ref="J129:Y129" si="128">SUMIFS($J$18:$Y$18,$J$63:$Y$63,J63)</f>
        <v>1523421.8693256532</v>
      </c>
      <c r="K129" s="252">
        <f t="shared" si="128"/>
        <v>15013.579696534427</v>
      </c>
      <c r="L129" s="252">
        <f t="shared" si="128"/>
        <v>1523421.8693256532</v>
      </c>
      <c r="M129" s="252">
        <f t="shared" si="128"/>
        <v>15013.579696534427</v>
      </c>
      <c r="N129" s="252">
        <f t="shared" si="128"/>
        <v>15013.579696534427</v>
      </c>
      <c r="O129" s="252">
        <f t="shared" si="128"/>
        <v>15013.579696534427</v>
      </c>
      <c r="P129" s="252">
        <f t="shared" si="128"/>
        <v>15013.579696534427</v>
      </c>
      <c r="Q129" s="252">
        <f t="shared" si="128"/>
        <v>15013.579696534427</v>
      </c>
      <c r="R129" s="252">
        <f t="shared" si="128"/>
        <v>15013.579696534427</v>
      </c>
      <c r="S129" s="252">
        <f t="shared" si="128"/>
        <v>15013.579696534427</v>
      </c>
      <c r="T129" s="252">
        <f t="shared" si="128"/>
        <v>15013.579696534427</v>
      </c>
      <c r="U129" s="252">
        <f t="shared" si="128"/>
        <v>15013.579696534427</v>
      </c>
      <c r="V129" s="252">
        <f t="shared" si="128"/>
        <v>15013.579696534427</v>
      </c>
      <c r="W129" s="252">
        <f t="shared" si="128"/>
        <v>15013.579696534427</v>
      </c>
      <c r="X129" s="252">
        <f t="shared" si="128"/>
        <v>15013.579696534427</v>
      </c>
      <c r="Y129" s="252">
        <f t="shared" si="128"/>
        <v>15013.579696534427</v>
      </c>
    </row>
    <row r="130" spans="3:27" x14ac:dyDescent="0.25">
      <c r="D130" s="293"/>
      <c r="E130" s="293"/>
    </row>
    <row r="131" spans="3:27" x14ac:dyDescent="0.2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829</v>
      </c>
    </row>
    <row r="132" spans="3:27" x14ac:dyDescent="0.2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2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2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2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2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2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2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2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2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25">
      <c r="C141" s="86"/>
      <c r="E141" s="82"/>
      <c r="F141" s="293" t="s">
        <v>50</v>
      </c>
      <c r="G141" s="293" t="s">
        <v>252</v>
      </c>
      <c r="J141" s="275">
        <f t="shared" si="129"/>
        <v>7.2369990389959143E-2</v>
      </c>
      <c r="K141" s="275">
        <f t="shared" si="129"/>
        <v>0</v>
      </c>
      <c r="L141" s="275">
        <f t="shared" si="129"/>
        <v>7.2369990389959143E-2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2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2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2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2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2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2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2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2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2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2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2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25">
      <c r="C155" s="86"/>
      <c r="F155" s="293" t="s">
        <v>50</v>
      </c>
      <c r="G155" s="293" t="s">
        <v>252</v>
      </c>
      <c r="J155" s="275">
        <f t="shared" si="130"/>
        <v>0.69674717883506521</v>
      </c>
      <c r="K155" s="275">
        <f t="shared" si="130"/>
        <v>0</v>
      </c>
      <c r="L155" s="275">
        <f t="shared" si="130"/>
        <v>0.69674717883506521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25">
      <c r="C156" s="86"/>
      <c r="D156" s="293"/>
      <c r="F156" s="91" t="s">
        <v>124</v>
      </c>
      <c r="G156" s="91" t="s">
        <v>252</v>
      </c>
      <c r="H156" s="91"/>
      <c r="I156" s="91"/>
      <c r="J156" s="267">
        <f t="shared" ref="J156:Y157" si="131">J55</f>
        <v>3.2967354540275884</v>
      </c>
      <c r="K156" s="267">
        <f t="shared" si="131"/>
        <v>0</v>
      </c>
      <c r="L156" s="267">
        <f t="shared" si="131"/>
        <v>4.4405987880236575</v>
      </c>
      <c r="M156" s="267">
        <f t="shared" si="131"/>
        <v>0</v>
      </c>
      <c r="N156" s="267">
        <f t="shared" si="131"/>
        <v>20.773710300729842</v>
      </c>
      <c r="O156" s="267">
        <f t="shared" si="131"/>
        <v>7.331897753198767</v>
      </c>
      <c r="P156" s="267">
        <f t="shared" si="131"/>
        <v>0</v>
      </c>
      <c r="Q156" s="267">
        <f t="shared" si="131"/>
        <v>0</v>
      </c>
      <c r="R156" s="267">
        <f t="shared" si="131"/>
        <v>0</v>
      </c>
      <c r="S156" s="267">
        <f t="shared" si="131"/>
        <v>0</v>
      </c>
      <c r="T156" s="267">
        <f t="shared" si="131"/>
        <v>0</v>
      </c>
      <c r="U156" s="267">
        <f t="shared" si="131"/>
        <v>0</v>
      </c>
      <c r="V156" s="267">
        <f t="shared" si="131"/>
        <v>0</v>
      </c>
      <c r="W156" s="267">
        <f t="shared" si="131"/>
        <v>0</v>
      </c>
      <c r="X156" s="267">
        <f t="shared" si="131"/>
        <v>0</v>
      </c>
      <c r="Y156" s="267">
        <f t="shared" si="131"/>
        <v>0</v>
      </c>
    </row>
    <row r="157" spans="3:27" x14ac:dyDescent="0.25">
      <c r="C157" s="86"/>
      <c r="D157" s="293"/>
      <c r="F157" s="93" t="s">
        <v>123</v>
      </c>
      <c r="G157" s="93" t="s">
        <v>252</v>
      </c>
      <c r="H157" s="93"/>
      <c r="I157" s="93"/>
      <c r="J157" s="268">
        <f t="shared" si="131"/>
        <v>0</v>
      </c>
      <c r="K157" s="268">
        <f t="shared" si="131"/>
        <v>0</v>
      </c>
      <c r="L157" s="268">
        <f t="shared" si="131"/>
        <v>0</v>
      </c>
      <c r="M157" s="268">
        <f t="shared" si="131"/>
        <v>0</v>
      </c>
      <c r="N157" s="268">
        <f t="shared" si="131"/>
        <v>0</v>
      </c>
      <c r="O157" s="268">
        <f t="shared" si="131"/>
        <v>0</v>
      </c>
      <c r="P157" s="268">
        <f t="shared" si="131"/>
        <v>111.00934456389379</v>
      </c>
      <c r="Q157" s="268">
        <f t="shared" si="131"/>
        <v>0</v>
      </c>
      <c r="R157" s="268">
        <f t="shared" si="131"/>
        <v>0</v>
      </c>
      <c r="S157" s="268">
        <f t="shared" si="131"/>
        <v>0</v>
      </c>
      <c r="T157" s="268">
        <f t="shared" si="131"/>
        <v>0</v>
      </c>
      <c r="U157" s="268">
        <f t="shared" si="131"/>
        <v>0</v>
      </c>
      <c r="V157" s="268">
        <f t="shared" si="131"/>
        <v>0</v>
      </c>
      <c r="W157" s="268">
        <f t="shared" si="131"/>
        <v>0</v>
      </c>
      <c r="X157" s="268">
        <f t="shared" si="131"/>
        <v>81.061112421377317</v>
      </c>
      <c r="Y157" s="268">
        <f t="shared" si="131"/>
        <v>81.061112421377317</v>
      </c>
    </row>
    <row r="158" spans="3:27" x14ac:dyDescent="0.2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25">
      <c r="C159" s="7" t="str">
        <f ca="1">INDEX('Version control'!$H$34:$H$60,MATCH($A$1,'Version control'!$F$34:$F$60,0),1)&amp;"-H: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25">
      <c r="E161" s="293" t="s">
        <v>254</v>
      </c>
      <c r="G161" s="293" t="s">
        <v>252</v>
      </c>
      <c r="J161" s="256">
        <f t="shared" ref="J161:X161" si="132">SUM(J132:J143,J146:J157)</f>
        <v>4.0658526232526127</v>
      </c>
      <c r="K161" s="256">
        <f t="shared" si="132"/>
        <v>0</v>
      </c>
      <c r="L161" s="256">
        <f t="shared" si="132"/>
        <v>5.2097159572486822</v>
      </c>
      <c r="M161" s="256">
        <f t="shared" si="132"/>
        <v>0</v>
      </c>
      <c r="N161" s="256">
        <f t="shared" si="132"/>
        <v>20.773710300729842</v>
      </c>
      <c r="O161" s="256">
        <f t="shared" si="132"/>
        <v>7.331897753198767</v>
      </c>
      <c r="P161" s="256">
        <f t="shared" si="132"/>
        <v>111.00934456389379</v>
      </c>
      <c r="Q161" s="256">
        <f t="shared" si="132"/>
        <v>0</v>
      </c>
      <c r="R161" s="256">
        <f t="shared" si="132"/>
        <v>0</v>
      </c>
      <c r="S161" s="256">
        <f t="shared" si="132"/>
        <v>0</v>
      </c>
      <c r="T161" s="256">
        <f t="shared" si="132"/>
        <v>0</v>
      </c>
      <c r="U161" s="256">
        <f t="shared" si="132"/>
        <v>0</v>
      </c>
      <c r="V161" s="256">
        <f t="shared" si="132"/>
        <v>0</v>
      </c>
      <c r="W161" s="256">
        <f t="shared" si="132"/>
        <v>0</v>
      </c>
      <c r="X161" s="256">
        <f t="shared" si="132"/>
        <v>81.061112421377317</v>
      </c>
      <c r="Y161" s="256">
        <f>SUM(Y132:Y143,Y146:Y157)</f>
        <v>81.061112421377317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3" t="s">
        <v>416</v>
      </c>
      <c r="G165" s="122" t="s">
        <v>589</v>
      </c>
      <c r="H165" s="310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25">
      <c r="C169" s="86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00000000-0004-0000-1E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4" width="24.5703125" style="293" hidden="1" customWidth="1"/>
    <col min="30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SoLR &amp; bad debt adders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H66 &amp; IF(H66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966</v>
      </c>
      <c r="E9" s="293"/>
    </row>
    <row r="10" spans="1:27" x14ac:dyDescent="0.25">
      <c r="C10" s="82" t="s">
        <v>967</v>
      </c>
      <c r="E10" s="293"/>
    </row>
    <row r="12" spans="1:27" x14ac:dyDescent="0.25">
      <c r="B12" s="95" t="s">
        <v>968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969</v>
      </c>
    </row>
    <row r="16" spans="1:27" x14ac:dyDescent="0.25">
      <c r="C16" s="7" t="str">
        <f ca="1">INDEX('Version control'!$H$34:$H$58,MATCH($A$1,'Version control'!$F$34:$F$58,0),1)&amp;"-A: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86" t="s">
        <v>74</v>
      </c>
      <c r="F18" s="96"/>
    </row>
    <row r="19" spans="3:27" x14ac:dyDescent="0.25">
      <c r="E19" s="82" t="s">
        <v>970</v>
      </c>
      <c r="F19" s="98"/>
    </row>
    <row r="20" spans="3:27" x14ac:dyDescent="0.25">
      <c r="C20" s="86"/>
      <c r="F20" s="91" t="s">
        <v>145</v>
      </c>
      <c r="G20" s="91" t="s">
        <v>74</v>
      </c>
      <c r="H20" s="357"/>
      <c r="I20" s="346"/>
      <c r="J20" s="357">
        <f>'Volume adjustments'!J202</f>
        <v>1393317</v>
      </c>
      <c r="K20" s="357">
        <f>'Volume adjustments'!K202</f>
        <v>3156</v>
      </c>
      <c r="L20" s="357">
        <f>'Volume adjustments'!L202</f>
        <v>100873</v>
      </c>
      <c r="M20" s="357">
        <f>'Volume adjustments'!M202</f>
        <v>997</v>
      </c>
      <c r="N20" s="357">
        <f>'Volume adjustments'!N202</f>
        <v>5399</v>
      </c>
      <c r="O20" s="357">
        <f>'Volume adjustments'!O202</f>
        <v>3075</v>
      </c>
      <c r="P20" s="357">
        <f>'Volume adjustments'!P202</f>
        <v>801</v>
      </c>
      <c r="Q20" s="357">
        <f>'Volume adjustments'!Q202</f>
        <v>574</v>
      </c>
      <c r="R20" s="357">
        <f>'Volume adjustments'!R202</f>
        <v>283</v>
      </c>
      <c r="S20" s="357">
        <f>'Volume adjustments'!S202</f>
        <v>25</v>
      </c>
      <c r="T20" s="357">
        <f>'Volume adjustments'!T202</f>
        <v>317</v>
      </c>
      <c r="U20" s="357">
        <f>'Volume adjustments'!U202</f>
        <v>0</v>
      </c>
      <c r="V20" s="357">
        <f>'Volume adjustments'!V202</f>
        <v>41</v>
      </c>
      <c r="W20" s="357">
        <f>'Volume adjustments'!W202</f>
        <v>0</v>
      </c>
      <c r="X20" s="357">
        <f>'Volume adjustments'!X202</f>
        <v>138</v>
      </c>
      <c r="Y20" s="357">
        <f>'Volume adjustments'!Y202</f>
        <v>0</v>
      </c>
      <c r="Z20" s="348"/>
      <c r="AA20" s="348"/>
    </row>
    <row r="21" spans="3:27" x14ac:dyDescent="0.25">
      <c r="C21" s="86"/>
      <c r="F21" s="293" t="s">
        <v>146</v>
      </c>
      <c r="G21" s="293" t="s">
        <v>74</v>
      </c>
      <c r="H21" s="415"/>
      <c r="I21" s="348"/>
      <c r="J21" s="415">
        <f>'Volume adjustments'!J211</f>
        <v>23151</v>
      </c>
      <c r="K21" s="415">
        <f>'Volume adjustments'!K211</f>
        <v>0</v>
      </c>
      <c r="L21" s="415">
        <f>'Volume adjustments'!L211</f>
        <v>373</v>
      </c>
      <c r="M21" s="415">
        <f>'Volume adjustments'!M211</f>
        <v>0</v>
      </c>
      <c r="N21" s="415">
        <f>'Volume adjustments'!N211</f>
        <v>40</v>
      </c>
      <c r="O21" s="415">
        <f>'Volume adjustments'!O211</f>
        <v>0</v>
      </c>
      <c r="P21" s="415">
        <f>'Volume adjustments'!P211</f>
        <v>0</v>
      </c>
      <c r="Q21" s="415">
        <f>'Volume adjustments'!Q211</f>
        <v>14</v>
      </c>
      <c r="R21" s="415">
        <f>'Volume adjustments'!R211</f>
        <v>0</v>
      </c>
      <c r="S21" s="415">
        <f>'Volume adjustments'!S211</f>
        <v>0</v>
      </c>
      <c r="T21" s="415">
        <f>'Volume adjustments'!T211</f>
        <v>0</v>
      </c>
      <c r="U21" s="415">
        <f>'Volume adjustments'!U211</f>
        <v>0</v>
      </c>
      <c r="V21" s="415">
        <f>'Volume adjustments'!V211</f>
        <v>0</v>
      </c>
      <c r="W21" s="415">
        <f>'Volume adjustments'!W211</f>
        <v>0</v>
      </c>
      <c r="X21" s="415">
        <f>'Volume adjustments'!X211</f>
        <v>0</v>
      </c>
      <c r="Y21" s="415">
        <f>'Volume adjustments'!Y211</f>
        <v>0</v>
      </c>
      <c r="Z21" s="348"/>
      <c r="AA21" s="348"/>
    </row>
    <row r="22" spans="3:27" x14ac:dyDescent="0.25">
      <c r="C22" s="86"/>
      <c r="F22" s="293" t="s">
        <v>147</v>
      </c>
      <c r="G22" s="293" t="s">
        <v>74</v>
      </c>
      <c r="H22" s="415"/>
      <c r="I22" s="348"/>
      <c r="J22" s="415">
        <f>'Volume adjustments'!J220</f>
        <v>31794</v>
      </c>
      <c r="K22" s="415">
        <f>'Volume adjustments'!K220</f>
        <v>0</v>
      </c>
      <c r="L22" s="415">
        <f>'Volume adjustments'!L220</f>
        <v>662</v>
      </c>
      <c r="M22" s="415">
        <f>'Volume adjustments'!M220</f>
        <v>0</v>
      </c>
      <c r="N22" s="415">
        <f>'Volume adjustments'!N220</f>
        <v>262</v>
      </c>
      <c r="O22" s="415">
        <f>'Volume adjustments'!O220</f>
        <v>21</v>
      </c>
      <c r="P22" s="415">
        <f>'Volume adjustments'!P220</f>
        <v>17</v>
      </c>
      <c r="Q22" s="415">
        <f>'Volume adjustments'!Q220</f>
        <v>59</v>
      </c>
      <c r="R22" s="415">
        <f>'Volume adjustments'!R220</f>
        <v>0</v>
      </c>
      <c r="S22" s="415">
        <f>'Volume adjustments'!S220</f>
        <v>0</v>
      </c>
      <c r="T22" s="415">
        <f>'Volume adjustments'!T220</f>
        <v>1</v>
      </c>
      <c r="U22" s="415">
        <f>'Volume adjustments'!U220</f>
        <v>0</v>
      </c>
      <c r="V22" s="415">
        <f>'Volume adjustments'!V220</f>
        <v>0</v>
      </c>
      <c r="W22" s="415">
        <f>'Volume adjustments'!W220</f>
        <v>0</v>
      </c>
      <c r="X22" s="415">
        <f>'Volume adjustments'!X220</f>
        <v>0</v>
      </c>
      <c r="Y22" s="415">
        <f>'Volume adjustments'!Y220</f>
        <v>0</v>
      </c>
      <c r="Z22" s="348"/>
      <c r="AA22" s="348"/>
    </row>
    <row r="23" spans="3:27" x14ac:dyDescent="0.25">
      <c r="C23" s="86"/>
      <c r="F23" s="93" t="s">
        <v>971</v>
      </c>
      <c r="G23" s="93" t="s">
        <v>74</v>
      </c>
      <c r="H23" s="115"/>
      <c r="I23" s="93"/>
      <c r="J23" s="274">
        <f>'Inputs by customer type'!J164</f>
        <v>617</v>
      </c>
      <c r="K23" s="274">
        <f>'Inputs by customer type'!K164</f>
        <v>0</v>
      </c>
      <c r="L23" s="274">
        <f>'Inputs by customer type'!L164</f>
        <v>10</v>
      </c>
      <c r="M23" s="274">
        <f>'Inputs by customer type'!M164</f>
        <v>0</v>
      </c>
      <c r="N23" s="274">
        <f>'Inputs by customer type'!N164</f>
        <v>3</v>
      </c>
      <c r="O23" s="274">
        <f>'Inputs by customer type'!O164</f>
        <v>6</v>
      </c>
      <c r="P23" s="274">
        <f>'Inputs by customer type'!P164</f>
        <v>8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3:27" x14ac:dyDescent="0.2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96" t="s">
        <v>972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3:27" x14ac:dyDescent="0.25">
      <c r="C26" s="86"/>
      <c r="E26" s="293"/>
      <c r="F26" s="91" t="s">
        <v>960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25">
      <c r="C27" s="86"/>
      <c r="E27" s="293"/>
      <c r="F27" s="93" t="s">
        <v>961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25">
      <c r="C28" s="86"/>
      <c r="E28" s="293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</row>
    <row r="29" spans="3:27" x14ac:dyDescent="0.25">
      <c r="C29" s="86"/>
      <c r="E29" s="96" t="s">
        <v>963</v>
      </c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C30" s="86"/>
      <c r="E30" s="293"/>
      <c r="F30" s="91" t="s">
        <v>960</v>
      </c>
      <c r="G30" s="91" t="s">
        <v>107</v>
      </c>
      <c r="H30" s="272">
        <f>'General inputs'!H56</f>
        <v>431905.06499620422</v>
      </c>
      <c r="J30" s="273"/>
      <c r="K30" s="273"/>
      <c r="L30" s="273"/>
      <c r="M30" s="273"/>
      <c r="N30" s="273"/>
      <c r="O30" s="273"/>
      <c r="P30" s="273"/>
      <c r="Q30" s="273"/>
      <c r="R30" s="273"/>
      <c r="S30" s="273"/>
      <c r="T30" s="273"/>
      <c r="U30" s="273"/>
      <c r="V30" s="273"/>
      <c r="W30" s="273"/>
      <c r="X30" s="273"/>
      <c r="Y30" s="273"/>
    </row>
    <row r="31" spans="3:27" x14ac:dyDescent="0.25">
      <c r="C31" s="86"/>
      <c r="E31" s="293"/>
      <c r="F31" s="93" t="s">
        <v>961</v>
      </c>
      <c r="G31" s="93" t="s">
        <v>107</v>
      </c>
      <c r="H31" s="274">
        <f>'General inputs'!H57</f>
        <v>380045.24439727812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3" spans="3:27" x14ac:dyDescent="0.25">
      <c r="C33" s="7" t="str">
        <f ca="1">INDEX('Version control'!$H$34:$H$58,MATCH($A$1,'Version control'!$F$34:$F$58,0),1)&amp;"-B: Calculation of fixed tariff adjustments"</f>
        <v>Section 518-B: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25">
      <c r="C34" s="86"/>
      <c r="E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3:27" x14ac:dyDescent="0.25">
      <c r="C35" s="86"/>
      <c r="E35" s="96" t="s">
        <v>973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3:27" x14ac:dyDescent="0.25">
      <c r="F36" s="91" t="s">
        <v>960</v>
      </c>
      <c r="G36" s="91" t="s">
        <v>74</v>
      </c>
      <c r="H36" s="91"/>
      <c r="I36" s="91"/>
      <c r="J36" s="277">
        <f>SUM( J$20:J$23 ) * J26</f>
        <v>1448879</v>
      </c>
      <c r="K36" s="277">
        <f t="shared" ref="K36:Y36" si="0">SUM( K$20:K$23 ) * K26</f>
        <v>0</v>
      </c>
      <c r="L36" s="277">
        <f t="shared" si="0"/>
        <v>0</v>
      </c>
      <c r="M36" s="277">
        <f t="shared" si="0"/>
        <v>0</v>
      </c>
      <c r="N36" s="277">
        <f t="shared" si="0"/>
        <v>0</v>
      </c>
      <c r="O36" s="277">
        <f t="shared" si="0"/>
        <v>0</v>
      </c>
      <c r="P36" s="277">
        <f t="shared" si="0"/>
        <v>0</v>
      </c>
      <c r="Q36" s="277">
        <f t="shared" si="0"/>
        <v>0</v>
      </c>
      <c r="R36" s="277">
        <f t="shared" si="0"/>
        <v>0</v>
      </c>
      <c r="S36" s="277">
        <f t="shared" si="0"/>
        <v>0</v>
      </c>
      <c r="T36" s="277">
        <f t="shared" si="0"/>
        <v>0</v>
      </c>
      <c r="U36" s="277">
        <f t="shared" si="0"/>
        <v>0</v>
      </c>
      <c r="V36" s="277">
        <f t="shared" si="0"/>
        <v>0</v>
      </c>
      <c r="W36" s="277">
        <f t="shared" si="0"/>
        <v>0</v>
      </c>
      <c r="X36" s="277">
        <f t="shared" si="0"/>
        <v>0</v>
      </c>
      <c r="Y36" s="277">
        <f t="shared" si="0"/>
        <v>0</v>
      </c>
    </row>
    <row r="37" spans="3:27" x14ac:dyDescent="0.25">
      <c r="F37" s="93" t="s">
        <v>961</v>
      </c>
      <c r="G37" s="93" t="s">
        <v>74</v>
      </c>
      <c r="H37" s="93"/>
      <c r="I37" s="93"/>
      <c r="J37" s="271">
        <f t="shared" ref="J37:Y37" si="1">SUM( J$20:J$23 ) * J27</f>
        <v>1448879</v>
      </c>
      <c r="K37" s="271">
        <f t="shared" si="1"/>
        <v>0</v>
      </c>
      <c r="L37" s="271">
        <f t="shared" si="1"/>
        <v>101918</v>
      </c>
      <c r="M37" s="271">
        <f t="shared" si="1"/>
        <v>0</v>
      </c>
      <c r="N37" s="271">
        <f t="shared" si="1"/>
        <v>5704</v>
      </c>
      <c r="O37" s="271">
        <f t="shared" si="1"/>
        <v>3102</v>
      </c>
      <c r="P37" s="271">
        <f t="shared" si="1"/>
        <v>826</v>
      </c>
      <c r="Q37" s="271">
        <f t="shared" si="1"/>
        <v>0</v>
      </c>
      <c r="R37" s="271">
        <f t="shared" si="1"/>
        <v>0</v>
      </c>
      <c r="S37" s="271">
        <f t="shared" si="1"/>
        <v>0</v>
      </c>
      <c r="T37" s="271">
        <f t="shared" si="1"/>
        <v>0</v>
      </c>
      <c r="U37" s="271">
        <f t="shared" si="1"/>
        <v>0</v>
      </c>
      <c r="V37" s="271">
        <f t="shared" si="1"/>
        <v>0</v>
      </c>
      <c r="W37" s="271">
        <f t="shared" si="1"/>
        <v>0</v>
      </c>
      <c r="X37" s="271">
        <f t="shared" si="1"/>
        <v>0</v>
      </c>
      <c r="Y37" s="271">
        <f t="shared" si="1"/>
        <v>0</v>
      </c>
    </row>
    <row r="38" spans="3:27" x14ac:dyDescent="0.25">
      <c r="C38" s="86"/>
      <c r="E38" s="293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7" x14ac:dyDescent="0.25">
      <c r="C39" s="86"/>
      <c r="E39" s="96" t="s">
        <v>974</v>
      </c>
      <c r="I39" s="293" t="s">
        <v>359</v>
      </c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AA39" s="293" t="s">
        <v>996</v>
      </c>
    </row>
    <row r="40" spans="3:27" x14ac:dyDescent="0.25">
      <c r="C40" s="86"/>
      <c r="E40" s="293"/>
      <c r="F40" s="91" t="s">
        <v>960</v>
      </c>
      <c r="G40" s="91" t="s">
        <v>252</v>
      </c>
      <c r="H40" s="253">
        <f>H30 / SUM( J36:Y36 ) * hundred / days_in_year</f>
        <v>8.1670142774849117E-2</v>
      </c>
      <c r="I40" s="111"/>
      <c r="J40" s="411"/>
      <c r="K40" s="411"/>
      <c r="L40" s="411"/>
      <c r="M40" s="411"/>
      <c r="N40" s="411"/>
      <c r="O40" s="411"/>
      <c r="P40" s="411"/>
      <c r="Q40" s="411"/>
      <c r="R40" s="411"/>
      <c r="S40" s="411"/>
      <c r="T40" s="411"/>
      <c r="U40" s="411"/>
      <c r="V40" s="411"/>
      <c r="W40" s="411"/>
      <c r="X40" s="411"/>
      <c r="Y40" s="411"/>
    </row>
    <row r="41" spans="3:27" x14ac:dyDescent="0.25">
      <c r="C41" s="86"/>
      <c r="E41" s="293"/>
      <c r="F41" s="93" t="s">
        <v>961</v>
      </c>
      <c r="G41" s="93" t="s">
        <v>252</v>
      </c>
      <c r="H41" s="248">
        <f>H31 / SUM( J37:Y37 ) * hundred / days_in_year</f>
        <v>6.6726512238863514E-2</v>
      </c>
      <c r="I41" s="111"/>
      <c r="J41" s="411"/>
      <c r="K41" s="411"/>
      <c r="L41" s="411"/>
      <c r="M41" s="411"/>
      <c r="N41" s="411"/>
      <c r="O41" s="411"/>
      <c r="P41" s="411"/>
      <c r="Q41" s="411"/>
      <c r="R41" s="411"/>
      <c r="S41" s="411"/>
      <c r="T41" s="411"/>
      <c r="U41" s="411"/>
      <c r="V41" s="411"/>
      <c r="W41" s="411"/>
      <c r="X41" s="411"/>
      <c r="Y41" s="411"/>
    </row>
    <row r="42" spans="3:27" x14ac:dyDescent="0.25">
      <c r="C42" s="86"/>
      <c r="E42" s="293"/>
      <c r="H42" s="111"/>
      <c r="I42" s="111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</row>
    <row r="43" spans="3:27" x14ac:dyDescent="0.25">
      <c r="C43" s="86"/>
      <c r="E43" s="96" t="s">
        <v>975</v>
      </c>
      <c r="H43" s="111"/>
      <c r="I43" s="111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</row>
    <row r="44" spans="3:27" x14ac:dyDescent="0.25">
      <c r="C44" s="86"/>
      <c r="E44" s="293"/>
      <c r="F44" s="91" t="s">
        <v>960</v>
      </c>
      <c r="G44" s="91" t="s">
        <v>252</v>
      </c>
      <c r="H44" s="253"/>
      <c r="I44" s="253"/>
      <c r="J44" s="253">
        <f>IF( J26 = 1, $H40, 0)</f>
        <v>8.1670142774849117E-2</v>
      </c>
      <c r="K44" s="253">
        <f t="shared" ref="K44:Y44" si="2">IF( K26 = 1, $H40, 0)</f>
        <v>0</v>
      </c>
      <c r="L44" s="253">
        <f t="shared" si="2"/>
        <v>0</v>
      </c>
      <c r="M44" s="253">
        <f t="shared" si="2"/>
        <v>0</v>
      </c>
      <c r="N44" s="253">
        <f t="shared" si="2"/>
        <v>0</v>
      </c>
      <c r="O44" s="253">
        <f t="shared" si="2"/>
        <v>0</v>
      </c>
      <c r="P44" s="253">
        <f t="shared" si="2"/>
        <v>0</v>
      </c>
      <c r="Q44" s="253">
        <f t="shared" si="2"/>
        <v>0</v>
      </c>
      <c r="R44" s="253">
        <f t="shared" si="2"/>
        <v>0</v>
      </c>
      <c r="S44" s="253">
        <f t="shared" si="2"/>
        <v>0</v>
      </c>
      <c r="T44" s="253">
        <f t="shared" si="2"/>
        <v>0</v>
      </c>
      <c r="U44" s="253">
        <f t="shared" si="2"/>
        <v>0</v>
      </c>
      <c r="V44" s="253">
        <f t="shared" si="2"/>
        <v>0</v>
      </c>
      <c r="W44" s="253">
        <f t="shared" si="2"/>
        <v>0</v>
      </c>
      <c r="X44" s="253">
        <f t="shared" si="2"/>
        <v>0</v>
      </c>
      <c r="Y44" s="253">
        <f t="shared" si="2"/>
        <v>0</v>
      </c>
    </row>
    <row r="45" spans="3:27" x14ac:dyDescent="0.25">
      <c r="C45" s="86"/>
      <c r="E45" s="293"/>
      <c r="F45" s="93" t="s">
        <v>961</v>
      </c>
      <c r="G45" s="93" t="s">
        <v>252</v>
      </c>
      <c r="H45" s="248"/>
      <c r="I45" s="248"/>
      <c r="J45" s="248">
        <f t="shared" ref="J45:Y45" si="3">IF( J27 = 1, $H41, 0)</f>
        <v>6.6726512238863514E-2</v>
      </c>
      <c r="K45" s="248">
        <f t="shared" si="3"/>
        <v>0</v>
      </c>
      <c r="L45" s="248">
        <f t="shared" si="3"/>
        <v>6.6726512238863514E-2</v>
      </c>
      <c r="M45" s="248">
        <f t="shared" si="3"/>
        <v>0</v>
      </c>
      <c r="N45" s="248">
        <f t="shared" si="3"/>
        <v>6.6726512238863514E-2</v>
      </c>
      <c r="O45" s="248">
        <f t="shared" si="3"/>
        <v>6.6726512238863514E-2</v>
      </c>
      <c r="P45" s="248">
        <f t="shared" si="3"/>
        <v>6.6726512238863514E-2</v>
      </c>
      <c r="Q45" s="248">
        <f t="shared" si="3"/>
        <v>0</v>
      </c>
      <c r="R45" s="248">
        <f t="shared" si="3"/>
        <v>0</v>
      </c>
      <c r="S45" s="248">
        <f t="shared" si="3"/>
        <v>0</v>
      </c>
      <c r="T45" s="248">
        <f t="shared" si="3"/>
        <v>0</v>
      </c>
      <c r="U45" s="248">
        <f t="shared" si="3"/>
        <v>0</v>
      </c>
      <c r="V45" s="248">
        <f t="shared" si="3"/>
        <v>0</v>
      </c>
      <c r="W45" s="248">
        <f t="shared" si="3"/>
        <v>0</v>
      </c>
      <c r="X45" s="248">
        <f t="shared" si="3"/>
        <v>0</v>
      </c>
      <c r="Y45" s="248">
        <f t="shared" si="3"/>
        <v>0</v>
      </c>
    </row>
    <row r="46" spans="3:27" x14ac:dyDescent="0.25">
      <c r="C46" s="86"/>
      <c r="E46" s="293"/>
      <c r="F46" s="73" t="s">
        <v>215</v>
      </c>
      <c r="G46" s="73" t="s">
        <v>252</v>
      </c>
      <c r="H46" s="286"/>
      <c r="I46" s="286"/>
      <c r="J46" s="442">
        <f xml:space="preserve"> J44 + J45</f>
        <v>0.14839665501371263</v>
      </c>
      <c r="K46" s="442">
        <f t="shared" ref="K46:Y46" si="4" xml:space="preserve"> K44 + K45</f>
        <v>0</v>
      </c>
      <c r="L46" s="442">
        <f t="shared" si="4"/>
        <v>6.6726512238863514E-2</v>
      </c>
      <c r="M46" s="442">
        <f t="shared" si="4"/>
        <v>0</v>
      </c>
      <c r="N46" s="442">
        <f t="shared" si="4"/>
        <v>6.6726512238863514E-2</v>
      </c>
      <c r="O46" s="442">
        <f t="shared" si="4"/>
        <v>6.6726512238863514E-2</v>
      </c>
      <c r="P46" s="442">
        <f t="shared" si="4"/>
        <v>6.6726512238863514E-2</v>
      </c>
      <c r="Q46" s="442">
        <f t="shared" si="4"/>
        <v>0</v>
      </c>
      <c r="R46" s="442">
        <f t="shared" si="4"/>
        <v>0</v>
      </c>
      <c r="S46" s="442">
        <f t="shared" si="4"/>
        <v>0</v>
      </c>
      <c r="T46" s="442">
        <f t="shared" si="4"/>
        <v>0</v>
      </c>
      <c r="U46" s="442">
        <f t="shared" si="4"/>
        <v>0</v>
      </c>
      <c r="V46" s="442">
        <f t="shared" si="4"/>
        <v>0</v>
      </c>
      <c r="W46" s="442">
        <f t="shared" si="4"/>
        <v>0</v>
      </c>
      <c r="X46" s="442">
        <f t="shared" si="4"/>
        <v>0</v>
      </c>
      <c r="Y46" s="442">
        <f t="shared" si="4"/>
        <v>0</v>
      </c>
    </row>
    <row r="47" spans="3:27" x14ac:dyDescent="0.2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25">
      <c r="C48" s="7" t="str">
        <f ca="1">INDEX('Version control'!$H$34:$H$58,MATCH($A$1,'Version control'!$F$34:$F$58,0),1)&amp;"-C: Calculation of fixed charge adder revenue"</f>
        <v>Section 518-C: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C49" s="86"/>
      <c r="E49" s="293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</row>
    <row r="50" spans="2:27" x14ac:dyDescent="0.25">
      <c r="E50" s="293" t="s">
        <v>976</v>
      </c>
      <c r="G50" s="122" t="s">
        <v>107</v>
      </c>
      <c r="H50" s="424"/>
      <c r="I50" s="111"/>
      <c r="J50" s="424">
        <f t="shared" ref="J50:Y50" si="5">J46 / hundred * days_in_year * SUM( J20:J22 )</f>
        <v>784447.91279966361</v>
      </c>
      <c r="K50" s="424">
        <f t="shared" si="5"/>
        <v>0</v>
      </c>
      <c r="L50" s="424">
        <f t="shared" si="5"/>
        <v>24819.873743719076</v>
      </c>
      <c r="M50" s="424">
        <f t="shared" si="5"/>
        <v>0</v>
      </c>
      <c r="N50" s="424">
        <f t="shared" si="5"/>
        <v>1388.4886388992272</v>
      </c>
      <c r="O50" s="424">
        <f t="shared" si="5"/>
        <v>754.03627890405323</v>
      </c>
      <c r="P50" s="424">
        <f t="shared" si="5"/>
        <v>199.2253475915748</v>
      </c>
      <c r="Q50" s="424">
        <f t="shared" si="5"/>
        <v>0</v>
      </c>
      <c r="R50" s="424">
        <f t="shared" si="5"/>
        <v>0</v>
      </c>
      <c r="S50" s="424">
        <f t="shared" si="5"/>
        <v>0</v>
      </c>
      <c r="T50" s="424">
        <f t="shared" si="5"/>
        <v>0</v>
      </c>
      <c r="U50" s="424">
        <f t="shared" si="5"/>
        <v>0</v>
      </c>
      <c r="V50" s="424">
        <f t="shared" si="5"/>
        <v>0</v>
      </c>
      <c r="W50" s="424">
        <f t="shared" si="5"/>
        <v>0</v>
      </c>
      <c r="X50" s="424">
        <f t="shared" si="5"/>
        <v>0</v>
      </c>
      <c r="Y50" s="424">
        <f t="shared" si="5"/>
        <v>0</v>
      </c>
    </row>
    <row r="51" spans="2:27" x14ac:dyDescent="0.2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25">
      <c r="E52" s="293" t="s">
        <v>977</v>
      </c>
      <c r="G52" s="122" t="s">
        <v>107</v>
      </c>
      <c r="H52" s="233">
        <f>SUM( J50:Y50 )</f>
        <v>811609.53680877748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2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25">
      <c r="E54" s="293" t="s">
        <v>978</v>
      </c>
      <c r="G54" s="122" t="s">
        <v>107</v>
      </c>
      <c r="H54" s="424"/>
      <c r="I54" s="111"/>
      <c r="J54" s="424">
        <f t="shared" ref="J54:Y54" si="6">J46 / hundred * days_in_year * J23</f>
        <v>334.19668692363155</v>
      </c>
      <c r="K54" s="424">
        <f t="shared" si="6"/>
        <v>0</v>
      </c>
      <c r="L54" s="424">
        <f t="shared" si="6"/>
        <v>2.4355176967185184</v>
      </c>
      <c r="M54" s="424">
        <f t="shared" si="6"/>
        <v>0</v>
      </c>
      <c r="N54" s="424">
        <f t="shared" si="6"/>
        <v>0.73065530901555542</v>
      </c>
      <c r="O54" s="424">
        <f t="shared" si="6"/>
        <v>1.4613106180311108</v>
      </c>
      <c r="P54" s="424">
        <f t="shared" si="6"/>
        <v>1.9484141573748146</v>
      </c>
      <c r="Q54" s="424">
        <f t="shared" si="6"/>
        <v>0</v>
      </c>
      <c r="R54" s="424">
        <f t="shared" si="6"/>
        <v>0</v>
      </c>
      <c r="S54" s="424">
        <f t="shared" si="6"/>
        <v>0</v>
      </c>
      <c r="T54" s="424">
        <f t="shared" si="6"/>
        <v>0</v>
      </c>
      <c r="U54" s="424">
        <f t="shared" si="6"/>
        <v>0</v>
      </c>
      <c r="V54" s="424">
        <f t="shared" si="6"/>
        <v>0</v>
      </c>
      <c r="W54" s="424">
        <f t="shared" si="6"/>
        <v>0</v>
      </c>
      <c r="X54" s="424">
        <f t="shared" si="6"/>
        <v>0</v>
      </c>
      <c r="Y54" s="424">
        <f t="shared" si="6"/>
        <v>0</v>
      </c>
    </row>
    <row r="55" spans="2:27" x14ac:dyDescent="0.2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25">
      <c r="E56" s="293" t="s">
        <v>979</v>
      </c>
      <c r="G56" s="122" t="s">
        <v>107</v>
      </c>
      <c r="H56" s="233">
        <f>SUM( J54:Y54 )</f>
        <v>340.77258470477159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2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2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2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25">
      <c r="E60" s="293" t="s">
        <v>980</v>
      </c>
      <c r="G60" s="122" t="s">
        <v>107</v>
      </c>
      <c r="H60" s="424"/>
      <c r="I60" s="111"/>
      <c r="J60" s="424">
        <f xml:space="preserve"> J50 + J54</f>
        <v>784782.10948658723</v>
      </c>
      <c r="K60" s="424">
        <f t="shared" ref="K60:Y60" si="7" xml:space="preserve"> K50 + K54</f>
        <v>0</v>
      </c>
      <c r="L60" s="424">
        <f t="shared" si="7"/>
        <v>24822.309261415794</v>
      </c>
      <c r="M60" s="424">
        <f t="shared" si="7"/>
        <v>0</v>
      </c>
      <c r="N60" s="424">
        <f t="shared" si="7"/>
        <v>1389.2192942082427</v>
      </c>
      <c r="O60" s="424">
        <f t="shared" si="7"/>
        <v>755.49758952208435</v>
      </c>
      <c r="P60" s="424">
        <f t="shared" si="7"/>
        <v>201.17376174894963</v>
      </c>
      <c r="Q60" s="424">
        <f t="shared" si="7"/>
        <v>0</v>
      </c>
      <c r="R60" s="424">
        <f t="shared" si="7"/>
        <v>0</v>
      </c>
      <c r="S60" s="424">
        <f t="shared" si="7"/>
        <v>0</v>
      </c>
      <c r="T60" s="424">
        <f t="shared" si="7"/>
        <v>0</v>
      </c>
      <c r="U60" s="424">
        <f t="shared" si="7"/>
        <v>0</v>
      </c>
      <c r="V60" s="424">
        <f t="shared" si="7"/>
        <v>0</v>
      </c>
      <c r="W60" s="424">
        <f t="shared" si="7"/>
        <v>0</v>
      </c>
      <c r="X60" s="424">
        <f t="shared" si="7"/>
        <v>0</v>
      </c>
      <c r="Y60" s="424">
        <f t="shared" si="7"/>
        <v>0</v>
      </c>
    </row>
    <row r="61" spans="2:27" x14ac:dyDescent="0.2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25">
      <c r="E62" s="293" t="s">
        <v>981</v>
      </c>
      <c r="G62" s="122" t="s">
        <v>107</v>
      </c>
      <c r="H62" s="252">
        <f>SUM( J60:Y60 )</f>
        <v>811950.30939348217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2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25">
      <c r="E64" s="293" t="s">
        <v>982</v>
      </c>
      <c r="G64" s="122" t="s">
        <v>589</v>
      </c>
      <c r="H64" s="414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25">
      <c r="E66" s="293" t="s">
        <v>416</v>
      </c>
      <c r="G66" s="122" t="s">
        <v>589</v>
      </c>
      <c r="H66" s="310">
        <f t="array" ref="H66">SUM( IF( ISERROR( H20:Y57 ), 1 )) + H64</f>
        <v>0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</sheetData>
  <sheetProtection sheet="1" objects="1" formatCells="0" formatColumns="0" formatRows="0" sort="0" autoFilter="0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00000000-0004-0000-1F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429" width="24.5703125" style="293" hidden="1" customWidth="1"/>
    <col min="430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Revenue matching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H432 &amp; IF(H432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367" t="s">
        <v>91</v>
      </c>
      <c r="H5" s="38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6" spans="1:43" x14ac:dyDescent="0.25">
      <c r="C6" s="86"/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2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82" t="s">
        <v>410</v>
      </c>
      <c r="E10" s="293"/>
    </row>
    <row r="11" spans="1:43" x14ac:dyDescent="0.25">
      <c r="D11" s="82" t="s">
        <v>744</v>
      </c>
    </row>
    <row r="13" spans="1:43" x14ac:dyDescent="0.2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25">
      <c r="C14" s="86"/>
    </row>
    <row r="15" spans="1:43" x14ac:dyDescent="0.25">
      <c r="C15" s="7" t="str">
        <f ca="1">INDEX('Version control'!$H$34:$H$60,MATCH($A$1,'Version control'!$F$34:$F$60,0),1)&amp;"-A: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25">
      <c r="D17" s="82" t="s">
        <v>1107</v>
      </c>
      <c r="F17" s="98"/>
    </row>
    <row r="18" spans="3:43" x14ac:dyDescent="0.25">
      <c r="D18" s="86"/>
      <c r="F18" s="98"/>
    </row>
    <row r="19" spans="3:43" ht="60" x14ac:dyDescent="0.25">
      <c r="D19" s="293"/>
      <c r="E19" s="96" t="s">
        <v>253</v>
      </c>
      <c r="F19" s="96"/>
      <c r="J19" s="486" t="s">
        <v>928</v>
      </c>
      <c r="K19" s="486" t="s">
        <v>929</v>
      </c>
      <c r="L19" s="486" t="s">
        <v>930</v>
      </c>
      <c r="M19" s="486" t="s">
        <v>931</v>
      </c>
      <c r="N19" s="486" t="s">
        <v>932</v>
      </c>
      <c r="O19" s="486" t="s">
        <v>933</v>
      </c>
      <c r="P19" s="486" t="s">
        <v>934</v>
      </c>
      <c r="Q19" s="486" t="s">
        <v>935</v>
      </c>
      <c r="R19" s="486" t="s">
        <v>936</v>
      </c>
      <c r="S19" s="486" t="s">
        <v>937</v>
      </c>
      <c r="T19" s="486" t="s">
        <v>938</v>
      </c>
      <c r="U19" s="486" t="s">
        <v>939</v>
      </c>
      <c r="V19" s="486" t="s">
        <v>940</v>
      </c>
      <c r="W19" s="486" t="s">
        <v>941</v>
      </c>
      <c r="X19" s="486" t="s">
        <v>942</v>
      </c>
      <c r="Y19" s="486" t="s">
        <v>943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25">
      <c r="D20" s="293"/>
      <c r="E20" s="86"/>
      <c r="F20" s="91" t="s">
        <v>134</v>
      </c>
      <c r="G20" s="91" t="s">
        <v>183</v>
      </c>
      <c r="H20" s="346"/>
      <c r="I20" s="346"/>
      <c r="J20" s="357">
        <f>'Unit rate charges'!J217</f>
        <v>10.771355700294261</v>
      </c>
      <c r="K20" s="357">
        <f>'Unit rate charges'!K217</f>
        <v>10.771355700294261</v>
      </c>
      <c r="L20" s="357">
        <f>'Unit rate charges'!L217</f>
        <v>13.135796667877077</v>
      </c>
      <c r="M20" s="357">
        <f>'Unit rate charges'!M217</f>
        <v>13.135796667877077</v>
      </c>
      <c r="N20" s="357">
        <f>'Unit rate charges'!N217</f>
        <v>8.6777395420743506</v>
      </c>
      <c r="O20" s="357">
        <f>'Unit rate charges'!O217</f>
        <v>6.9484923191344734</v>
      </c>
      <c r="P20" s="357">
        <f>'Unit rate charges'!P217</f>
        <v>5.2251387742031961</v>
      </c>
      <c r="Q20" s="357">
        <f>'Unit rate charges'!Q217</f>
        <v>18.755290497549847</v>
      </c>
      <c r="R20" s="357">
        <f>'Unit rate charges'!R217</f>
        <v>-8.083502385442868</v>
      </c>
      <c r="S20" s="357">
        <f>'Unit rate charges'!S217</f>
        <v>-7.3088931950806888</v>
      </c>
      <c r="T20" s="357">
        <f>'Unit rate charges'!T217</f>
        <v>-8.083502385442868</v>
      </c>
      <c r="U20" s="357">
        <f>'Unit rate charges'!U217</f>
        <v>-8.083502385442868</v>
      </c>
      <c r="V20" s="357">
        <f>'Unit rate charges'!V217</f>
        <v>-7.3088931950806888</v>
      </c>
      <c r="W20" s="357">
        <f>'Unit rate charges'!W217</f>
        <v>-7.3088931950806888</v>
      </c>
      <c r="X20" s="357">
        <f>'Unit rate charges'!X217</f>
        <v>-5.3921382806734499</v>
      </c>
      <c r="Y20" s="357">
        <f>'Unit rate charges'!Y217</f>
        <v>-5.3921382806734499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8"/>
      <c r="AQ20" s="348"/>
    </row>
    <row r="21" spans="3:43" x14ac:dyDescent="0.25">
      <c r="D21" s="293"/>
      <c r="E21" s="86"/>
      <c r="F21" s="293" t="s">
        <v>135</v>
      </c>
      <c r="G21" s="293" t="s">
        <v>183</v>
      </c>
      <c r="H21" s="348"/>
      <c r="I21" s="348"/>
      <c r="J21" s="487">
        <f>'Unit rate charges'!J218</f>
        <v>1.9378384371204245</v>
      </c>
      <c r="K21" s="487">
        <f>'Unit rate charges'!K218</f>
        <v>1.9378384371204245</v>
      </c>
      <c r="L21" s="487">
        <f>'Unit rate charges'!L218</f>
        <v>2.3632170725283155</v>
      </c>
      <c r="M21" s="487">
        <f>'Unit rate charges'!M218</f>
        <v>2.3632170725283155</v>
      </c>
      <c r="N21" s="487">
        <f>'Unit rate charges'!N218</f>
        <v>1.4430267840727677</v>
      </c>
      <c r="O21" s="487">
        <f>'Unit rate charges'!O218</f>
        <v>0.94531157810868405</v>
      </c>
      <c r="P21" s="487">
        <f>'Unit rate charges'!P218</f>
        <v>0.62394643951897777</v>
      </c>
      <c r="Q21" s="487">
        <f>'Unit rate charges'!Q218</f>
        <v>2.930457524346521</v>
      </c>
      <c r="R21" s="487">
        <f>'Unit rate charges'!R218</f>
        <v>-1.4542757722352337</v>
      </c>
      <c r="S21" s="487">
        <f>'Unit rate charges'!S218</f>
        <v>-1.2593492541418145</v>
      </c>
      <c r="T21" s="487">
        <f>'Unit rate charges'!T218</f>
        <v>-1.4542757722352337</v>
      </c>
      <c r="U21" s="487">
        <f>'Unit rate charges'!U218</f>
        <v>-1.4542757722352337</v>
      </c>
      <c r="V21" s="487">
        <f>'Unit rate charges'!V218</f>
        <v>-1.2593492541418145</v>
      </c>
      <c r="W21" s="487">
        <f>'Unit rate charges'!W218</f>
        <v>-1.2593492541418145</v>
      </c>
      <c r="X21" s="487">
        <f>'Unit rate charges'!X218</f>
        <v>-0.70810900515864061</v>
      </c>
      <c r="Y21" s="487">
        <f>'Unit rate charges'!Y218</f>
        <v>-0.70810900515864061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8"/>
      <c r="AQ21" s="348"/>
    </row>
    <row r="22" spans="3:43" x14ac:dyDescent="0.25">
      <c r="D22" s="293"/>
      <c r="E22" s="86"/>
      <c r="F22" s="293" t="s">
        <v>136</v>
      </c>
      <c r="G22" s="293" t="s">
        <v>183</v>
      </c>
      <c r="H22" s="348"/>
      <c r="I22" s="348"/>
      <c r="J22" s="487">
        <f>'Unit rate charges'!J219</f>
        <v>0.21452572109019707</v>
      </c>
      <c r="K22" s="487">
        <f>'Unit rate charges'!K219</f>
        <v>0.21452572109019707</v>
      </c>
      <c r="L22" s="487">
        <f>'Unit rate charges'!L219</f>
        <v>0.26161667395252336</v>
      </c>
      <c r="M22" s="487">
        <f>'Unit rate charges'!M219</f>
        <v>0.26161667395252336</v>
      </c>
      <c r="N22" s="487">
        <f>'Unit rate charges'!N219</f>
        <v>0.16622991183513294</v>
      </c>
      <c r="O22" s="487">
        <f>'Unit rate charges'!O219</f>
        <v>0.12136791889315691</v>
      </c>
      <c r="P22" s="487">
        <f>'Unit rate charges'!P219</f>
        <v>7.9944079146318126E-2</v>
      </c>
      <c r="Q22" s="487">
        <f>'Unit rate charges'!Q219</f>
        <v>0.59475727473723183</v>
      </c>
      <c r="R22" s="487">
        <f>'Unit rate charges'!R219</f>
        <v>-0.16099358580499623</v>
      </c>
      <c r="S22" s="487">
        <f>'Unit rate charges'!S219</f>
        <v>-0.14246284344281587</v>
      </c>
      <c r="T22" s="487">
        <f>'Unit rate charges'!T219</f>
        <v>-0.16099358580499623</v>
      </c>
      <c r="U22" s="487">
        <f>'Unit rate charges'!U219</f>
        <v>-0.16099358580499623</v>
      </c>
      <c r="V22" s="487">
        <f>'Unit rate charges'!V219</f>
        <v>-0.14246284344281587</v>
      </c>
      <c r="W22" s="487">
        <f>'Unit rate charges'!W219</f>
        <v>-0.14246284344281587</v>
      </c>
      <c r="X22" s="487">
        <f>'Unit rate charges'!X219</f>
        <v>-8.9601370113660816E-2</v>
      </c>
      <c r="Y22" s="487">
        <f>'Unit rate charges'!Y219</f>
        <v>-8.9601370113660816E-2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8"/>
      <c r="AQ22" s="348"/>
    </row>
    <row r="23" spans="3:43" x14ac:dyDescent="0.25">
      <c r="D23" s="293"/>
      <c r="E23" s="86"/>
      <c r="F23" s="293" t="s">
        <v>254</v>
      </c>
      <c r="G23" s="293" t="s">
        <v>252</v>
      </c>
      <c r="J23" s="272">
        <f>'Fixed charges'!J161</f>
        <v>4.0658526232526127</v>
      </c>
      <c r="K23" s="272">
        <f>'Fixed charges'!K161</f>
        <v>0</v>
      </c>
      <c r="L23" s="272">
        <f>'Fixed charges'!L161</f>
        <v>5.2097159572486822</v>
      </c>
      <c r="M23" s="272">
        <f>'Fixed charges'!M161</f>
        <v>0</v>
      </c>
      <c r="N23" s="272">
        <f>'Fixed charges'!N161</f>
        <v>20.773710300729842</v>
      </c>
      <c r="O23" s="272">
        <f>'Fixed charges'!O161</f>
        <v>7.331897753198767</v>
      </c>
      <c r="P23" s="272">
        <f>'Fixed charges'!P161</f>
        <v>111.00934456389379</v>
      </c>
      <c r="Q23" s="272">
        <f>'Fixed charges'!Q161</f>
        <v>0</v>
      </c>
      <c r="R23" s="272">
        <f>'Fixed charges'!R161</f>
        <v>0</v>
      </c>
      <c r="S23" s="272">
        <f>'Fixed charges'!S161</f>
        <v>0</v>
      </c>
      <c r="T23" s="272">
        <f>'Fixed charges'!T161</f>
        <v>0</v>
      </c>
      <c r="U23" s="272">
        <f>'Fixed charges'!U161</f>
        <v>0</v>
      </c>
      <c r="V23" s="272">
        <f>'Fixed charges'!V161</f>
        <v>0</v>
      </c>
      <c r="W23" s="272">
        <f>'Fixed charges'!W161</f>
        <v>0</v>
      </c>
      <c r="X23" s="272">
        <f>'Fixed charges'!X161</f>
        <v>81.061112421377317</v>
      </c>
      <c r="Y23" s="272">
        <f>'Fixed charges'!Y161</f>
        <v>81.061112421377317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25">
      <c r="D24" s="293"/>
      <c r="E24" s="86"/>
      <c r="F24" s="293" t="s">
        <v>255</v>
      </c>
      <c r="G24" s="293" t="s">
        <v>251</v>
      </c>
      <c r="J24" s="272">
        <f>'Capacity charges'!J256</f>
        <v>0</v>
      </c>
      <c r="K24" s="272">
        <f>'Capacity charges'!K256</f>
        <v>0</v>
      </c>
      <c r="L24" s="272">
        <f>'Capacity charges'!L256</f>
        <v>0</v>
      </c>
      <c r="M24" s="272">
        <f>'Capacity charges'!M256</f>
        <v>0</v>
      </c>
      <c r="N24" s="272">
        <f>'Capacity charges'!N256</f>
        <v>2.9246805518159871</v>
      </c>
      <c r="O24" s="272">
        <f>'Capacity charges'!O256</f>
        <v>5.7785379748713108</v>
      </c>
      <c r="P24" s="272">
        <f>'Capacity charges'!P256</f>
        <v>4.6095828572289328</v>
      </c>
      <c r="Q24" s="272">
        <f>'Capacity charges'!Q256</f>
        <v>0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25">
      <c r="D25" s="293"/>
      <c r="E25" s="86"/>
      <c r="F25" s="293" t="s">
        <v>256</v>
      </c>
      <c r="G25" s="293" t="s">
        <v>251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4.9763773941978364</v>
      </c>
      <c r="O25" s="274">
        <f>'Capacity charges'!O257</f>
        <v>7.8192629686414357</v>
      </c>
      <c r="P25" s="274">
        <f>'Capacity charges'!P257</f>
        <v>7.2778427537122079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25">
      <c r="D26" s="293"/>
      <c r="E26" s="86"/>
      <c r="F26" s="93" t="s">
        <v>257</v>
      </c>
      <c r="G26" s="93" t="s">
        <v>258</v>
      </c>
      <c r="H26" s="350"/>
      <c r="I26" s="350"/>
      <c r="J26" s="360">
        <f>'Reactive power charges'!J250</f>
        <v>0</v>
      </c>
      <c r="K26" s="360">
        <f>'Reactive power charges'!K250</f>
        <v>0</v>
      </c>
      <c r="L26" s="360">
        <f>'Reactive power charges'!L250</f>
        <v>0</v>
      </c>
      <c r="M26" s="360">
        <f>'Reactive power charges'!M250</f>
        <v>0</v>
      </c>
      <c r="N26" s="360">
        <f>'Reactive power charges'!N250</f>
        <v>0.43526962220804583</v>
      </c>
      <c r="O26" s="360">
        <f>'Reactive power charges'!O250</f>
        <v>0.28980193378804925</v>
      </c>
      <c r="P26" s="360">
        <f>'Reactive power charges'!P250</f>
        <v>0.19257390160279983</v>
      </c>
      <c r="Q26" s="360">
        <f>'Reactive power charges'!Q250</f>
        <v>0</v>
      </c>
      <c r="R26" s="360">
        <f>'Reactive power charges'!R250</f>
        <v>0</v>
      </c>
      <c r="S26" s="360">
        <f>'Reactive power charges'!S250</f>
        <v>0</v>
      </c>
      <c r="T26" s="360">
        <f>'Reactive power charges'!T250</f>
        <v>0.37290703611975162</v>
      </c>
      <c r="U26" s="360">
        <f>'Reactive power charges'!U250</f>
        <v>0</v>
      </c>
      <c r="V26" s="360">
        <f>'Reactive power charges'!V250</f>
        <v>0.3436237562338107</v>
      </c>
      <c r="W26" s="360">
        <f>'Reactive power charges'!W250</f>
        <v>0</v>
      </c>
      <c r="X26" s="360">
        <f>'Reactive power charges'!X250</f>
        <v>0.26472909957480251</v>
      </c>
      <c r="Y26" s="360">
        <f>'Reactive power charges'!Y250</f>
        <v>0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8"/>
      <c r="AQ26" s="348"/>
    </row>
    <row r="27" spans="3:43" x14ac:dyDescent="0.2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60" x14ac:dyDescent="0.25">
      <c r="D28" s="293"/>
      <c r="E28" s="86"/>
      <c r="J28" s="486" t="s">
        <v>928</v>
      </c>
      <c r="K28" s="486" t="s">
        <v>929</v>
      </c>
      <c r="L28" s="486" t="s">
        <v>930</v>
      </c>
      <c r="M28" s="486" t="s">
        <v>931</v>
      </c>
      <c r="N28" s="486" t="s">
        <v>932</v>
      </c>
      <c r="O28" s="486" t="s">
        <v>933</v>
      </c>
      <c r="P28" s="486" t="s">
        <v>934</v>
      </c>
      <c r="Q28" s="486" t="s">
        <v>935</v>
      </c>
      <c r="R28" s="486" t="s">
        <v>936</v>
      </c>
      <c r="S28" s="486" t="s">
        <v>937</v>
      </c>
      <c r="T28" s="486" t="s">
        <v>938</v>
      </c>
      <c r="U28" s="486" t="s">
        <v>939</v>
      </c>
      <c r="V28" s="486" t="s">
        <v>940</v>
      </c>
      <c r="W28" s="486" t="s">
        <v>941</v>
      </c>
      <c r="X28" s="486" t="s">
        <v>942</v>
      </c>
      <c r="Y28" s="486" t="s">
        <v>943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25">
      <c r="D29" s="293"/>
      <c r="E29" s="14" t="s">
        <v>974</v>
      </c>
      <c r="F29" s="472"/>
      <c r="G29" s="293" t="s">
        <v>252</v>
      </c>
      <c r="J29" s="488">
        <f>'SoLR &amp; bad debt adders'!J46</f>
        <v>0.14839665501371263</v>
      </c>
      <c r="K29" s="488">
        <f>'SoLR &amp; bad debt adders'!K46</f>
        <v>0</v>
      </c>
      <c r="L29" s="488">
        <f>'SoLR &amp; bad debt adders'!L46</f>
        <v>6.6726512238863514E-2</v>
      </c>
      <c r="M29" s="488">
        <f>'SoLR &amp; bad debt adders'!M46</f>
        <v>0</v>
      </c>
      <c r="N29" s="488">
        <f>'SoLR &amp; bad debt adders'!N46</f>
        <v>6.6726512238863514E-2</v>
      </c>
      <c r="O29" s="488">
        <f>'SoLR &amp; bad debt adders'!O46</f>
        <v>6.6726512238863514E-2</v>
      </c>
      <c r="P29" s="488">
        <f>'SoLR &amp; bad debt adders'!P46</f>
        <v>6.6726512238863514E-2</v>
      </c>
      <c r="Q29" s="488">
        <f>'SoLR &amp; bad debt adders'!Q46</f>
        <v>0</v>
      </c>
      <c r="R29" s="488">
        <f>'SoLR &amp; bad debt adders'!R46</f>
        <v>0</v>
      </c>
      <c r="S29" s="488">
        <f>'SoLR &amp; bad debt adders'!S46</f>
        <v>0</v>
      </c>
      <c r="T29" s="488">
        <f>'SoLR &amp; bad debt adders'!T46</f>
        <v>0</v>
      </c>
      <c r="U29" s="488">
        <f>'SoLR &amp; bad debt adders'!U46</f>
        <v>0</v>
      </c>
      <c r="V29" s="488">
        <f>'SoLR &amp; bad debt adders'!V46</f>
        <v>0</v>
      </c>
      <c r="W29" s="488">
        <f>'SoLR &amp; bad debt adders'!W46</f>
        <v>0</v>
      </c>
      <c r="X29" s="488">
        <f>'SoLR &amp; bad debt adders'!X46</f>
        <v>0</v>
      </c>
      <c r="Y29" s="488">
        <f>'SoLR &amp; bad debt adders'!Y46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2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25">
      <c r="D31" s="293"/>
      <c r="E31" s="489" t="str">
        <f>'Fixed inputs'!E163</f>
        <v>Flags for calculation of revenue matching</v>
      </c>
    </row>
    <row r="32" spans="3:43" x14ac:dyDescent="0.25">
      <c r="C32" s="82"/>
      <c r="F32" s="91" t="s">
        <v>1108</v>
      </c>
      <c r="G32" s="91" t="s">
        <v>1026</v>
      </c>
      <c r="H32" s="91"/>
      <c r="I32" s="91"/>
      <c r="J32" s="199" t="b">
        <f>'Fixed inputs'!J164</f>
        <v>1</v>
      </c>
      <c r="K32" s="199" t="b">
        <f>'Fixed inputs'!K164</f>
        <v>0</v>
      </c>
      <c r="L32" s="199" t="b">
        <f>'Fixed inputs'!L164</f>
        <v>0</v>
      </c>
      <c r="M32" s="199" t="b">
        <f>'Fixed inputs'!M164</f>
        <v>1</v>
      </c>
      <c r="N32" s="199" t="b">
        <f>'Fixed inputs'!N164</f>
        <v>1</v>
      </c>
      <c r="O32" s="199" t="b">
        <f>'Fixed inputs'!O164</f>
        <v>1</v>
      </c>
      <c r="P32" s="199" t="b">
        <f>'Fixed inputs'!P164</f>
        <v>1</v>
      </c>
      <c r="Q32" s="199" t="b">
        <f>'Fixed inputs'!Q164</f>
        <v>0</v>
      </c>
      <c r="R32" s="199" t="b">
        <f>'Fixed inputs'!R164</f>
        <v>0</v>
      </c>
      <c r="S32" s="199" t="b">
        <f>'Fixed inputs'!S164</f>
        <v>1</v>
      </c>
      <c r="T32" s="199" t="b">
        <f>'Fixed inputs'!T164</f>
        <v>1</v>
      </c>
      <c r="U32" s="199" t="b">
        <f>'Fixed inputs'!U164</f>
        <v>1</v>
      </c>
      <c r="V32" s="199" t="b">
        <f>'Fixed inputs'!V164</f>
        <v>1</v>
      </c>
      <c r="W32" s="199" t="b">
        <f>'Fixed inputs'!W164</f>
        <v>0</v>
      </c>
      <c r="X32" s="199" t="b">
        <f>'Fixed inputs'!X164</f>
        <v>1</v>
      </c>
      <c r="Y32" s="199" t="b">
        <f>'Fixed inputs'!Y164</f>
        <v>1</v>
      </c>
      <c r="Z32" s="199" t="b">
        <f>'Fixed inputs'!Z164</f>
        <v>1</v>
      </c>
      <c r="AA32" s="199" t="b">
        <f>'Fixed inputs'!AA164</f>
        <v>1</v>
      </c>
      <c r="AB32" s="199" t="b">
        <f>'Fixed inputs'!AB164</f>
        <v>0</v>
      </c>
      <c r="AC32" s="199" t="b">
        <f>'Fixed inputs'!AC164</f>
        <v>1</v>
      </c>
      <c r="AD32" s="199" t="b">
        <f>'Fixed inputs'!AD164</f>
        <v>1</v>
      </c>
      <c r="AE32" s="199" t="b">
        <f>'Fixed inputs'!AE164</f>
        <v>1</v>
      </c>
      <c r="AF32" s="199" t="b">
        <f>'Fixed inputs'!AF164</f>
        <v>1</v>
      </c>
      <c r="AG32" s="199" t="b">
        <f>'Fixed inputs'!AG164</f>
        <v>1</v>
      </c>
      <c r="AH32" s="199" t="b">
        <f>'Fixed inputs'!AH164</f>
        <v>0</v>
      </c>
      <c r="AI32" s="199" t="b">
        <f>'Fixed inputs'!AI164</f>
        <v>0</v>
      </c>
      <c r="AJ32" s="199" t="b">
        <f>'Fixed inputs'!AJ164</f>
        <v>0</v>
      </c>
      <c r="AK32" s="199" t="b">
        <f>'Fixed inputs'!AK164</f>
        <v>0</v>
      </c>
      <c r="AL32" s="199" t="b">
        <f>'Fixed inputs'!AL164</f>
        <v>0</v>
      </c>
      <c r="AM32" s="199" t="b">
        <f>'Fixed inputs'!AM164</f>
        <v>0</v>
      </c>
      <c r="AN32" s="199" t="b">
        <f>'Fixed inputs'!AN164</f>
        <v>0</v>
      </c>
      <c r="AO32" s="199" t="b">
        <f>'Fixed inputs'!AO164</f>
        <v>0</v>
      </c>
    </row>
    <row r="33" spans="3:43" x14ac:dyDescent="0.25">
      <c r="C33" s="82"/>
      <c r="D33" s="293"/>
      <c r="F33" s="196" t="s">
        <v>1109</v>
      </c>
      <c r="G33" s="196" t="s">
        <v>1026</v>
      </c>
      <c r="H33" s="196"/>
      <c r="I33" s="196"/>
      <c r="J33" s="84" t="b">
        <f>'Fixed inputs'!J165</f>
        <v>1</v>
      </c>
      <c r="K33" s="101"/>
      <c r="L33" s="101"/>
      <c r="M33" s="84" t="b">
        <f>'Fixed inputs'!M165</f>
        <v>1</v>
      </c>
      <c r="N33" s="84" t="b">
        <f>'Fixed inputs'!N165</f>
        <v>1</v>
      </c>
      <c r="O33" s="84" t="b">
        <f>'Fixed inputs'!O165</f>
        <v>1</v>
      </c>
      <c r="P33" s="84" t="b">
        <f>'Fixed inputs'!P165</f>
        <v>1</v>
      </c>
      <c r="Q33" s="101"/>
      <c r="R33" s="101"/>
      <c r="S33" s="84" t="b">
        <f>'Fixed inputs'!S165</f>
        <v>1</v>
      </c>
      <c r="T33" s="84" t="b">
        <f>'Fixed inputs'!T165</f>
        <v>1</v>
      </c>
      <c r="U33" s="84" t="b">
        <f>'Fixed inputs'!U165</f>
        <v>1</v>
      </c>
      <c r="V33" s="84" t="b">
        <f>'Fixed inputs'!V165</f>
        <v>1</v>
      </c>
      <c r="W33" s="101"/>
      <c r="X33" s="84" t="b">
        <f>'Fixed inputs'!X165</f>
        <v>1</v>
      </c>
      <c r="Y33" s="84" t="b">
        <f>'Fixed inputs'!Y165</f>
        <v>1</v>
      </c>
      <c r="Z33" s="84" t="b">
        <f>'Fixed inputs'!Z165</f>
        <v>1</v>
      </c>
      <c r="AA33" s="84" t="b">
        <f>'Fixed inputs'!AA165</f>
        <v>1</v>
      </c>
      <c r="AB33" s="101"/>
      <c r="AC33" s="84" t="b">
        <f>'Fixed inputs'!AC165</f>
        <v>1</v>
      </c>
      <c r="AD33" s="84" t="b">
        <f>'Fixed inputs'!AD165</f>
        <v>1</v>
      </c>
      <c r="AE33" s="84" t="b">
        <f>'Fixed inputs'!AE165</f>
        <v>1</v>
      </c>
      <c r="AF33" s="84" t="b">
        <f>'Fixed inputs'!AF165</f>
        <v>1</v>
      </c>
      <c r="AG33" s="84" t="b">
        <f>'Fixed inputs'!AG165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25">
      <c r="C34" s="82"/>
      <c r="D34" s="293"/>
      <c r="F34" s="196" t="s">
        <v>1110</v>
      </c>
      <c r="G34" s="196" t="s">
        <v>1026</v>
      </c>
      <c r="H34" s="196"/>
      <c r="I34" s="196"/>
      <c r="J34" s="84" t="b">
        <f>'Fixed inputs'!J166</f>
        <v>0</v>
      </c>
      <c r="K34" s="101"/>
      <c r="L34" s="101"/>
      <c r="M34" s="84" t="b">
        <f>'Fixed inputs'!M166</f>
        <v>0</v>
      </c>
      <c r="N34" s="84" t="b">
        <f>'Fixed inputs'!N166</f>
        <v>0</v>
      </c>
      <c r="O34" s="84" t="b">
        <f>'Fixed inputs'!O166</f>
        <v>0</v>
      </c>
      <c r="P34" s="84" t="b">
        <f>'Fixed inputs'!P166</f>
        <v>0</v>
      </c>
      <c r="Q34" s="101"/>
      <c r="R34" s="101"/>
      <c r="S34" s="84" t="b">
        <f>'Fixed inputs'!S166</f>
        <v>0</v>
      </c>
      <c r="T34" s="84" t="b">
        <f>'Fixed inputs'!T166</f>
        <v>0</v>
      </c>
      <c r="U34" s="84" t="b">
        <f>'Fixed inputs'!U166</f>
        <v>0</v>
      </c>
      <c r="V34" s="84" t="b">
        <f>'Fixed inputs'!V166</f>
        <v>0</v>
      </c>
      <c r="W34" s="101"/>
      <c r="X34" s="84" t="b">
        <f>'Fixed inputs'!X166</f>
        <v>0</v>
      </c>
      <c r="Y34" s="84" t="b">
        <f>'Fixed inputs'!Y166</f>
        <v>0</v>
      </c>
      <c r="Z34" s="84" t="b">
        <f>'Fixed inputs'!Z166</f>
        <v>0</v>
      </c>
      <c r="AA34" s="84" t="b">
        <f>'Fixed inputs'!AA166</f>
        <v>0</v>
      </c>
      <c r="AB34" s="101"/>
      <c r="AC34" s="84" t="b">
        <f>'Fixed inputs'!AC166</f>
        <v>0</v>
      </c>
      <c r="AD34" s="84" t="b">
        <f>'Fixed inputs'!AD166</f>
        <v>0</v>
      </c>
      <c r="AE34" s="84" t="b">
        <f>'Fixed inputs'!AE166</f>
        <v>0</v>
      </c>
      <c r="AF34" s="84" t="b">
        <f>'Fixed inputs'!AF166</f>
        <v>0</v>
      </c>
      <c r="AG34" s="84" t="b">
        <f>'Fixed inputs'!AG166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25">
      <c r="F35" s="196" t="s">
        <v>1029</v>
      </c>
      <c r="G35" s="196" t="s">
        <v>427</v>
      </c>
      <c r="H35" s="196"/>
      <c r="I35" s="196"/>
      <c r="J35" s="84">
        <f>'Fixed inputs'!J167</f>
        <v>1</v>
      </c>
      <c r="K35" s="101"/>
      <c r="L35" s="101"/>
      <c r="M35" s="84">
        <f>'Fixed inputs'!M167</f>
        <v>2</v>
      </c>
      <c r="N35" s="84">
        <f>'Fixed inputs'!N167</f>
        <v>2</v>
      </c>
      <c r="O35" s="84">
        <f>'Fixed inputs'!O167</f>
        <v>2</v>
      </c>
      <c r="P35" s="84">
        <f>'Fixed inputs'!P167</f>
        <v>2</v>
      </c>
      <c r="Q35" s="101"/>
      <c r="R35" s="101"/>
      <c r="S35" s="84">
        <f>'Fixed inputs'!S167</f>
        <v>3</v>
      </c>
      <c r="T35" s="84">
        <f>'Fixed inputs'!T167</f>
        <v>3</v>
      </c>
      <c r="U35" s="84">
        <f>'Fixed inputs'!U167</f>
        <v>3</v>
      </c>
      <c r="V35" s="84">
        <f>'Fixed inputs'!V167</f>
        <v>3</v>
      </c>
      <c r="W35" s="101"/>
      <c r="X35" s="84">
        <f>'Fixed inputs'!X167</f>
        <v>3</v>
      </c>
      <c r="Y35" s="84">
        <f>'Fixed inputs'!Y167</f>
        <v>3</v>
      </c>
      <c r="Z35" s="84">
        <f>'Fixed inputs'!Z167</f>
        <v>3</v>
      </c>
      <c r="AA35" s="84">
        <f>'Fixed inputs'!AA167</f>
        <v>3</v>
      </c>
      <c r="AB35" s="101"/>
      <c r="AC35" s="84">
        <f>'Fixed inputs'!AC167</f>
        <v>4</v>
      </c>
      <c r="AD35" s="84">
        <f>'Fixed inputs'!AD167</f>
        <v>4</v>
      </c>
      <c r="AE35" s="84">
        <f>'Fixed inputs'!AE167</f>
        <v>4</v>
      </c>
      <c r="AF35" s="84">
        <f>'Fixed inputs'!AF167</f>
        <v>4</v>
      </c>
      <c r="AG35" s="84">
        <f>'Fixed inputs'!AG167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25">
      <c r="C36" s="82"/>
      <c r="F36" s="196" t="s">
        <v>1030</v>
      </c>
      <c r="G36" s="196" t="s">
        <v>427</v>
      </c>
      <c r="H36" s="196"/>
      <c r="I36" s="196"/>
      <c r="J36" s="84">
        <f>'Fixed inputs'!J168</f>
        <v>1</v>
      </c>
      <c r="K36" s="101"/>
      <c r="L36" s="101"/>
      <c r="M36" s="84">
        <f>'Fixed inputs'!M168</f>
        <v>1</v>
      </c>
      <c r="N36" s="84">
        <f>'Fixed inputs'!N168</f>
        <v>2</v>
      </c>
      <c r="O36" s="84">
        <f>'Fixed inputs'!O168</f>
        <v>3</v>
      </c>
      <c r="P36" s="84">
        <f>'Fixed inputs'!P168</f>
        <v>4</v>
      </c>
      <c r="Q36" s="101"/>
      <c r="R36" s="101"/>
      <c r="S36" s="84">
        <f>'Fixed inputs'!S168</f>
        <v>1</v>
      </c>
      <c r="T36" s="84">
        <f>'Fixed inputs'!T168</f>
        <v>2</v>
      </c>
      <c r="U36" s="84">
        <f>'Fixed inputs'!U168</f>
        <v>3</v>
      </c>
      <c r="V36" s="84">
        <f>'Fixed inputs'!V168</f>
        <v>4</v>
      </c>
      <c r="W36" s="101"/>
      <c r="X36" s="84">
        <f>'Fixed inputs'!X168</f>
        <v>1</v>
      </c>
      <c r="Y36" s="84">
        <f>'Fixed inputs'!Y168</f>
        <v>2</v>
      </c>
      <c r="Z36" s="84">
        <f>'Fixed inputs'!Z168</f>
        <v>3</v>
      </c>
      <c r="AA36" s="84">
        <f>'Fixed inputs'!AA168</f>
        <v>4</v>
      </c>
      <c r="AB36" s="101"/>
      <c r="AC36" s="84">
        <f>'Fixed inputs'!AC168</f>
        <v>1</v>
      </c>
      <c r="AD36" s="84">
        <f>'Fixed inputs'!AD168</f>
        <v>2</v>
      </c>
      <c r="AE36" s="84">
        <f>'Fixed inputs'!AE168</f>
        <v>3</v>
      </c>
      <c r="AF36" s="84">
        <f>'Fixed inputs'!AF168</f>
        <v>4</v>
      </c>
      <c r="AG36" s="84">
        <f>'Fixed inputs'!AG168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25">
      <c r="D37" s="86"/>
      <c r="F37" s="15" t="s">
        <v>1111</v>
      </c>
      <c r="G37" s="93" t="s">
        <v>427</v>
      </c>
      <c r="H37" s="93"/>
      <c r="I37" s="93"/>
      <c r="J37" s="115">
        <f>'Fixed inputs'!J169</f>
        <v>1</v>
      </c>
      <c r="K37" s="115">
        <f>'Fixed inputs'!K169</f>
        <v>2</v>
      </c>
      <c r="L37" s="115">
        <f>'Fixed inputs'!L169</f>
        <v>3</v>
      </c>
      <c r="M37" s="115">
        <f>'Fixed inputs'!M169</f>
        <v>3</v>
      </c>
      <c r="N37" s="115">
        <f>'Fixed inputs'!N169</f>
        <v>3</v>
      </c>
      <c r="O37" s="115">
        <f>'Fixed inputs'!O169</f>
        <v>3</v>
      </c>
      <c r="P37" s="115">
        <f>'Fixed inputs'!P169</f>
        <v>3</v>
      </c>
      <c r="Q37" s="115">
        <f>'Fixed inputs'!Q169</f>
        <v>4</v>
      </c>
      <c r="R37" s="115">
        <f>'Fixed inputs'!R169</f>
        <v>5</v>
      </c>
      <c r="S37" s="115">
        <f>'Fixed inputs'!S169</f>
        <v>5</v>
      </c>
      <c r="T37" s="115">
        <f>'Fixed inputs'!T169</f>
        <v>5</v>
      </c>
      <c r="U37" s="115">
        <f>'Fixed inputs'!U169</f>
        <v>5</v>
      </c>
      <c r="V37" s="115">
        <f>'Fixed inputs'!V169</f>
        <v>5</v>
      </c>
      <c r="W37" s="115">
        <f>'Fixed inputs'!W169</f>
        <v>6</v>
      </c>
      <c r="X37" s="115">
        <f>'Fixed inputs'!X169</f>
        <v>6</v>
      </c>
      <c r="Y37" s="115">
        <f>'Fixed inputs'!Y169</f>
        <v>6</v>
      </c>
      <c r="Z37" s="115">
        <f>'Fixed inputs'!Z169</f>
        <v>6</v>
      </c>
      <c r="AA37" s="115">
        <f>'Fixed inputs'!AA169</f>
        <v>6</v>
      </c>
      <c r="AB37" s="115">
        <f>'Fixed inputs'!AB169</f>
        <v>7</v>
      </c>
      <c r="AC37" s="115">
        <f>'Fixed inputs'!AC169</f>
        <v>7</v>
      </c>
      <c r="AD37" s="115">
        <f>'Fixed inputs'!AD169</f>
        <v>7</v>
      </c>
      <c r="AE37" s="115">
        <f>'Fixed inputs'!AE169</f>
        <v>7</v>
      </c>
      <c r="AF37" s="115">
        <f>'Fixed inputs'!AF169</f>
        <v>7</v>
      </c>
      <c r="AG37" s="115">
        <f>'Fixed inputs'!AG169</f>
        <v>8</v>
      </c>
      <c r="AH37" s="115">
        <f>'Fixed inputs'!AH169</f>
        <v>9</v>
      </c>
      <c r="AI37" s="115">
        <f>'Fixed inputs'!AI169</f>
        <v>10</v>
      </c>
      <c r="AJ37" s="115">
        <f>'Fixed inputs'!AJ169</f>
        <v>11</v>
      </c>
      <c r="AK37" s="115">
        <f>'Fixed inputs'!AK169</f>
        <v>12</v>
      </c>
      <c r="AL37" s="115">
        <f>'Fixed inputs'!AL169</f>
        <v>13</v>
      </c>
      <c r="AM37" s="115">
        <f>'Fixed inputs'!AM169</f>
        <v>14</v>
      </c>
      <c r="AN37" s="115">
        <f>'Fixed inputs'!AN169</f>
        <v>15</v>
      </c>
      <c r="AO37" s="115">
        <f>'Fixed inputs'!AO169</f>
        <v>16</v>
      </c>
    </row>
    <row r="38" spans="3:43" x14ac:dyDescent="0.25">
      <c r="C38" s="82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6"/>
    </row>
    <row r="39" spans="3:43" x14ac:dyDescent="0.2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25">
      <c r="D40" s="293"/>
      <c r="E40" s="86"/>
      <c r="F40" s="91" t="s">
        <v>134</v>
      </c>
      <c r="G40" s="91" t="s">
        <v>183</v>
      </c>
      <c r="H40" s="346"/>
      <c r="I40" s="346"/>
      <c r="J40" s="352">
        <f t="shared" ref="J40:AO46" si="0">INDEX($J20:$Y20,J$37)</f>
        <v>10.771355700294261</v>
      </c>
      <c r="K40" s="352">
        <f t="shared" si="0"/>
        <v>10.771355700294261</v>
      </c>
      <c r="L40" s="352">
        <f t="shared" si="0"/>
        <v>13.135796667877077</v>
      </c>
      <c r="M40" s="352">
        <f t="shared" si="0"/>
        <v>13.135796667877077</v>
      </c>
      <c r="N40" s="352">
        <f t="shared" si="0"/>
        <v>13.135796667877077</v>
      </c>
      <c r="O40" s="352">
        <f t="shared" si="0"/>
        <v>13.135796667877077</v>
      </c>
      <c r="P40" s="352">
        <f t="shared" si="0"/>
        <v>13.135796667877077</v>
      </c>
      <c r="Q40" s="352">
        <f t="shared" si="0"/>
        <v>13.135796667877077</v>
      </c>
      <c r="R40" s="352">
        <f t="shared" si="0"/>
        <v>8.6777395420743506</v>
      </c>
      <c r="S40" s="352">
        <f t="shared" si="0"/>
        <v>8.6777395420743506</v>
      </c>
      <c r="T40" s="352">
        <f t="shared" si="0"/>
        <v>8.6777395420743506</v>
      </c>
      <c r="U40" s="352">
        <f t="shared" si="0"/>
        <v>8.6777395420743506</v>
      </c>
      <c r="V40" s="352">
        <f t="shared" si="0"/>
        <v>8.6777395420743506</v>
      </c>
      <c r="W40" s="352">
        <f t="shared" si="0"/>
        <v>6.9484923191344734</v>
      </c>
      <c r="X40" s="352">
        <f t="shared" si="0"/>
        <v>6.9484923191344734</v>
      </c>
      <c r="Y40" s="352">
        <f t="shared" si="0"/>
        <v>6.9484923191344734</v>
      </c>
      <c r="Z40" s="352">
        <f t="shared" si="0"/>
        <v>6.9484923191344734</v>
      </c>
      <c r="AA40" s="352">
        <f t="shared" si="0"/>
        <v>6.9484923191344734</v>
      </c>
      <c r="AB40" s="352">
        <f t="shared" si="0"/>
        <v>5.2251387742031961</v>
      </c>
      <c r="AC40" s="352">
        <f t="shared" si="0"/>
        <v>5.2251387742031961</v>
      </c>
      <c r="AD40" s="352">
        <f t="shared" si="0"/>
        <v>5.2251387742031961</v>
      </c>
      <c r="AE40" s="352">
        <f t="shared" si="0"/>
        <v>5.2251387742031961</v>
      </c>
      <c r="AF40" s="352">
        <f t="shared" si="0"/>
        <v>5.2251387742031961</v>
      </c>
      <c r="AG40" s="352">
        <f t="shared" si="0"/>
        <v>18.755290497549847</v>
      </c>
      <c r="AH40" s="352">
        <f t="shared" si="0"/>
        <v>-8.083502385442868</v>
      </c>
      <c r="AI40" s="352">
        <f t="shared" si="0"/>
        <v>-7.3088931950806888</v>
      </c>
      <c r="AJ40" s="352">
        <f t="shared" si="0"/>
        <v>-8.083502385442868</v>
      </c>
      <c r="AK40" s="352">
        <f t="shared" si="0"/>
        <v>-8.083502385442868</v>
      </c>
      <c r="AL40" s="352">
        <f t="shared" si="0"/>
        <v>-7.3088931950806888</v>
      </c>
      <c r="AM40" s="352">
        <f t="shared" si="0"/>
        <v>-7.3088931950806888</v>
      </c>
      <c r="AN40" s="352">
        <f t="shared" si="0"/>
        <v>-5.3921382806734499</v>
      </c>
      <c r="AO40" s="352">
        <f t="shared" si="0"/>
        <v>-5.3921382806734499</v>
      </c>
      <c r="AP40" s="348"/>
      <c r="AQ40" s="348"/>
    </row>
    <row r="41" spans="3:43" x14ac:dyDescent="0.25">
      <c r="D41" s="293"/>
      <c r="E41" s="86"/>
      <c r="F41" s="293" t="s">
        <v>135</v>
      </c>
      <c r="G41" s="293" t="s">
        <v>183</v>
      </c>
      <c r="H41" s="348"/>
      <c r="I41" s="348"/>
      <c r="J41" s="353">
        <f t="shared" si="0"/>
        <v>1.9378384371204245</v>
      </c>
      <c r="K41" s="353">
        <f t="shared" si="0"/>
        <v>1.9378384371204245</v>
      </c>
      <c r="L41" s="353">
        <f t="shared" si="0"/>
        <v>2.3632170725283155</v>
      </c>
      <c r="M41" s="353">
        <f t="shared" si="0"/>
        <v>2.3632170725283155</v>
      </c>
      <c r="N41" s="353">
        <f t="shared" si="0"/>
        <v>2.3632170725283155</v>
      </c>
      <c r="O41" s="353">
        <f t="shared" si="0"/>
        <v>2.3632170725283155</v>
      </c>
      <c r="P41" s="353">
        <f t="shared" si="0"/>
        <v>2.3632170725283155</v>
      </c>
      <c r="Q41" s="353">
        <f t="shared" si="0"/>
        <v>2.3632170725283155</v>
      </c>
      <c r="R41" s="353">
        <f t="shared" si="0"/>
        <v>1.4430267840727677</v>
      </c>
      <c r="S41" s="353">
        <f t="shared" si="0"/>
        <v>1.4430267840727677</v>
      </c>
      <c r="T41" s="353">
        <f t="shared" si="0"/>
        <v>1.4430267840727677</v>
      </c>
      <c r="U41" s="353">
        <f t="shared" si="0"/>
        <v>1.4430267840727677</v>
      </c>
      <c r="V41" s="353">
        <f t="shared" si="0"/>
        <v>1.4430267840727677</v>
      </c>
      <c r="W41" s="353">
        <f t="shared" si="0"/>
        <v>0.94531157810868405</v>
      </c>
      <c r="X41" s="353">
        <f t="shared" si="0"/>
        <v>0.94531157810868405</v>
      </c>
      <c r="Y41" s="353">
        <f t="shared" si="0"/>
        <v>0.94531157810868405</v>
      </c>
      <c r="Z41" s="353">
        <f t="shared" si="0"/>
        <v>0.94531157810868405</v>
      </c>
      <c r="AA41" s="353">
        <f t="shared" si="0"/>
        <v>0.94531157810868405</v>
      </c>
      <c r="AB41" s="353">
        <f t="shared" si="0"/>
        <v>0.62394643951897777</v>
      </c>
      <c r="AC41" s="353">
        <f t="shared" si="0"/>
        <v>0.62394643951897777</v>
      </c>
      <c r="AD41" s="353">
        <f t="shared" si="0"/>
        <v>0.62394643951897777</v>
      </c>
      <c r="AE41" s="353">
        <f t="shared" si="0"/>
        <v>0.62394643951897777</v>
      </c>
      <c r="AF41" s="353">
        <f t="shared" si="0"/>
        <v>0.62394643951897777</v>
      </c>
      <c r="AG41" s="353">
        <f t="shared" si="0"/>
        <v>2.930457524346521</v>
      </c>
      <c r="AH41" s="353">
        <f t="shared" si="0"/>
        <v>-1.4542757722352337</v>
      </c>
      <c r="AI41" s="353">
        <f t="shared" si="0"/>
        <v>-1.2593492541418145</v>
      </c>
      <c r="AJ41" s="353">
        <f t="shared" si="0"/>
        <v>-1.4542757722352337</v>
      </c>
      <c r="AK41" s="353">
        <f t="shared" si="0"/>
        <v>-1.4542757722352337</v>
      </c>
      <c r="AL41" s="353">
        <f t="shared" si="0"/>
        <v>-1.2593492541418145</v>
      </c>
      <c r="AM41" s="353">
        <f t="shared" si="0"/>
        <v>-1.2593492541418145</v>
      </c>
      <c r="AN41" s="353">
        <f t="shared" si="0"/>
        <v>-0.70810900515864061</v>
      </c>
      <c r="AO41" s="353">
        <f t="shared" si="0"/>
        <v>-0.70810900515864061</v>
      </c>
      <c r="AP41" s="348"/>
      <c r="AQ41" s="348"/>
    </row>
    <row r="42" spans="3:43" x14ac:dyDescent="0.25">
      <c r="D42" s="293"/>
      <c r="E42" s="86"/>
      <c r="F42" s="293" t="s">
        <v>136</v>
      </c>
      <c r="G42" s="293" t="s">
        <v>183</v>
      </c>
      <c r="H42" s="348"/>
      <c r="I42" s="348"/>
      <c r="J42" s="353">
        <f t="shared" si="0"/>
        <v>0.21452572109019707</v>
      </c>
      <c r="K42" s="353">
        <f t="shared" si="0"/>
        <v>0.21452572109019707</v>
      </c>
      <c r="L42" s="353">
        <f t="shared" si="0"/>
        <v>0.26161667395252336</v>
      </c>
      <c r="M42" s="353">
        <f t="shared" si="0"/>
        <v>0.26161667395252336</v>
      </c>
      <c r="N42" s="353">
        <f t="shared" si="0"/>
        <v>0.26161667395252336</v>
      </c>
      <c r="O42" s="353">
        <f t="shared" si="0"/>
        <v>0.26161667395252336</v>
      </c>
      <c r="P42" s="353">
        <f t="shared" si="0"/>
        <v>0.26161667395252336</v>
      </c>
      <c r="Q42" s="353">
        <f t="shared" si="0"/>
        <v>0.26161667395252336</v>
      </c>
      <c r="R42" s="353">
        <f t="shared" si="0"/>
        <v>0.16622991183513294</v>
      </c>
      <c r="S42" s="353">
        <f t="shared" si="0"/>
        <v>0.16622991183513294</v>
      </c>
      <c r="T42" s="353">
        <f t="shared" si="0"/>
        <v>0.16622991183513294</v>
      </c>
      <c r="U42" s="353">
        <f t="shared" si="0"/>
        <v>0.16622991183513294</v>
      </c>
      <c r="V42" s="353">
        <f t="shared" si="0"/>
        <v>0.16622991183513294</v>
      </c>
      <c r="W42" s="353">
        <f t="shared" si="0"/>
        <v>0.12136791889315691</v>
      </c>
      <c r="X42" s="353">
        <f t="shared" si="0"/>
        <v>0.12136791889315691</v>
      </c>
      <c r="Y42" s="353">
        <f t="shared" si="0"/>
        <v>0.12136791889315691</v>
      </c>
      <c r="Z42" s="353">
        <f t="shared" si="0"/>
        <v>0.12136791889315691</v>
      </c>
      <c r="AA42" s="353">
        <f t="shared" si="0"/>
        <v>0.12136791889315691</v>
      </c>
      <c r="AB42" s="353">
        <f t="shared" si="0"/>
        <v>7.9944079146318126E-2</v>
      </c>
      <c r="AC42" s="353">
        <f t="shared" si="0"/>
        <v>7.9944079146318126E-2</v>
      </c>
      <c r="AD42" s="353">
        <f t="shared" si="0"/>
        <v>7.9944079146318126E-2</v>
      </c>
      <c r="AE42" s="353">
        <f t="shared" si="0"/>
        <v>7.9944079146318126E-2</v>
      </c>
      <c r="AF42" s="353">
        <f t="shared" si="0"/>
        <v>7.9944079146318126E-2</v>
      </c>
      <c r="AG42" s="353">
        <f t="shared" si="0"/>
        <v>0.59475727473723183</v>
      </c>
      <c r="AH42" s="353">
        <f t="shared" si="0"/>
        <v>-0.16099358580499623</v>
      </c>
      <c r="AI42" s="353">
        <f t="shared" si="0"/>
        <v>-0.14246284344281587</v>
      </c>
      <c r="AJ42" s="353">
        <f t="shared" si="0"/>
        <v>-0.16099358580499623</v>
      </c>
      <c r="AK42" s="353">
        <f t="shared" si="0"/>
        <v>-0.16099358580499623</v>
      </c>
      <c r="AL42" s="353">
        <f t="shared" si="0"/>
        <v>-0.14246284344281587</v>
      </c>
      <c r="AM42" s="353">
        <f t="shared" si="0"/>
        <v>-0.14246284344281587</v>
      </c>
      <c r="AN42" s="353">
        <f t="shared" si="0"/>
        <v>-8.9601370113660816E-2</v>
      </c>
      <c r="AO42" s="353">
        <f t="shared" si="0"/>
        <v>-8.9601370113660816E-2</v>
      </c>
      <c r="AP42" s="348"/>
      <c r="AQ42" s="348"/>
    </row>
    <row r="43" spans="3:43" x14ac:dyDescent="0.25">
      <c r="D43" s="293"/>
      <c r="E43" s="86"/>
      <c r="F43" s="293" t="s">
        <v>254</v>
      </c>
      <c r="G43" s="293" t="s">
        <v>252</v>
      </c>
      <c r="J43" s="233">
        <f t="shared" si="0"/>
        <v>4.0658526232526127</v>
      </c>
      <c r="K43" s="233">
        <f t="shared" si="0"/>
        <v>0</v>
      </c>
      <c r="L43" s="233">
        <f t="shared" si="0"/>
        <v>5.2097159572486822</v>
      </c>
      <c r="M43" s="233">
        <f t="shared" si="0"/>
        <v>5.2097159572486822</v>
      </c>
      <c r="N43" s="233">
        <f t="shared" si="0"/>
        <v>5.2097159572486822</v>
      </c>
      <c r="O43" s="233">
        <f t="shared" si="0"/>
        <v>5.2097159572486822</v>
      </c>
      <c r="P43" s="233">
        <f t="shared" si="0"/>
        <v>5.2097159572486822</v>
      </c>
      <c r="Q43" s="233">
        <f t="shared" si="0"/>
        <v>0</v>
      </c>
      <c r="R43" s="233">
        <f t="shared" si="0"/>
        <v>20.773710300729842</v>
      </c>
      <c r="S43" s="233">
        <f t="shared" si="0"/>
        <v>20.773710300729842</v>
      </c>
      <c r="T43" s="233">
        <f t="shared" si="0"/>
        <v>20.773710300729842</v>
      </c>
      <c r="U43" s="233">
        <f t="shared" si="0"/>
        <v>20.773710300729842</v>
      </c>
      <c r="V43" s="233">
        <f t="shared" si="0"/>
        <v>20.773710300729842</v>
      </c>
      <c r="W43" s="233">
        <f t="shared" si="0"/>
        <v>7.331897753198767</v>
      </c>
      <c r="X43" s="233">
        <f t="shared" si="0"/>
        <v>7.331897753198767</v>
      </c>
      <c r="Y43" s="233">
        <f t="shared" si="0"/>
        <v>7.331897753198767</v>
      </c>
      <c r="Z43" s="233">
        <f t="shared" si="0"/>
        <v>7.331897753198767</v>
      </c>
      <c r="AA43" s="233">
        <f t="shared" si="0"/>
        <v>7.331897753198767</v>
      </c>
      <c r="AB43" s="233">
        <f t="shared" si="0"/>
        <v>111.00934456389379</v>
      </c>
      <c r="AC43" s="233">
        <f t="shared" si="0"/>
        <v>111.00934456389379</v>
      </c>
      <c r="AD43" s="233">
        <f t="shared" si="0"/>
        <v>111.00934456389379</v>
      </c>
      <c r="AE43" s="233">
        <f t="shared" si="0"/>
        <v>111.00934456389379</v>
      </c>
      <c r="AF43" s="233">
        <f t="shared" si="0"/>
        <v>111.00934456389379</v>
      </c>
      <c r="AG43" s="233">
        <f t="shared" si="0"/>
        <v>0</v>
      </c>
      <c r="AH43" s="233">
        <f t="shared" si="0"/>
        <v>0</v>
      </c>
      <c r="AI43" s="233">
        <f t="shared" si="0"/>
        <v>0</v>
      </c>
      <c r="AJ43" s="233">
        <f t="shared" si="0"/>
        <v>0</v>
      </c>
      <c r="AK43" s="233">
        <f t="shared" si="0"/>
        <v>0</v>
      </c>
      <c r="AL43" s="233">
        <f t="shared" si="0"/>
        <v>0</v>
      </c>
      <c r="AM43" s="233">
        <f t="shared" si="0"/>
        <v>0</v>
      </c>
      <c r="AN43" s="233">
        <f t="shared" si="0"/>
        <v>81.061112421377317</v>
      </c>
      <c r="AO43" s="233">
        <f t="shared" si="0"/>
        <v>81.061112421377317</v>
      </c>
    </row>
    <row r="44" spans="3:43" x14ac:dyDescent="0.25">
      <c r="D44" s="293"/>
      <c r="E44" s="86"/>
      <c r="F44" s="293" t="s">
        <v>255</v>
      </c>
      <c r="G44" s="293" t="s">
        <v>251</v>
      </c>
      <c r="J44" s="233">
        <f t="shared" si="0"/>
        <v>0</v>
      </c>
      <c r="K44" s="233">
        <f t="shared" si="0"/>
        <v>0</v>
      </c>
      <c r="L44" s="233">
        <f t="shared" si="0"/>
        <v>0</v>
      </c>
      <c r="M44" s="233">
        <f t="shared" si="0"/>
        <v>0</v>
      </c>
      <c r="N44" s="233">
        <f t="shared" si="0"/>
        <v>0</v>
      </c>
      <c r="O44" s="233">
        <f t="shared" si="0"/>
        <v>0</v>
      </c>
      <c r="P44" s="233">
        <f t="shared" si="0"/>
        <v>0</v>
      </c>
      <c r="Q44" s="233">
        <f t="shared" si="0"/>
        <v>0</v>
      </c>
      <c r="R44" s="233">
        <f t="shared" si="0"/>
        <v>2.9246805518159871</v>
      </c>
      <c r="S44" s="233">
        <f t="shared" si="0"/>
        <v>2.9246805518159871</v>
      </c>
      <c r="T44" s="233">
        <f t="shared" si="0"/>
        <v>2.9246805518159871</v>
      </c>
      <c r="U44" s="233">
        <f t="shared" si="0"/>
        <v>2.9246805518159871</v>
      </c>
      <c r="V44" s="233">
        <f t="shared" si="0"/>
        <v>2.9246805518159871</v>
      </c>
      <c r="W44" s="233">
        <f t="shared" si="0"/>
        <v>5.7785379748713108</v>
      </c>
      <c r="X44" s="233">
        <f t="shared" si="0"/>
        <v>5.7785379748713108</v>
      </c>
      <c r="Y44" s="233">
        <f t="shared" si="0"/>
        <v>5.7785379748713108</v>
      </c>
      <c r="Z44" s="233">
        <f t="shared" si="0"/>
        <v>5.7785379748713108</v>
      </c>
      <c r="AA44" s="233">
        <f t="shared" si="0"/>
        <v>5.7785379748713108</v>
      </c>
      <c r="AB44" s="233">
        <f t="shared" si="0"/>
        <v>4.6095828572289328</v>
      </c>
      <c r="AC44" s="233">
        <f t="shared" si="0"/>
        <v>4.6095828572289328</v>
      </c>
      <c r="AD44" s="233">
        <f t="shared" si="0"/>
        <v>4.6095828572289328</v>
      </c>
      <c r="AE44" s="233">
        <f t="shared" si="0"/>
        <v>4.6095828572289328</v>
      </c>
      <c r="AF44" s="233">
        <f t="shared" si="0"/>
        <v>4.6095828572289328</v>
      </c>
      <c r="AG44" s="233">
        <f t="shared" si="0"/>
        <v>0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25">
      <c r="D45" s="293"/>
      <c r="E45" s="86"/>
      <c r="F45" s="293" t="s">
        <v>256</v>
      </c>
      <c r="G45" s="293" t="s">
        <v>251</v>
      </c>
      <c r="J45" s="233">
        <f t="shared" si="0"/>
        <v>0</v>
      </c>
      <c r="K45" s="233">
        <f t="shared" si="0"/>
        <v>0</v>
      </c>
      <c r="L45" s="233">
        <f t="shared" si="0"/>
        <v>0</v>
      </c>
      <c r="M45" s="233">
        <f t="shared" si="0"/>
        <v>0</v>
      </c>
      <c r="N45" s="233">
        <f t="shared" si="0"/>
        <v>0</v>
      </c>
      <c r="O45" s="233">
        <f t="shared" si="0"/>
        <v>0</v>
      </c>
      <c r="P45" s="233">
        <f t="shared" si="0"/>
        <v>0</v>
      </c>
      <c r="Q45" s="233">
        <f t="shared" si="0"/>
        <v>0</v>
      </c>
      <c r="R45" s="233">
        <f t="shared" si="0"/>
        <v>4.9763773941978364</v>
      </c>
      <c r="S45" s="233">
        <f t="shared" si="0"/>
        <v>4.9763773941978364</v>
      </c>
      <c r="T45" s="233">
        <f t="shared" si="0"/>
        <v>4.9763773941978364</v>
      </c>
      <c r="U45" s="233">
        <f t="shared" si="0"/>
        <v>4.9763773941978364</v>
      </c>
      <c r="V45" s="233">
        <f t="shared" si="0"/>
        <v>4.9763773941978364</v>
      </c>
      <c r="W45" s="233">
        <f t="shared" si="0"/>
        <v>7.8192629686414357</v>
      </c>
      <c r="X45" s="233">
        <f t="shared" si="0"/>
        <v>7.8192629686414357</v>
      </c>
      <c r="Y45" s="233">
        <f t="shared" si="0"/>
        <v>7.8192629686414357</v>
      </c>
      <c r="Z45" s="233">
        <f t="shared" si="0"/>
        <v>7.8192629686414357</v>
      </c>
      <c r="AA45" s="233">
        <f t="shared" si="0"/>
        <v>7.8192629686414357</v>
      </c>
      <c r="AB45" s="233">
        <f t="shared" si="0"/>
        <v>7.2778427537122079</v>
      </c>
      <c r="AC45" s="233">
        <f t="shared" si="0"/>
        <v>7.2778427537122079</v>
      </c>
      <c r="AD45" s="233">
        <f t="shared" si="0"/>
        <v>7.2778427537122079</v>
      </c>
      <c r="AE45" s="233">
        <f t="shared" si="0"/>
        <v>7.2778427537122079</v>
      </c>
      <c r="AF45" s="233">
        <f t="shared" si="0"/>
        <v>7.2778427537122079</v>
      </c>
      <c r="AG45" s="233">
        <f t="shared" si="0"/>
        <v>0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25">
      <c r="D46" s="293"/>
      <c r="E46" s="86"/>
      <c r="F46" s="93" t="s">
        <v>257</v>
      </c>
      <c r="G46" s="93" t="s">
        <v>258</v>
      </c>
      <c r="H46" s="350"/>
      <c r="I46" s="350"/>
      <c r="J46" s="354">
        <f t="shared" si="0"/>
        <v>0</v>
      </c>
      <c r="K46" s="354">
        <f t="shared" si="0"/>
        <v>0</v>
      </c>
      <c r="L46" s="354">
        <f t="shared" si="0"/>
        <v>0</v>
      </c>
      <c r="M46" s="354">
        <f t="shared" si="0"/>
        <v>0</v>
      </c>
      <c r="N46" s="354">
        <f t="shared" si="0"/>
        <v>0</v>
      </c>
      <c r="O46" s="354">
        <f t="shared" si="0"/>
        <v>0</v>
      </c>
      <c r="P46" s="354">
        <f t="shared" si="0"/>
        <v>0</v>
      </c>
      <c r="Q46" s="354">
        <f t="shared" si="0"/>
        <v>0</v>
      </c>
      <c r="R46" s="354">
        <f t="shared" si="0"/>
        <v>0.43526962220804583</v>
      </c>
      <c r="S46" s="354">
        <f t="shared" si="0"/>
        <v>0.43526962220804583</v>
      </c>
      <c r="T46" s="354">
        <f t="shared" si="0"/>
        <v>0.43526962220804583</v>
      </c>
      <c r="U46" s="354">
        <f t="shared" si="0"/>
        <v>0.43526962220804583</v>
      </c>
      <c r="V46" s="354">
        <f t="shared" si="0"/>
        <v>0.43526962220804583</v>
      </c>
      <c r="W46" s="354">
        <f t="shared" si="0"/>
        <v>0.28980193378804925</v>
      </c>
      <c r="X46" s="354">
        <f t="shared" si="0"/>
        <v>0.28980193378804925</v>
      </c>
      <c r="Y46" s="354">
        <f t="shared" si="0"/>
        <v>0.28980193378804925</v>
      </c>
      <c r="Z46" s="354">
        <f t="shared" si="0"/>
        <v>0.28980193378804925</v>
      </c>
      <c r="AA46" s="354">
        <f t="shared" si="0"/>
        <v>0.28980193378804925</v>
      </c>
      <c r="AB46" s="354">
        <f t="shared" si="0"/>
        <v>0.19257390160279983</v>
      </c>
      <c r="AC46" s="354">
        <f t="shared" si="0"/>
        <v>0.19257390160279983</v>
      </c>
      <c r="AD46" s="354">
        <f t="shared" si="0"/>
        <v>0.19257390160279983</v>
      </c>
      <c r="AE46" s="354">
        <f t="shared" si="0"/>
        <v>0.19257390160279983</v>
      </c>
      <c r="AF46" s="354">
        <f t="shared" si="0"/>
        <v>0.19257390160279983</v>
      </c>
      <c r="AG46" s="354">
        <f t="shared" si="0"/>
        <v>0</v>
      </c>
      <c r="AH46" s="354">
        <f t="shared" si="0"/>
        <v>0</v>
      </c>
      <c r="AI46" s="354">
        <f t="shared" si="0"/>
        <v>0</v>
      </c>
      <c r="AJ46" s="354">
        <f t="shared" si="0"/>
        <v>0.37290703611975162</v>
      </c>
      <c r="AK46" s="354">
        <f t="shared" si="0"/>
        <v>0</v>
      </c>
      <c r="AL46" s="354">
        <f t="shared" si="0"/>
        <v>0.3436237562338107</v>
      </c>
      <c r="AM46" s="354">
        <f t="shared" si="0"/>
        <v>0</v>
      </c>
      <c r="AN46" s="354">
        <f t="shared" si="0"/>
        <v>0.26472909957480251</v>
      </c>
      <c r="AO46" s="354">
        <f t="shared" si="0"/>
        <v>0</v>
      </c>
      <c r="AP46" s="348"/>
      <c r="AQ46" s="348"/>
    </row>
    <row r="47" spans="3:43" x14ac:dyDescent="0.2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25">
      <c r="D48" s="293"/>
      <c r="E48" s="14" t="s">
        <v>974</v>
      </c>
      <c r="F48" s="472"/>
      <c r="G48" s="293" t="s">
        <v>252</v>
      </c>
      <c r="J48" s="233">
        <f t="shared" ref="J48:AO48" si="1">INDEX($J29:$Y29,J$37)</f>
        <v>0.14839665501371263</v>
      </c>
      <c r="K48" s="233">
        <f t="shared" si="1"/>
        <v>0</v>
      </c>
      <c r="L48" s="233">
        <f t="shared" si="1"/>
        <v>6.6726512238863514E-2</v>
      </c>
      <c r="M48" s="233">
        <f t="shared" si="1"/>
        <v>6.6726512238863514E-2</v>
      </c>
      <c r="N48" s="233">
        <f t="shared" si="1"/>
        <v>6.6726512238863514E-2</v>
      </c>
      <c r="O48" s="233">
        <f t="shared" si="1"/>
        <v>6.6726512238863514E-2</v>
      </c>
      <c r="P48" s="233">
        <f t="shared" si="1"/>
        <v>6.6726512238863514E-2</v>
      </c>
      <c r="Q48" s="233">
        <f t="shared" si="1"/>
        <v>0</v>
      </c>
      <c r="R48" s="233">
        <f t="shared" si="1"/>
        <v>6.6726512238863514E-2</v>
      </c>
      <c r="S48" s="233">
        <f t="shared" si="1"/>
        <v>6.6726512238863514E-2</v>
      </c>
      <c r="T48" s="233">
        <f t="shared" si="1"/>
        <v>6.6726512238863514E-2</v>
      </c>
      <c r="U48" s="233">
        <f t="shared" si="1"/>
        <v>6.6726512238863514E-2</v>
      </c>
      <c r="V48" s="233">
        <f t="shared" si="1"/>
        <v>6.6726512238863514E-2</v>
      </c>
      <c r="W48" s="233">
        <f t="shared" si="1"/>
        <v>6.6726512238863514E-2</v>
      </c>
      <c r="X48" s="233">
        <f t="shared" si="1"/>
        <v>6.6726512238863514E-2</v>
      </c>
      <c r="Y48" s="233">
        <f t="shared" si="1"/>
        <v>6.6726512238863514E-2</v>
      </c>
      <c r="Z48" s="233">
        <f t="shared" si="1"/>
        <v>6.6726512238863514E-2</v>
      </c>
      <c r="AA48" s="233">
        <f t="shared" si="1"/>
        <v>6.6726512238863514E-2</v>
      </c>
      <c r="AB48" s="233">
        <f t="shared" si="1"/>
        <v>6.6726512238863514E-2</v>
      </c>
      <c r="AC48" s="233">
        <f t="shared" si="1"/>
        <v>6.6726512238863514E-2</v>
      </c>
      <c r="AD48" s="233">
        <f t="shared" si="1"/>
        <v>6.6726512238863514E-2</v>
      </c>
      <c r="AE48" s="233">
        <f t="shared" si="1"/>
        <v>6.6726512238863514E-2</v>
      </c>
      <c r="AF48" s="233">
        <f t="shared" si="1"/>
        <v>6.6726512238863514E-2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2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2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25">
      <c r="D51" s="293"/>
      <c r="E51" s="96"/>
      <c r="F51" s="82" t="s">
        <v>1112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25">
      <c r="D52" s="293"/>
      <c r="E52" s="96"/>
      <c r="F52" s="82" t="s">
        <v>1113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25">
      <c r="D53" s="86"/>
      <c r="F53" s="91" t="s">
        <v>134</v>
      </c>
      <c r="G53" s="91" t="s">
        <v>120</v>
      </c>
      <c r="H53" s="455">
        <v>0</v>
      </c>
      <c r="I53" s="91"/>
      <c r="J53" s="283">
        <f>INDEX('Volume adjustments'!$J$481:$Y$521, J$36 + 1 + $H53*$H$59, J$37)</f>
        <v>655475.49579930119</v>
      </c>
      <c r="K53" s="283">
        <f>INDEX('Volume adjustments'!$J$481:$Y$521, K$36 + 1 + $H53*$H$59, K$37)</f>
        <v>50.685541167972772</v>
      </c>
      <c r="L53" s="283">
        <f>INDEX('Volume adjustments'!$J$481:$Y$521, L$36 + 1 + $H53*$H$59, L$37)</f>
        <v>0</v>
      </c>
      <c r="M53" s="283">
        <f>INDEX('Volume adjustments'!$J$481:$Y$521, M$36 + 1 + $H53*$H$59, M$37)</f>
        <v>4319.5691625890968</v>
      </c>
      <c r="N53" s="283">
        <f>INDEX('Volume adjustments'!$J$481:$Y$521, N$36 + 1 + $H53*$H$59, N$37)</f>
        <v>19042.168085390713</v>
      </c>
      <c r="O53" s="283">
        <f>INDEX('Volume adjustments'!$J$481:$Y$521, O$36 + 1 + $H53*$H$59, O$37)</f>
        <v>24122.59315296675</v>
      </c>
      <c r="P53" s="283">
        <f>INDEX('Volume adjustments'!$J$481:$Y$521, P$36 + 1 + $H53*$H$59, P$37)</f>
        <v>82406.307530503065</v>
      </c>
      <c r="Q53" s="283">
        <f>INDEX('Volume adjustments'!$J$481:$Y$521, Q$36 + 1 + $H53*$H$59, Q$37)</f>
        <v>6.1226977807298875</v>
      </c>
      <c r="R53" s="283">
        <f>INDEX('Volume adjustments'!$J$481:$Y$521, R$36 + 1 + $H53*$H$59, R$37)</f>
        <v>0</v>
      </c>
      <c r="S53" s="283">
        <f>INDEX('Volume adjustments'!$J$481:$Y$521, S$36 + 1 + $H53*$H$59, S$37)</f>
        <v>25065.998179616356</v>
      </c>
      <c r="T53" s="283">
        <f>INDEX('Volume adjustments'!$J$481:$Y$521, T$36 + 1 + $H53*$H$59, T$37)</f>
        <v>34851.710275001169</v>
      </c>
      <c r="U53" s="283">
        <f>INDEX('Volume adjustments'!$J$481:$Y$521, U$36 + 1 + $H53*$H$59, U$37)</f>
        <v>13149.982474621718</v>
      </c>
      <c r="V53" s="283">
        <f>INDEX('Volume adjustments'!$J$481:$Y$521, V$36 + 1 + $H53*$H$59, V$37)</f>
        <v>17426.852451123425</v>
      </c>
      <c r="W53" s="283">
        <f>INDEX('Volume adjustments'!$J$481:$Y$521, W$36 + 1 + $H53*$H$59, W$37)</f>
        <v>0</v>
      </c>
      <c r="X53" s="283">
        <f>INDEX('Volume adjustments'!$J$481:$Y$521, X$36 + 1 + $H53*$H$59, X$37)</f>
        <v>10087.248003801</v>
      </c>
      <c r="Y53" s="283">
        <f>INDEX('Volume adjustments'!$J$481:$Y$521, Y$36 + 1 + $H53*$H$59, Y$37)</f>
        <v>18730.687562697691</v>
      </c>
      <c r="Z53" s="283">
        <f>INDEX('Volume adjustments'!$J$481:$Y$521, Z$36 + 1 + $H53*$H$59, Z$37)</f>
        <v>15516.936459162202</v>
      </c>
      <c r="AA53" s="283">
        <f>INDEX('Volume adjustments'!$J$481:$Y$521, AA$36 + 1 + $H53*$H$59, AA$37)</f>
        <v>61930.185239457518</v>
      </c>
      <c r="AB53" s="283">
        <f>INDEX('Volume adjustments'!$J$481:$Y$521, AB$36 + 1 + $H53*$H$59, AB$37)</f>
        <v>0</v>
      </c>
      <c r="AC53" s="283">
        <f>INDEX('Volume adjustments'!$J$481:$Y$521, AC$36 + 1 + $H53*$H$59, AC$37)</f>
        <v>13802.750525721389</v>
      </c>
      <c r="AD53" s="283">
        <f>INDEX('Volume adjustments'!$J$481:$Y$521, AD$36 + 1 + $H53*$H$59, AD$37)</f>
        <v>49862.351789933506</v>
      </c>
      <c r="AE53" s="283">
        <f>INDEX('Volume adjustments'!$J$481:$Y$521, AE$36 + 1 + $H53*$H$59, AE$37)</f>
        <v>44684.650460630299</v>
      </c>
      <c r="AF53" s="283">
        <f>INDEX('Volume adjustments'!$J$481:$Y$521, AF$36 + 1 + $H53*$H$59, AF$37)</f>
        <v>59434.860553476596</v>
      </c>
      <c r="AG53" s="283">
        <f>INDEX('Volume adjustments'!$J$481:$Y$521, AG$36 + 1 + $H53*$H$59, AG$37)</f>
        <v>6455.2183475278016</v>
      </c>
      <c r="AH53" s="283">
        <f>INDEX('Volume adjustments'!$J$481:$Y$521, AH$36 + 1 + $H53*$H$59, AH$37)</f>
        <v>138.20714502602834</v>
      </c>
      <c r="AI53" s="283">
        <f>INDEX('Volume adjustments'!$J$481:$Y$521, AI$36 + 1 + $H53*$H$59, AI$37)</f>
        <v>19.850977162721037</v>
      </c>
      <c r="AJ53" s="283">
        <f>INDEX('Volume adjustments'!$J$481:$Y$521, AJ$36 + 1 + $H53*$H$59, AJ$37)</f>
        <v>4652.727973052467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1319.5926901394901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42346.377102139319</v>
      </c>
      <c r="AO53" s="283">
        <f>INDEX('Volume adjustments'!$J$481:$Y$521, AO$36 + 1 + $H53*$H$59, AO$37)</f>
        <v>0</v>
      </c>
    </row>
    <row r="54" spans="4:41" x14ac:dyDescent="0.25">
      <c r="D54" s="86"/>
      <c r="F54" s="293" t="s">
        <v>135</v>
      </c>
      <c r="G54" s="293" t="s">
        <v>120</v>
      </c>
      <c r="H54" s="490">
        <v>1</v>
      </c>
      <c r="J54" s="488">
        <f>INDEX('Volume adjustments'!$J$481:$Y$521, J$36 + 1 + $H54*$H$59, J$37)</f>
        <v>2319857.7445436521</v>
      </c>
      <c r="K54" s="488">
        <f>INDEX('Volume adjustments'!$J$481:$Y$521, K$36 + 1 + $H54*$H$59, K$37)</f>
        <v>876.88932002307558</v>
      </c>
      <c r="L54" s="488">
        <f>INDEX('Volume adjustments'!$J$481:$Y$521, L$36 + 1 + $H54*$H$59, L$37)</f>
        <v>0</v>
      </c>
      <c r="M54" s="488">
        <f>INDEX('Volume adjustments'!$J$481:$Y$521, M$36 + 1 + $H54*$H$59, M$37)</f>
        <v>22707.770358779417</v>
      </c>
      <c r="N54" s="488">
        <f>INDEX('Volume adjustments'!$J$481:$Y$521, N$36 + 1 + $H54*$H$59, N$37)</f>
        <v>100103.77510824539</v>
      </c>
      <c r="O54" s="488">
        <f>INDEX('Volume adjustments'!$J$481:$Y$521, O$36 + 1 + $H54*$H$59, O$37)</f>
        <v>126811.32889825221</v>
      </c>
      <c r="P54" s="488">
        <f>INDEX('Volume adjustments'!$J$481:$Y$521, P$36 + 1 + $H54*$H$59, P$37)</f>
        <v>433206.05298423028</v>
      </c>
      <c r="Q54" s="488">
        <f>INDEX('Volume adjustments'!$J$481:$Y$521, Q$36 + 1 + $H54*$H$59, Q$37)</f>
        <v>315.99830541136959</v>
      </c>
      <c r="R54" s="488">
        <f>INDEX('Volume adjustments'!$J$481:$Y$521, R$36 + 1 + $H54*$H$59, R$37)</f>
        <v>0</v>
      </c>
      <c r="S54" s="488">
        <f>INDEX('Volume adjustments'!$J$481:$Y$521, S$36 + 1 + $H54*$H$59, S$37)</f>
        <v>113545.64238818234</v>
      </c>
      <c r="T54" s="488">
        <f>INDEX('Volume adjustments'!$J$481:$Y$521, T$36 + 1 + $H54*$H$59, T$37)</f>
        <v>158200.7024317348</v>
      </c>
      <c r="U54" s="488">
        <f>INDEX('Volume adjustments'!$J$481:$Y$521, U$36 + 1 + $H54*$H$59, U$37)</f>
        <v>59756.207068231539</v>
      </c>
      <c r="V54" s="488">
        <f>INDEX('Volume adjustments'!$J$481:$Y$521, V$36 + 1 + $H54*$H$59, V$37)</f>
        <v>79206.3359094068</v>
      </c>
      <c r="W54" s="488">
        <f>INDEX('Volume adjustments'!$J$481:$Y$521, W$36 + 1 + $H54*$H$59, W$37)</f>
        <v>0</v>
      </c>
      <c r="X54" s="488">
        <f>INDEX('Volume adjustments'!$J$481:$Y$521, X$36 + 1 + $H54*$H$59, X$37)</f>
        <v>48739.937188510827</v>
      </c>
      <c r="Y54" s="488">
        <f>INDEX('Volume adjustments'!$J$481:$Y$521, Y$36 + 1 + $H54*$H$59, Y$37)</f>
        <v>90391.425638093147</v>
      </c>
      <c r="Z54" s="488">
        <f>INDEX('Volume adjustments'!$J$481:$Y$521, Z$36 + 1 + $H54*$H$59, Z$37)</f>
        <v>74975.247421899752</v>
      </c>
      <c r="AA54" s="488">
        <f>INDEX('Volume adjustments'!$J$481:$Y$521, AA$36 + 1 + $H54*$H$59, AA$37)</f>
        <v>299309.7146915748</v>
      </c>
      <c r="AB54" s="488">
        <f>INDEX('Volume adjustments'!$J$481:$Y$521, AB$36 + 1 + $H54*$H$59, AB$37)</f>
        <v>0</v>
      </c>
      <c r="AC54" s="488">
        <f>INDEX('Volume adjustments'!$J$481:$Y$521, AC$36 + 1 + $H54*$H$59, AC$37)</f>
        <v>63264.72014507492</v>
      </c>
      <c r="AD54" s="488">
        <f>INDEX('Volume adjustments'!$J$481:$Y$521, AD$36 + 1 + $H54*$H$59, AD$37)</f>
        <v>228540.04702399005</v>
      </c>
      <c r="AE54" s="488">
        <f>INDEX('Volume adjustments'!$J$481:$Y$521, AE$36 + 1 + $H54*$H$59, AE$37)</f>
        <v>204810.87476356351</v>
      </c>
      <c r="AF54" s="488">
        <f>INDEX('Volume adjustments'!$J$481:$Y$521, AF$36 + 1 + $H54*$H$59, AF$37)</f>
        <v>272419.09721915028</v>
      </c>
      <c r="AG54" s="488">
        <f>INDEX('Volume adjustments'!$J$481:$Y$521, AG$36 + 1 + $H54*$H$59, AG$37)</f>
        <v>52643.235695354182</v>
      </c>
      <c r="AH54" s="488">
        <f>INDEX('Volume adjustments'!$J$481:$Y$521, AH$36 + 1 + $H54*$H$59, AH$37)</f>
        <v>675.42262204083556</v>
      </c>
      <c r="AI54" s="488">
        <f>INDEX('Volume adjustments'!$J$481:$Y$521, AI$36 + 1 + $H54*$H$59, AI$37)</f>
        <v>89.283262919470644</v>
      </c>
      <c r="AJ54" s="488">
        <f>INDEX('Volume adjustments'!$J$481:$Y$521, AJ$36 + 1 + $H54*$H$59, AJ$37)</f>
        <v>22397.414037263683</v>
      </c>
      <c r="AK54" s="488">
        <f>INDEX('Volume adjustments'!$J$481:$Y$521, AK$36 + 1 + $H54*$H$59, AK$37)</f>
        <v>0</v>
      </c>
      <c r="AL54" s="488">
        <f>INDEX('Volume adjustments'!$J$481:$Y$521, AL$36 + 1 + $H54*$H$59, AL$37)</f>
        <v>5938.0182101575592</v>
      </c>
      <c r="AM54" s="488">
        <f>INDEX('Volume adjustments'!$J$481:$Y$521, AM$36 + 1 + $H54*$H$59, AM$37)</f>
        <v>0</v>
      </c>
      <c r="AN54" s="488">
        <f>INDEX('Volume adjustments'!$J$481:$Y$521, AN$36 + 1 + $H54*$H$59, AN$37)</f>
        <v>169950.37671525255</v>
      </c>
      <c r="AO54" s="488">
        <f>INDEX('Volume adjustments'!$J$481:$Y$521, AO$36 + 1 + $H54*$H$59, AO$37)</f>
        <v>0</v>
      </c>
    </row>
    <row r="55" spans="4:41" x14ac:dyDescent="0.25">
      <c r="D55" s="86"/>
      <c r="F55" s="293" t="s">
        <v>136</v>
      </c>
      <c r="G55" s="293" t="s">
        <v>120</v>
      </c>
      <c r="H55" s="490">
        <v>2</v>
      </c>
      <c r="J55" s="488">
        <f>INDEX('Volume adjustments'!$J$481:$Y$521, J$36 + 1 + $H55*$H$59, J$37)</f>
        <v>2183608.0375141334</v>
      </c>
      <c r="K55" s="488">
        <f>INDEX('Volume adjustments'!$J$481:$Y$521, K$36 + 1 + $H55*$H$59, K$37)</f>
        <v>11792.873278266205</v>
      </c>
      <c r="L55" s="488">
        <f>INDEX('Volume adjustments'!$J$481:$Y$521, L$36 + 1 + $H55*$H$59, L$37)</f>
        <v>0</v>
      </c>
      <c r="M55" s="488">
        <f>INDEX('Volume adjustments'!$J$481:$Y$521, M$36 + 1 + $H55*$H$59, M$37)</f>
        <v>21991.046084672707</v>
      </c>
      <c r="N55" s="488">
        <f>INDEX('Volume adjustments'!$J$481:$Y$521, N$36 + 1 + $H55*$H$59, N$37)</f>
        <v>96944.204423135845</v>
      </c>
      <c r="O55" s="488">
        <f>INDEX('Volume adjustments'!$J$481:$Y$521, O$36 + 1 + $H55*$H$59, O$37)</f>
        <v>122808.78896513334</v>
      </c>
      <c r="P55" s="488">
        <f>INDEX('Volume adjustments'!$J$481:$Y$521, P$36 + 1 + $H55*$H$59, P$37)</f>
        <v>419532.79097047588</v>
      </c>
      <c r="Q55" s="488">
        <f>INDEX('Volume adjustments'!$J$481:$Y$521, Q$36 + 1 + $H55*$H$59, Q$37)</f>
        <v>3822.6277485878222</v>
      </c>
      <c r="R55" s="488">
        <f>INDEX('Volume adjustments'!$J$481:$Y$521, R$36 + 1 + $H55*$H$59, R$37)</f>
        <v>0</v>
      </c>
      <c r="S55" s="488">
        <f>INDEX('Volume adjustments'!$J$481:$Y$521, S$36 + 1 + $H55*$H$59, S$37)</f>
        <v>98111.565880395618</v>
      </c>
      <c r="T55" s="488">
        <f>INDEX('Volume adjustments'!$J$481:$Y$521, T$36 + 1 + $H55*$H$59, T$37)</f>
        <v>136325.57101756768</v>
      </c>
      <c r="U55" s="488">
        <f>INDEX('Volume adjustments'!$J$481:$Y$521, U$36 + 1 + $H55*$H$59, U$37)</f>
        <v>51421.428918055841</v>
      </c>
      <c r="V55" s="488">
        <f>INDEX('Volume adjustments'!$J$481:$Y$521, V$36 + 1 + $H55*$H$59, V$37)</f>
        <v>68119.252291172423</v>
      </c>
      <c r="W55" s="488">
        <f>INDEX('Volume adjustments'!$J$481:$Y$521, W$36 + 1 + $H55*$H$59, W$37)</f>
        <v>0</v>
      </c>
      <c r="X55" s="488">
        <f>INDEX('Volume adjustments'!$J$481:$Y$521, X$36 + 1 + $H55*$H$59, X$37)</f>
        <v>43147.725738959387</v>
      </c>
      <c r="Y55" s="488">
        <f>INDEX('Volume adjustments'!$J$481:$Y$521, Y$36 + 1 + $H55*$H$59, Y$37)</f>
        <v>80283.801332944568</v>
      </c>
      <c r="Z55" s="488">
        <f>INDEX('Volume adjustments'!$J$481:$Y$521, Z$36 + 1 + $H55*$H$59, Z$37)</f>
        <v>66373.047116305053</v>
      </c>
      <c r="AA55" s="488">
        <f>INDEX('Volume adjustments'!$J$481:$Y$521, AA$36 + 1 + $H55*$H$59, AA$37)</f>
        <v>264796.38843800803</v>
      </c>
      <c r="AB55" s="488">
        <f>INDEX('Volume adjustments'!$J$481:$Y$521, AB$36 + 1 + $H55*$H$59, AB$37)</f>
        <v>0</v>
      </c>
      <c r="AC55" s="488">
        <f>INDEX('Volume adjustments'!$J$481:$Y$521, AC$36 + 1 + $H55*$H$59, AC$37)</f>
        <v>68638.704863676408</v>
      </c>
      <c r="AD55" s="488">
        <f>INDEX('Volume adjustments'!$J$481:$Y$521, AD$36 + 1 + $H55*$H$59, AD$37)</f>
        <v>247923.17128677346</v>
      </c>
      <c r="AE55" s="488">
        <f>INDEX('Volume adjustments'!$J$481:$Y$521, AE$36 + 1 + $H55*$H$59, AE$37)</f>
        <v>222202.91645604221</v>
      </c>
      <c r="AF55" s="488">
        <f>INDEX('Volume adjustments'!$J$481:$Y$521, AF$36 + 1 + $H55*$H$59, AF$37)</f>
        <v>295561.5311337951</v>
      </c>
      <c r="AG55" s="488">
        <f>INDEX('Volume adjustments'!$J$481:$Y$521, AG$36 + 1 + $H55*$H$59, AG$37)</f>
        <v>88973.638885898574</v>
      </c>
      <c r="AH55" s="488">
        <f>INDEX('Volume adjustments'!$J$481:$Y$521, AH$36 + 1 + $H55*$H$59, AH$37)</f>
        <v>734.62430353180275</v>
      </c>
      <c r="AI55" s="488">
        <f>INDEX('Volume adjustments'!$J$481:$Y$521, AI$36 + 1 + $H55*$H$59, AI$37)</f>
        <v>112.33780697547499</v>
      </c>
      <c r="AJ55" s="488">
        <f>INDEX('Volume adjustments'!$J$481:$Y$521, AJ$36 + 1 + $H55*$H$59, AJ$37)</f>
        <v>25989.195328374855</v>
      </c>
      <c r="AK55" s="488">
        <f>INDEX('Volume adjustments'!$J$481:$Y$521, AK$36 + 1 + $H55*$H$59, AK$37)</f>
        <v>0</v>
      </c>
      <c r="AL55" s="488">
        <f>INDEX('Volume adjustments'!$J$481:$Y$521, AL$36 + 1 + $H55*$H$59, AL$37)</f>
        <v>7475.1781511239524</v>
      </c>
      <c r="AM55" s="488">
        <f>INDEX('Volume adjustments'!$J$481:$Y$521, AM$36 + 1 + $H55*$H$59, AM$37)</f>
        <v>0</v>
      </c>
      <c r="AN55" s="488">
        <f>INDEX('Volume adjustments'!$J$481:$Y$521, AN$36 + 1 + $H55*$H$59, AN$37)</f>
        <v>176946.04662843214</v>
      </c>
      <c r="AO55" s="488">
        <f>INDEX('Volume adjustments'!$J$481:$Y$521, AO$36 + 1 + $H55*$H$59, AO$37)</f>
        <v>0</v>
      </c>
    </row>
    <row r="56" spans="4:41" x14ac:dyDescent="0.25">
      <c r="D56" s="86"/>
      <c r="F56" s="293" t="s">
        <v>74</v>
      </c>
      <c r="G56" s="293" t="s">
        <v>74</v>
      </c>
      <c r="H56" s="490">
        <v>3</v>
      </c>
      <c r="J56" s="488">
        <f>INDEX('Volume adjustments'!$J$481:$Y$521, J$36 + 1 + $H56*$H$59, J$37)</f>
        <v>1422018.8938824672</v>
      </c>
      <c r="K56" s="488">
        <f>INDEX('Volume adjustments'!$J$481:$Y$521, K$36 + 1 + $H56*$H$59, K$37)</f>
        <v>3156</v>
      </c>
      <c r="L56" s="488">
        <f>INDEX('Volume adjustments'!$J$481:$Y$521, L$36 + 1 + $H56*$H$59, L$37)</f>
        <v>0</v>
      </c>
      <c r="M56" s="488">
        <f>INDEX('Volume adjustments'!$J$481:$Y$521, M$36 + 1 + $H56*$H$59, M$37)</f>
        <v>37937.366962498359</v>
      </c>
      <c r="N56" s="488">
        <f>INDEX('Volume adjustments'!$J$481:$Y$521, N$36 + 1 + $H56*$H$59, N$37)</f>
        <v>30923.869602955838</v>
      </c>
      <c r="O56" s="488">
        <f>INDEX('Volume adjustments'!$J$481:$Y$521, O$36 + 1 + $H56*$H$59, O$37)</f>
        <v>15807.281404870146</v>
      </c>
      <c r="P56" s="488">
        <f>INDEX('Volume adjustments'!$J$481:$Y$521, P$36 + 1 + $H56*$H$59, P$37)</f>
        <v>16734.457472861592</v>
      </c>
      <c r="Q56" s="488">
        <f>INDEX('Volume adjustments'!$J$481:$Y$521, Q$36 + 1 + $H56*$H$59, Q$37)</f>
        <v>997</v>
      </c>
      <c r="R56" s="488">
        <f>INDEX('Volume adjustments'!$J$481:$Y$521, R$36 + 1 + $H56*$H$59, R$37)</f>
        <v>0</v>
      </c>
      <c r="S56" s="488">
        <f>INDEX('Volume adjustments'!$J$481:$Y$521, S$36 + 1 + $H56*$H$59, S$37)</f>
        <v>2976.6829792595454</v>
      </c>
      <c r="T56" s="488">
        <f>INDEX('Volume adjustments'!$J$481:$Y$521, T$36 + 1 + $H56*$H$59, T$37)</f>
        <v>1848.5052832966296</v>
      </c>
      <c r="U56" s="488">
        <f>INDEX('Volume adjustments'!$J$481:$Y$521, U$36 + 1 + $H56*$H$59, U$37)</f>
        <v>430.86483968224104</v>
      </c>
      <c r="V56" s="488">
        <f>INDEX('Volume adjustments'!$J$481:$Y$521, V$36 + 1 + $H56*$H$59, V$37)</f>
        <v>285.93241984112052</v>
      </c>
      <c r="W56" s="488">
        <f>INDEX('Volume adjustments'!$J$481:$Y$521, W$36 + 1 + $H56*$H$59, W$37)</f>
        <v>0</v>
      </c>
      <c r="X56" s="488">
        <f>INDEX('Volume adjustments'!$J$481:$Y$521, X$36 + 1 + $H56*$H$59, X$37)</f>
        <v>1025.9148318717112</v>
      </c>
      <c r="Y56" s="488">
        <f>INDEX('Volume adjustments'!$J$481:$Y$521, Y$36 + 1 + $H56*$H$59, Y$37)</f>
        <v>816.65932748684475</v>
      </c>
      <c r="Z56" s="488">
        <f>INDEX('Volume adjustments'!$J$481:$Y$521, Z$36 + 1 + $H56*$H$59, Z$37)</f>
        <v>426.72870796792779</v>
      </c>
      <c r="AA56" s="488">
        <f>INDEX('Volume adjustments'!$J$481:$Y$521, AA$36 + 1 + $H56*$H$59, AA$37)</f>
        <v>821</v>
      </c>
      <c r="AB56" s="488">
        <f>INDEX('Volume adjustments'!$J$481:$Y$521, AB$36 + 1 + $H56*$H$59, AB$37)</f>
        <v>0</v>
      </c>
      <c r="AC56" s="488">
        <f>INDEX('Volume adjustments'!$J$481:$Y$521, AC$36 + 1 + $H56*$H$59, AC$37)</f>
        <v>301.29300806059575</v>
      </c>
      <c r="AD56" s="488">
        <f>INDEX('Volume adjustments'!$J$481:$Y$521, AD$36 + 1 + $H56*$H$59, AD$37)</f>
        <v>292.58601612119151</v>
      </c>
      <c r="AE56" s="488">
        <f>INDEX('Volume adjustments'!$J$481:$Y$521, AE$36 + 1 + $H56*$H$59, AE$37)</f>
        <v>129.46975604544681</v>
      </c>
      <c r="AF56" s="488">
        <f>INDEX('Volume adjustments'!$J$481:$Y$521, AF$36 + 1 + $H56*$H$59, AF$37)</f>
        <v>91.646504030297876</v>
      </c>
      <c r="AG56" s="488">
        <f>INDEX('Volume adjustments'!$J$481:$Y$521, AG$36 + 1 + $H56*$H$59, AG$37)</f>
        <v>609.29602287087573</v>
      </c>
      <c r="AH56" s="488">
        <f>INDEX('Volume adjustments'!$J$481:$Y$521, AH$36 + 1 + $H56*$H$59, AH$37)</f>
        <v>283</v>
      </c>
      <c r="AI56" s="488">
        <f>INDEX('Volume adjustments'!$J$481:$Y$521, AI$36 + 1 + $H56*$H$59, AI$37)</f>
        <v>25</v>
      </c>
      <c r="AJ56" s="488">
        <f>INDEX('Volume adjustments'!$J$481:$Y$521, AJ$36 + 1 + $H56*$H$59, AJ$37)</f>
        <v>317</v>
      </c>
      <c r="AK56" s="488">
        <f>INDEX('Volume adjustments'!$J$481:$Y$521, AK$36 + 1 + $H56*$H$59, AK$37)</f>
        <v>0</v>
      </c>
      <c r="AL56" s="488">
        <f>INDEX('Volume adjustments'!$J$481:$Y$521, AL$36 + 1 + $H56*$H$59, AL$37)</f>
        <v>41</v>
      </c>
      <c r="AM56" s="488">
        <f>INDEX('Volume adjustments'!$J$481:$Y$521, AM$36 + 1 + $H56*$H$59, AM$37)</f>
        <v>0</v>
      </c>
      <c r="AN56" s="488">
        <f>INDEX('Volume adjustments'!$J$481:$Y$521, AN$36 + 1 + $H56*$H$59, AN$37)</f>
        <v>138</v>
      </c>
      <c r="AO56" s="488">
        <f>INDEX('Volume adjustments'!$J$481:$Y$521, AO$36 + 1 + $H56*$H$59, AO$37)</f>
        <v>0</v>
      </c>
    </row>
    <row r="57" spans="4:41" x14ac:dyDescent="0.25">
      <c r="D57" s="86"/>
      <c r="F57" s="293" t="s">
        <v>273</v>
      </c>
      <c r="G57" s="293" t="s">
        <v>169</v>
      </c>
      <c r="H57" s="490">
        <v>4</v>
      </c>
      <c r="J57" s="488">
        <f>INDEX('Volume adjustments'!$J$481:$Y$521, J$36 + 1 + $H57*$H$59, J$37)</f>
        <v>0</v>
      </c>
      <c r="K57" s="488">
        <f>INDEX('Volume adjustments'!$J$481:$Y$521, K$36 + 1 + $H57*$H$59, K$37)</f>
        <v>0</v>
      </c>
      <c r="L57" s="488">
        <f>INDEX('Volume adjustments'!$J$481:$Y$521, L$36 + 1 + $H57*$H$59, L$37)</f>
        <v>0</v>
      </c>
      <c r="M57" s="488">
        <f>INDEX('Volume adjustments'!$J$481:$Y$521, M$36 + 1 + $H57*$H$59, M$37)</f>
        <v>0</v>
      </c>
      <c r="N57" s="488">
        <f>INDEX('Volume adjustments'!$J$481:$Y$521, N$36 + 1 + $H57*$H$59, N$37)</f>
        <v>0</v>
      </c>
      <c r="O57" s="488">
        <f>INDEX('Volume adjustments'!$J$481:$Y$521, O$36 + 1 + $H57*$H$59, O$37)</f>
        <v>0</v>
      </c>
      <c r="P57" s="488">
        <f>INDEX('Volume adjustments'!$J$481:$Y$521, P$36 + 1 + $H57*$H$59, P$37)</f>
        <v>0</v>
      </c>
      <c r="Q57" s="488">
        <f>INDEX('Volume adjustments'!$J$481:$Y$521, Q$36 + 1 + $H57*$H$59, Q$37)</f>
        <v>0</v>
      </c>
      <c r="R57" s="488">
        <f>INDEX('Volume adjustments'!$J$481:$Y$521, R$36 + 1 + $H57*$H$59, R$37)</f>
        <v>0</v>
      </c>
      <c r="S57" s="488">
        <f>INDEX('Volume adjustments'!$J$481:$Y$521, S$36 + 1 + $H57*$H$59, S$37)</f>
        <v>163380.49226701242</v>
      </c>
      <c r="T57" s="488">
        <f>INDEX('Volume adjustments'!$J$481:$Y$521, T$36 + 1 + $H57*$H$59, T$37)</f>
        <v>223047.94758415123</v>
      </c>
      <c r="U57" s="488">
        <f>INDEX('Volume adjustments'!$J$481:$Y$521, U$36 + 1 + $H57*$H$59, U$37)</f>
        <v>83349.705427787674</v>
      </c>
      <c r="V57" s="488">
        <f>INDEX('Volume adjustments'!$J$481:$Y$521, V$36 + 1 + $H57*$H$59, V$37)</f>
        <v>110128.99749286394</v>
      </c>
      <c r="W57" s="488">
        <f>INDEX('Volume adjustments'!$J$481:$Y$521, W$36 + 1 + $H57*$H$59, W$37)</f>
        <v>0</v>
      </c>
      <c r="X57" s="488">
        <f>INDEX('Volume adjustments'!$J$481:$Y$521, X$36 + 1 + $H57*$H$59, X$37)</f>
        <v>54638.304144825823</v>
      </c>
      <c r="Y57" s="488">
        <f>INDEX('Volume adjustments'!$J$481:$Y$521, Y$36 + 1 + $H57*$H$59, Y$37)</f>
        <v>104352.45320458488</v>
      </c>
      <c r="Z57" s="488">
        <f>INDEX('Volume adjustments'!$J$481:$Y$521, Z$36 + 1 + $H57*$H$59, Z$37)</f>
        <v>84050.061951891694</v>
      </c>
      <c r="AA57" s="488">
        <f>INDEX('Volume adjustments'!$J$481:$Y$521, AA$36 + 1 + $H57*$H$59, AA$37)</f>
        <v>333562</v>
      </c>
      <c r="AB57" s="488">
        <f>INDEX('Volume adjustments'!$J$481:$Y$521, AB$36 + 1 + $H57*$H$59, AB$37)</f>
        <v>0</v>
      </c>
      <c r="AC57" s="488">
        <f>INDEX('Volume adjustments'!$J$481:$Y$521, AC$36 + 1 + $H57*$H$59, AC$37)</f>
        <v>56138.405184421448</v>
      </c>
      <c r="AD57" s="488">
        <f>INDEX('Volume adjustments'!$J$481:$Y$521, AD$36 + 1 + $H57*$H$59, AD$37)</f>
        <v>203144.50674312358</v>
      </c>
      <c r="AE57" s="488">
        <f>INDEX('Volume adjustments'!$J$481:$Y$521, AE$36 + 1 + $H57*$H$59, AE$37)</f>
        <v>181804.03245605106</v>
      </c>
      <c r="AF57" s="488">
        <f>INDEX('Volume adjustments'!$J$481:$Y$521, AF$36 + 1 + $H57*$H$59, AF$37)</f>
        <v>241709.95926968512</v>
      </c>
      <c r="AG57" s="488">
        <f>INDEX('Volume adjustments'!$J$481:$Y$521, AG$36 + 1 + $H57*$H$59, AG$37)</f>
        <v>0</v>
      </c>
      <c r="AH57" s="488">
        <f>INDEX('Volume adjustments'!$J$481:$Y$521, AH$36 + 1 + $H57*$H$59, AH$37)</f>
        <v>0</v>
      </c>
      <c r="AI57" s="488">
        <f>INDEX('Volume adjustments'!$J$481:$Y$521, AI$36 + 1 + $H57*$H$59, AI$37)</f>
        <v>0</v>
      </c>
      <c r="AJ57" s="488">
        <f>INDEX('Volume adjustments'!$J$481:$Y$521, AJ$36 + 1 + $H57*$H$59, AJ$37)</f>
        <v>0</v>
      </c>
      <c r="AK57" s="488">
        <f>INDEX('Volume adjustments'!$J$481:$Y$521, AK$36 + 1 + $H57*$H$59, AK$37)</f>
        <v>0</v>
      </c>
      <c r="AL57" s="488">
        <f>INDEX('Volume adjustments'!$J$481:$Y$521, AL$36 + 1 + $H57*$H$59, AL$37)</f>
        <v>0</v>
      </c>
      <c r="AM57" s="488">
        <f>INDEX('Volume adjustments'!$J$481:$Y$521, AM$36 + 1 + $H57*$H$59, AM$37)</f>
        <v>0</v>
      </c>
      <c r="AN57" s="488">
        <f>INDEX('Volume adjustments'!$J$481:$Y$521, AN$36 + 1 + $H57*$H$59, AN$37)</f>
        <v>0</v>
      </c>
      <c r="AO57" s="488">
        <f>INDEX('Volume adjustments'!$J$481:$Y$521, AO$36 + 1 + $H57*$H$59, AO$37)</f>
        <v>0</v>
      </c>
    </row>
    <row r="58" spans="4:41" x14ac:dyDescent="0.25">
      <c r="D58" s="86"/>
      <c r="F58" s="293" t="s">
        <v>203</v>
      </c>
      <c r="G58" s="293" t="s">
        <v>169</v>
      </c>
      <c r="H58" s="490">
        <v>5</v>
      </c>
      <c r="J58" s="488">
        <f>INDEX('Volume adjustments'!$J$481:$Y$521, J$36 + 1 + $H58*$H$59, J$37)</f>
        <v>0</v>
      </c>
      <c r="K58" s="488">
        <f>INDEX('Volume adjustments'!$J$481:$Y$521, K$36 + 1 + $H58*$H$59, K$37)</f>
        <v>0</v>
      </c>
      <c r="L58" s="488">
        <f>INDEX('Volume adjustments'!$J$481:$Y$521, L$36 + 1 + $H58*$H$59, L$37)</f>
        <v>0</v>
      </c>
      <c r="M58" s="488">
        <f>INDEX('Volume adjustments'!$J$481:$Y$521, M$36 + 1 + $H58*$H$59, M$37)</f>
        <v>0</v>
      </c>
      <c r="N58" s="488">
        <f>INDEX('Volume adjustments'!$J$481:$Y$521, N$36 + 1 + $H58*$H$59, N$37)</f>
        <v>0</v>
      </c>
      <c r="O58" s="488">
        <f>INDEX('Volume adjustments'!$J$481:$Y$521, O$36 + 1 + $H58*$H$59, O$37)</f>
        <v>0</v>
      </c>
      <c r="P58" s="488">
        <f>INDEX('Volume adjustments'!$J$481:$Y$521, P$36 + 1 + $H58*$H$59, P$37)</f>
        <v>0</v>
      </c>
      <c r="Q58" s="488">
        <f>INDEX('Volume adjustments'!$J$481:$Y$521, Q$36 + 1 + $H58*$H$59, Q$37)</f>
        <v>0</v>
      </c>
      <c r="R58" s="488">
        <f>INDEX('Volume adjustments'!$J$481:$Y$521, R$36 + 1 + $H58*$H$59, R$37)</f>
        <v>0</v>
      </c>
      <c r="S58" s="488">
        <f>INDEX('Volume adjustments'!$J$481:$Y$521, S$36 + 1 + $H58*$H$59, S$37)</f>
        <v>3317.3510418708947</v>
      </c>
      <c r="T58" s="488">
        <f>INDEX('Volume adjustments'!$J$481:$Y$521, T$36 + 1 + $H58*$H$59, T$37)</f>
        <v>4776.6657789528026</v>
      </c>
      <c r="U58" s="488">
        <f>INDEX('Volume adjustments'!$J$481:$Y$521, U$36 + 1 + $H58*$H$59, U$37)</f>
        <v>1834.0284208682065</v>
      </c>
      <c r="V58" s="488">
        <f>INDEX('Volume adjustments'!$J$481:$Y$521, V$36 + 1 + $H58*$H$59, V$37)</f>
        <v>2450.7617932357084</v>
      </c>
      <c r="W58" s="488">
        <f>INDEX('Volume adjustments'!$J$481:$Y$521, W$36 + 1 + $H58*$H$59, W$37)</f>
        <v>0</v>
      </c>
      <c r="X58" s="488">
        <f>INDEX('Volume adjustments'!$J$481:$Y$521, X$36 + 1 + $H58*$H$59, X$37)</f>
        <v>3548</v>
      </c>
      <c r="Y58" s="488">
        <f>INDEX('Volume adjustments'!$J$481:$Y$521, Y$36 + 1 + $H58*$H$59, Y$37)</f>
        <v>5122</v>
      </c>
      <c r="Z58" s="488">
        <f>INDEX('Volume adjustments'!$J$481:$Y$521, Z$36 + 1 + $H58*$H$59, Z$37)</f>
        <v>1969</v>
      </c>
      <c r="AA58" s="488">
        <f>INDEX('Volume adjustments'!$J$481:$Y$521, AA$36 + 1 + $H58*$H$59, AA$37)</f>
        <v>2632</v>
      </c>
      <c r="AB58" s="488">
        <f>INDEX('Volume adjustments'!$J$481:$Y$521, AB$36 + 1 + $H58*$H$59, AB$37)</f>
        <v>0</v>
      </c>
      <c r="AC58" s="488">
        <f>INDEX('Volume adjustments'!$J$481:$Y$521, AC$36 + 1 + $H58*$H$59, AC$37)</f>
        <v>920.50293582751681</v>
      </c>
      <c r="AD58" s="488">
        <f>INDEX('Volume adjustments'!$J$481:$Y$521, AD$36 + 1 + $H58*$H$59, AD$37)</f>
        <v>3316.3007922220072</v>
      </c>
      <c r="AE58" s="488">
        <f>INDEX('Volume adjustments'!$J$481:$Y$521, AE$36 + 1 + $H58*$H$59, AE$37)</f>
        <v>2977.7166628799005</v>
      </c>
      <c r="AF58" s="488">
        <f>INDEX('Volume adjustments'!$J$481:$Y$521, AF$36 + 1 + $H58*$H$59, AF$37)</f>
        <v>3963.1342295263626</v>
      </c>
      <c r="AG58" s="488">
        <f>INDEX('Volume adjustments'!$J$481:$Y$521, AG$36 + 1 + $H58*$H$59, AG$37)</f>
        <v>0</v>
      </c>
      <c r="AH58" s="488">
        <f>INDEX('Volume adjustments'!$J$481:$Y$521, AH$36 + 1 + $H58*$H$59, AH$37)</f>
        <v>0</v>
      </c>
      <c r="AI58" s="488">
        <f>INDEX('Volume adjustments'!$J$481:$Y$521, AI$36 + 1 + $H58*$H$59, AI$37)</f>
        <v>0</v>
      </c>
      <c r="AJ58" s="488">
        <f>INDEX('Volume adjustments'!$J$481:$Y$521, AJ$36 + 1 + $H58*$H$59, AJ$37)</f>
        <v>0</v>
      </c>
      <c r="AK58" s="488">
        <f>INDEX('Volume adjustments'!$J$481:$Y$521, AK$36 + 1 + $H58*$H$59, AK$37)</f>
        <v>0</v>
      </c>
      <c r="AL58" s="488">
        <f>INDEX('Volume adjustments'!$J$481:$Y$521, AL$36 + 1 + $H58*$H$59, AL$37)</f>
        <v>0</v>
      </c>
      <c r="AM58" s="488">
        <f>INDEX('Volume adjustments'!$J$481:$Y$521, AM$36 + 1 + $H58*$H$59, AM$37)</f>
        <v>0</v>
      </c>
      <c r="AN58" s="488">
        <f>INDEX('Volume adjustments'!$J$481:$Y$521, AN$36 + 1 + $H58*$H$59, AN$37)</f>
        <v>0</v>
      </c>
      <c r="AO58" s="488">
        <f>INDEX('Volume adjustments'!$J$481:$Y$521, AO$36 + 1 + $H58*$H$59, AO$37)</f>
        <v>0</v>
      </c>
    </row>
    <row r="59" spans="4:41" x14ac:dyDescent="0.25">
      <c r="D59" s="86"/>
      <c r="F59" s="93" t="s">
        <v>77</v>
      </c>
      <c r="G59" s="15" t="s">
        <v>170</v>
      </c>
      <c r="H59" s="456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0</v>
      </c>
      <c r="S59" s="284">
        <f>INDEX('Volume adjustments'!$J$481:$Y$521, S$36 + 1 + $H59*$H$59, S$37)</f>
        <v>21671.753367818979</v>
      </c>
      <c r="T59" s="284">
        <f>INDEX('Volume adjustments'!$J$481:$Y$521, T$36 + 1 + $H59*$H$59, T$37)</f>
        <v>30375.183720550485</v>
      </c>
      <c r="U59" s="284">
        <f>INDEX('Volume adjustments'!$J$481:$Y$521, U$36 + 1 + $H59*$H$59, U$37)</f>
        <v>11505.825049349176</v>
      </c>
      <c r="V59" s="284">
        <f>INDEX('Volume adjustments'!$J$481:$Y$521, V$36 + 1 + $H59*$H$59, V$37)</f>
        <v>15303.687931158642</v>
      </c>
      <c r="W59" s="284">
        <f>INDEX('Volume adjustments'!$J$481:$Y$521, W$36 + 1 + $H59*$H$59, W$37)</f>
        <v>0</v>
      </c>
      <c r="X59" s="284">
        <f>INDEX('Volume adjustments'!$J$481:$Y$521, X$36 + 1 + $H59*$H$59, X$37)</f>
        <v>25034.881048331623</v>
      </c>
      <c r="Y59" s="284">
        <f>INDEX('Volume adjustments'!$J$481:$Y$521, Y$36 + 1 + $H59*$H$59, Y$37)</f>
        <v>37985.022905935766</v>
      </c>
      <c r="Z59" s="284">
        <f>INDEX('Volume adjustments'!$J$481:$Y$521, Z$36 + 1 + $H59*$H$59, Z$37)</f>
        <v>14079.660741252501</v>
      </c>
      <c r="AA59" s="284">
        <f>INDEX('Volume adjustments'!$J$481:$Y$521, AA$36 + 1 + $H59*$H$59, AA$37)</f>
        <v>18431.431</v>
      </c>
      <c r="AB59" s="284">
        <f>INDEX('Volume adjustments'!$J$481:$Y$521, AB$36 + 1 + $H59*$H$59, AB$37)</f>
        <v>0</v>
      </c>
      <c r="AC59" s="284">
        <f>INDEX('Volume adjustments'!$J$481:$Y$521, AC$36 + 1 + $H59*$H$59, AC$37)</f>
        <v>9244.3954313433624</v>
      </c>
      <c r="AD59" s="284">
        <f>INDEX('Volume adjustments'!$J$481:$Y$521, AD$36 + 1 + $H59*$H$59, AD$37)</f>
        <v>33329.982761099382</v>
      </c>
      <c r="AE59" s="284">
        <f>INDEX('Volume adjustments'!$J$481:$Y$521, AE$36 + 1 + $H59*$H$59, AE$37)</f>
        <v>29915.609656799297</v>
      </c>
      <c r="AF59" s="284">
        <f>INDEX('Volume adjustments'!$J$481:$Y$521, AF$36 + 1 + $H59*$H$59, AF$37)</f>
        <v>39810.75254629102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4427.7671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172.2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7419.6</v>
      </c>
      <c r="AO59" s="284">
        <f>INDEX('Volume adjustments'!$J$481:$Y$521, AO$36 + 1 + $H59*$H$59, AO$37)</f>
        <v>0</v>
      </c>
    </row>
    <row r="60" spans="4:41" x14ac:dyDescent="0.2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25">
      <c r="D61" s="86"/>
      <c r="E61" s="293" t="s">
        <v>184</v>
      </c>
      <c r="G61" s="293" t="s">
        <v>107</v>
      </c>
      <c r="H61" s="273">
        <f>'General inputs'!$H$90</f>
        <v>372059643.1657663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2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25">
      <c r="D63" s="86"/>
      <c r="E63" s="96" t="s">
        <v>963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25">
      <c r="D64" s="86"/>
      <c r="F64" s="91" t="s">
        <v>960</v>
      </c>
      <c r="G64" s="91" t="s">
        <v>107</v>
      </c>
      <c r="H64" s="272">
        <f>'General inputs'!$H$56</f>
        <v>431905.06499620422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x14ac:dyDescent="0.25">
      <c r="C65" s="86"/>
      <c r="F65" s="93" t="s">
        <v>961</v>
      </c>
      <c r="G65" s="93" t="s">
        <v>107</v>
      </c>
      <c r="H65" s="274">
        <f>'General inputs'!$H$57</f>
        <v>380045.24439727812</v>
      </c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</row>
    <row r="66" spans="2:43" x14ac:dyDescent="0.25">
      <c r="C66" s="86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25">
      <c r="C67" s="86"/>
      <c r="E67" s="293" t="s">
        <v>964</v>
      </c>
      <c r="G67" s="293" t="s">
        <v>107</v>
      </c>
      <c r="H67" s="275">
        <f>H61 - H64 - H65</f>
        <v>371247692.85637283</v>
      </c>
      <c r="I67" s="293" t="s">
        <v>359</v>
      </c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Q67" s="293" t="s">
        <v>965</v>
      </c>
    </row>
    <row r="68" spans="2:43" x14ac:dyDescent="0.25">
      <c r="C68" s="86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</row>
    <row r="69" spans="2:43" x14ac:dyDescent="0.25">
      <c r="C69" s="7" t="str">
        <f ca="1">INDEX('Version control'!$H$34:$H$60,MATCH($A$1,'Version control'!$F$34:$F$60,0),1)&amp;"-B: Net revenue before matching"</f>
        <v>Section 519-B: Net revenue before matching</v>
      </c>
      <c r="D69" s="7"/>
      <c r="E69" s="7"/>
      <c r="F69" s="7"/>
      <c r="G69" s="7"/>
      <c r="H69" s="7"/>
      <c r="I69" s="7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7"/>
      <c r="AQ69" s="7"/>
    </row>
    <row r="70" spans="2:43" x14ac:dyDescent="0.25">
      <c r="C70" s="82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</row>
    <row r="71" spans="2:43" x14ac:dyDescent="0.25">
      <c r="B71" s="82"/>
      <c r="D71" s="82" t="s">
        <v>411</v>
      </c>
      <c r="F71" s="98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25">
      <c r="D72" s="82" t="s">
        <v>412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25">
      <c r="D73" s="82"/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25">
      <c r="D74" s="293"/>
      <c r="E74" s="96" t="s">
        <v>592</v>
      </c>
      <c r="F74" s="96"/>
      <c r="H74" s="41" t="s">
        <v>215</v>
      </c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25">
      <c r="D75" s="86"/>
      <c r="F75" s="91" t="s">
        <v>134</v>
      </c>
      <c r="G75" s="91" t="s">
        <v>107</v>
      </c>
      <c r="H75" s="277">
        <f t="shared" ref="H75:H82" si="2">SUM(J75:AO75)</f>
        <v>110117855.94124179</v>
      </c>
      <c r="I75" s="74"/>
      <c r="J75" s="253">
        <f t="shared" ref="J75:AO75" si="3">J53 * thousand * J40 / hundred</f>
        <v>70603597.180810094</v>
      </c>
      <c r="K75" s="253">
        <f t="shared" si="3"/>
        <v>5459.5199278214295</v>
      </c>
      <c r="L75" s="253">
        <f t="shared" si="3"/>
        <v>0</v>
      </c>
      <c r="M75" s="253">
        <f t="shared" si="3"/>
        <v>567409.82212602429</v>
      </c>
      <c r="N75" s="253">
        <f t="shared" si="3"/>
        <v>2501340.4808523054</v>
      </c>
      <c r="O75" s="253">
        <f t="shared" si="3"/>
        <v>3168694.7875929503</v>
      </c>
      <c r="P75" s="253">
        <f t="shared" si="3"/>
        <v>10824724.998712359</v>
      </c>
      <c r="Q75" s="253">
        <f t="shared" si="3"/>
        <v>804.26513106530024</v>
      </c>
      <c r="R75" s="253">
        <f t="shared" si="3"/>
        <v>0</v>
      </c>
      <c r="S75" s="253">
        <f t="shared" si="3"/>
        <v>2175162.0356482053</v>
      </c>
      <c r="T75" s="253">
        <f t="shared" si="3"/>
        <v>3024340.643622966</v>
      </c>
      <c r="U75" s="253">
        <f t="shared" si="3"/>
        <v>1141121.228976096</v>
      </c>
      <c r="V75" s="253">
        <f t="shared" si="3"/>
        <v>1512256.8660900905</v>
      </c>
      <c r="W75" s="253">
        <f t="shared" si="3"/>
        <v>0</v>
      </c>
      <c r="X75" s="253">
        <f t="shared" si="3"/>
        <v>700911.65275615791</v>
      </c>
      <c r="Y75" s="253">
        <f t="shared" si="3"/>
        <v>1301500.386615125</v>
      </c>
      <c r="Z75" s="253">
        <f t="shared" si="3"/>
        <v>1078193.1380298624</v>
      </c>
      <c r="AA75" s="253">
        <f t="shared" si="3"/>
        <v>4303214.1645894572</v>
      </c>
      <c r="AB75" s="253">
        <f t="shared" si="3"/>
        <v>0</v>
      </c>
      <c r="AC75" s="253">
        <f t="shared" si="3"/>
        <v>721212.86962600378</v>
      </c>
      <c r="AD75" s="253">
        <f t="shared" si="3"/>
        <v>2605377.0771054169</v>
      </c>
      <c r="AE75" s="253">
        <f t="shared" si="3"/>
        <v>2334834.9973355606</v>
      </c>
      <c r="AF75" s="253">
        <f t="shared" si="3"/>
        <v>3105553.9441733058</v>
      </c>
      <c r="AG75" s="253">
        <f t="shared" si="3"/>
        <v>1210694.9533299759</v>
      </c>
      <c r="AH75" s="253">
        <f t="shared" si="3"/>
        <v>-11171.977865031486</v>
      </c>
      <c r="AI75" s="253">
        <f t="shared" si="3"/>
        <v>-1450.8867190031392</v>
      </c>
      <c r="AJ75" s="253">
        <f t="shared" si="3"/>
        <v>-376103.3766898638</v>
      </c>
      <c r="AK75" s="253">
        <f t="shared" si="3"/>
        <v>0</v>
      </c>
      <c r="AL75" s="253">
        <f t="shared" si="3"/>
        <v>-96447.620332387392</v>
      </c>
      <c r="AM75" s="253">
        <f t="shared" si="3"/>
        <v>0</v>
      </c>
      <c r="AN75" s="253">
        <f t="shared" si="3"/>
        <v>-2283375.2102027903</v>
      </c>
      <c r="AO75" s="253">
        <f t="shared" si="3"/>
        <v>0</v>
      </c>
    </row>
    <row r="76" spans="2:43" x14ac:dyDescent="0.25">
      <c r="D76" s="86"/>
      <c r="F76" s="293" t="s">
        <v>135</v>
      </c>
      <c r="G76" s="293" t="s">
        <v>107</v>
      </c>
      <c r="H76" s="252">
        <f t="shared" si="2"/>
        <v>76622479.654432997</v>
      </c>
      <c r="I76" s="90"/>
      <c r="J76" s="424">
        <f t="shared" ref="J76" si="4">J54 * thousand * J41 / hundred</f>
        <v>44955095.060281843</v>
      </c>
      <c r="K76" s="424">
        <f t="shared" ref="K76:AO76" si="5">K54 * thousand * K41 / hundred</f>
        <v>16992.698294411086</v>
      </c>
      <c r="L76" s="424">
        <f t="shared" si="5"/>
        <v>0</v>
      </c>
      <c r="M76" s="424">
        <f t="shared" si="5"/>
        <v>536633.9059091995</v>
      </c>
      <c r="N76" s="424">
        <f t="shared" si="5"/>
        <v>2365669.5036034053</v>
      </c>
      <c r="O76" s="424">
        <f t="shared" si="5"/>
        <v>2996826.9744235296</v>
      </c>
      <c r="P76" s="424">
        <f t="shared" si="5"/>
        <v>10237599.40334939</v>
      </c>
      <c r="Q76" s="424">
        <f t="shared" si="5"/>
        <v>7467.725902381655</v>
      </c>
      <c r="R76" s="424">
        <f t="shared" si="5"/>
        <v>0</v>
      </c>
      <c r="S76" s="424">
        <f t="shared" si="5"/>
        <v>1638494.031808953</v>
      </c>
      <c r="T76" s="424">
        <f t="shared" si="5"/>
        <v>2282878.5086811916</v>
      </c>
      <c r="U76" s="424">
        <f t="shared" si="5"/>
        <v>862298.07314056542</v>
      </c>
      <c r="V76" s="424">
        <f t="shared" si="5"/>
        <v>1142968.6418553866</v>
      </c>
      <c r="W76" s="424">
        <f t="shared" si="5"/>
        <v>0</v>
      </c>
      <c r="X76" s="424">
        <f t="shared" si="5"/>
        <v>460744.26940589311</v>
      </c>
      <c r="Y76" s="424">
        <f t="shared" si="5"/>
        <v>854480.61217439594</v>
      </c>
      <c r="Z76" s="424">
        <f t="shared" si="5"/>
        <v>708749.694594851</v>
      </c>
      <c r="AA76" s="424">
        <f t="shared" si="5"/>
        <v>2829409.3873835253</v>
      </c>
      <c r="AB76" s="424">
        <f t="shared" si="5"/>
        <v>0</v>
      </c>
      <c r="AC76" s="424">
        <f t="shared" si="5"/>
        <v>394737.96881684044</v>
      </c>
      <c r="AD76" s="424">
        <f t="shared" si="5"/>
        <v>1425967.4862811833</v>
      </c>
      <c r="AE76" s="424">
        <f t="shared" si="5"/>
        <v>1277910.1608349271</v>
      </c>
      <c r="AF76" s="424">
        <f t="shared" si="5"/>
        <v>1699749.2576686307</v>
      </c>
      <c r="AG76" s="424">
        <f t="shared" si="5"/>
        <v>1542687.6614939801</v>
      </c>
      <c r="AH76" s="424">
        <f t="shared" si="5"/>
        <v>-9822.5075525358243</v>
      </c>
      <c r="AI76" s="424">
        <f t="shared" si="5"/>
        <v>-1124.3881056498287</v>
      </c>
      <c r="AJ76" s="424">
        <f t="shared" si="5"/>
        <v>-325720.16595113906</v>
      </c>
      <c r="AK76" s="424">
        <f t="shared" si="5"/>
        <v>0</v>
      </c>
      <c r="AL76" s="424">
        <f t="shared" si="5"/>
        <v>-74780.388040424339</v>
      </c>
      <c r="AM76" s="424">
        <f t="shared" si="5"/>
        <v>0</v>
      </c>
      <c r="AN76" s="424">
        <f t="shared" si="5"/>
        <v>-1203433.9218217367</v>
      </c>
      <c r="AO76" s="424">
        <f t="shared" si="5"/>
        <v>0</v>
      </c>
    </row>
    <row r="77" spans="2:43" x14ac:dyDescent="0.25">
      <c r="D77" s="86"/>
      <c r="F77" s="293" t="s">
        <v>136</v>
      </c>
      <c r="G77" s="293" t="s">
        <v>107</v>
      </c>
      <c r="H77" s="252">
        <f t="shared" si="2"/>
        <v>8573660.0361102689</v>
      </c>
      <c r="I77" s="90"/>
      <c r="J77" s="424">
        <f t="shared" ref="J77" si="6">J55 * thousand * J42 / hundred</f>
        <v>4684400.8882606961</v>
      </c>
      <c r="K77" s="424">
        <f t="shared" ref="K77:AO77" si="7">K55 * thousand * K42 / hundred</f>
        <v>25298.746437453738</v>
      </c>
      <c r="L77" s="424">
        <f t="shared" si="7"/>
        <v>0</v>
      </c>
      <c r="M77" s="424">
        <f t="shared" si="7"/>
        <v>57532.243334087354</v>
      </c>
      <c r="N77" s="424">
        <f t="shared" si="7"/>
        <v>253622.20320154304</v>
      </c>
      <c r="O77" s="424">
        <f t="shared" si="7"/>
        <v>321288.26901195536</v>
      </c>
      <c r="P77" s="424">
        <f t="shared" si="7"/>
        <v>1097567.7338771513</v>
      </c>
      <c r="Q77" s="424">
        <f t="shared" si="7"/>
        <v>10000.631573441686</v>
      </c>
      <c r="R77" s="424">
        <f t="shared" si="7"/>
        <v>0</v>
      </c>
      <c r="S77" s="424">
        <f t="shared" si="7"/>
        <v>163090.76946305</v>
      </c>
      <c r="T77" s="424">
        <f t="shared" si="7"/>
        <v>226613.87651124434</v>
      </c>
      <c r="U77" s="424">
        <f t="shared" si="7"/>
        <v>85477.795954849775</v>
      </c>
      <c r="V77" s="424">
        <f t="shared" si="7"/>
        <v>113234.57302636771</v>
      </c>
      <c r="W77" s="424">
        <f t="shared" si="7"/>
        <v>0</v>
      </c>
      <c r="X77" s="424">
        <f t="shared" si="7"/>
        <v>52367.496779102024</v>
      </c>
      <c r="Y77" s="424">
        <f t="shared" si="7"/>
        <v>97438.778886111395</v>
      </c>
      <c r="Z77" s="424">
        <f t="shared" si="7"/>
        <v>80555.585991033935</v>
      </c>
      <c r="AA77" s="424">
        <f t="shared" si="7"/>
        <v>321377.86595145031</v>
      </c>
      <c r="AB77" s="424">
        <f t="shared" si="7"/>
        <v>0</v>
      </c>
      <c r="AC77" s="424">
        <f t="shared" si="7"/>
        <v>54872.580541225179</v>
      </c>
      <c r="AD77" s="424">
        <f t="shared" si="7"/>
        <v>198199.89627556002</v>
      </c>
      <c r="AE77" s="424">
        <f t="shared" si="7"/>
        <v>177638.0753970455</v>
      </c>
      <c r="AF77" s="424">
        <f t="shared" si="7"/>
        <v>236283.94437567081</v>
      </c>
      <c r="AG77" s="424">
        <f t="shared" si="7"/>
        <v>529177.18987231632</v>
      </c>
      <c r="AH77" s="424">
        <f t="shared" si="7"/>
        <v>-1182.6980084508289</v>
      </c>
      <c r="AI77" s="424">
        <f t="shared" si="7"/>
        <v>-160.03963407856364</v>
      </c>
      <c r="AJ77" s="424">
        <f t="shared" si="7"/>
        <v>-41840.937481015244</v>
      </c>
      <c r="AK77" s="424">
        <f t="shared" si="7"/>
        <v>0</v>
      </c>
      <c r="AL77" s="424">
        <f t="shared" si="7"/>
        <v>-10649.351346507294</v>
      </c>
      <c r="AM77" s="424">
        <f t="shared" si="7"/>
        <v>0</v>
      </c>
      <c r="AN77" s="424">
        <f t="shared" si="7"/>
        <v>-158546.08214103236</v>
      </c>
      <c r="AO77" s="424">
        <f t="shared" si="7"/>
        <v>0</v>
      </c>
    </row>
    <row r="78" spans="2:43" x14ac:dyDescent="0.25">
      <c r="D78" s="86"/>
      <c r="F78" s="293" t="s">
        <v>254</v>
      </c>
      <c r="G78" s="293" t="s">
        <v>107</v>
      </c>
      <c r="H78" s="252">
        <f t="shared" si="2"/>
        <v>23905470.094489913</v>
      </c>
      <c r="I78" s="90"/>
      <c r="J78" s="253">
        <f t="shared" ref="J78" si="8">J56 * J43 * days_in_year / hundred</f>
        <v>21103275.262524847</v>
      </c>
      <c r="K78" s="253">
        <f t="shared" ref="K78:AO78" si="9">K56 * K43 * days_in_year / hundred</f>
        <v>0</v>
      </c>
      <c r="L78" s="253">
        <f t="shared" si="9"/>
        <v>0</v>
      </c>
      <c r="M78" s="253">
        <f t="shared" si="9"/>
        <v>721396.60704792233</v>
      </c>
      <c r="N78" s="253">
        <f t="shared" si="9"/>
        <v>588031.70579594711</v>
      </c>
      <c r="O78" s="253">
        <f t="shared" si="9"/>
        <v>300582.77854120411</v>
      </c>
      <c r="P78" s="253">
        <f t="shared" si="9"/>
        <v>318213.4609827727</v>
      </c>
      <c r="Q78" s="253">
        <f t="shared" si="9"/>
        <v>0</v>
      </c>
      <c r="R78" s="253">
        <f t="shared" si="9"/>
        <v>0</v>
      </c>
      <c r="S78" s="253">
        <f t="shared" si="9"/>
        <v>225704.13701911696</v>
      </c>
      <c r="T78" s="253">
        <f t="shared" si="9"/>
        <v>140161.14334269046</v>
      </c>
      <c r="U78" s="253">
        <f t="shared" si="9"/>
        <v>32669.913957901881</v>
      </c>
      <c r="V78" s="253">
        <f t="shared" si="9"/>
        <v>21680.55198208625</v>
      </c>
      <c r="W78" s="253">
        <f t="shared" si="9"/>
        <v>0</v>
      </c>
      <c r="X78" s="253">
        <f t="shared" si="9"/>
        <v>27454.944675323237</v>
      </c>
      <c r="Y78" s="253">
        <f t="shared" si="9"/>
        <v>21854.968812403087</v>
      </c>
      <c r="Z78" s="253">
        <f t="shared" si="9"/>
        <v>11419.86908139044</v>
      </c>
      <c r="AA78" s="253">
        <f t="shared" si="9"/>
        <v>21971.131402123086</v>
      </c>
      <c r="AB78" s="253">
        <f t="shared" si="9"/>
        <v>0</v>
      </c>
      <c r="AC78" s="253">
        <f t="shared" si="9"/>
        <v>122079.13861469107</v>
      </c>
      <c r="AD78" s="253">
        <f t="shared" si="9"/>
        <v>118551.20385533631</v>
      </c>
      <c r="AE78" s="253">
        <f t="shared" si="9"/>
        <v>52459.087572000812</v>
      </c>
      <c r="AF78" s="253">
        <f t="shared" si="9"/>
        <v>37133.706955511007</v>
      </c>
      <c r="AG78" s="253">
        <f t="shared" si="9"/>
        <v>0</v>
      </c>
      <c r="AH78" s="253">
        <f t="shared" si="9"/>
        <v>0</v>
      </c>
      <c r="AI78" s="253">
        <f t="shared" si="9"/>
        <v>0</v>
      </c>
      <c r="AJ78" s="253">
        <f t="shared" si="9"/>
        <v>0</v>
      </c>
      <c r="AK78" s="253">
        <f t="shared" si="9"/>
        <v>0</v>
      </c>
      <c r="AL78" s="253">
        <f t="shared" si="9"/>
        <v>0</v>
      </c>
      <c r="AM78" s="253">
        <f t="shared" si="9"/>
        <v>0</v>
      </c>
      <c r="AN78" s="253">
        <f t="shared" si="9"/>
        <v>40830.482326647754</v>
      </c>
      <c r="AO78" s="253">
        <f t="shared" si="9"/>
        <v>0</v>
      </c>
    </row>
    <row r="79" spans="2:43" x14ac:dyDescent="0.25">
      <c r="D79" s="86"/>
      <c r="F79" s="293" t="s">
        <v>273</v>
      </c>
      <c r="G79" s="293" t="s">
        <v>107</v>
      </c>
      <c r="H79" s="252">
        <f t="shared" si="2"/>
        <v>29840112.66225078</v>
      </c>
      <c r="I79" s="90"/>
      <c r="J79" s="247">
        <f t="shared" ref="J79" si="10">J57 * J44 * days_in_year / hundred</f>
        <v>0</v>
      </c>
      <c r="K79" s="247">
        <f t="shared" ref="K79:AO79" si="11">K57 * K44 * days_in_year / hundred</f>
        <v>0</v>
      </c>
      <c r="L79" s="247">
        <f t="shared" si="11"/>
        <v>0</v>
      </c>
      <c r="M79" s="247">
        <f t="shared" si="11"/>
        <v>0</v>
      </c>
      <c r="N79" s="247">
        <f t="shared" si="11"/>
        <v>0</v>
      </c>
      <c r="O79" s="247">
        <f t="shared" si="11"/>
        <v>0</v>
      </c>
      <c r="P79" s="247">
        <f t="shared" si="11"/>
        <v>0</v>
      </c>
      <c r="Q79" s="247">
        <f t="shared" si="11"/>
        <v>0</v>
      </c>
      <c r="R79" s="247">
        <f t="shared" si="11"/>
        <v>0</v>
      </c>
      <c r="S79" s="247">
        <f t="shared" si="11"/>
        <v>1744100.4812200051</v>
      </c>
      <c r="T79" s="247">
        <f t="shared" si="11"/>
        <v>2381055.5796397119</v>
      </c>
      <c r="U79" s="247">
        <f t="shared" si="11"/>
        <v>889765.10799448343</v>
      </c>
      <c r="V79" s="247">
        <f t="shared" si="11"/>
        <v>1175636.3006280533</v>
      </c>
      <c r="W79" s="247">
        <f t="shared" si="11"/>
        <v>0</v>
      </c>
      <c r="X79" s="247">
        <f t="shared" si="11"/>
        <v>1152412.7311495726</v>
      </c>
      <c r="Y79" s="247">
        <f t="shared" si="11"/>
        <v>2200966.8396899141</v>
      </c>
      <c r="Z79" s="247">
        <f t="shared" si="11"/>
        <v>1772755.6329444172</v>
      </c>
      <c r="AA79" s="247">
        <f t="shared" si="11"/>
        <v>7035377.4965051878</v>
      </c>
      <c r="AB79" s="247">
        <f t="shared" si="11"/>
        <v>0</v>
      </c>
      <c r="AC79" s="247">
        <f t="shared" si="11"/>
        <v>944527.40012152551</v>
      </c>
      <c r="AD79" s="247">
        <f t="shared" si="11"/>
        <v>3417901.7407551538</v>
      </c>
      <c r="AE79" s="247">
        <f t="shared" si="11"/>
        <v>3058848.742553445</v>
      </c>
      <c r="AF79" s="247">
        <f t="shared" si="11"/>
        <v>4066764.6090493109</v>
      </c>
      <c r="AG79" s="247">
        <f t="shared" si="11"/>
        <v>0</v>
      </c>
      <c r="AH79" s="247">
        <f t="shared" si="11"/>
        <v>0</v>
      </c>
      <c r="AI79" s="247">
        <f t="shared" si="11"/>
        <v>0</v>
      </c>
      <c r="AJ79" s="247">
        <f t="shared" si="11"/>
        <v>0</v>
      </c>
      <c r="AK79" s="247">
        <f t="shared" si="11"/>
        <v>0</v>
      </c>
      <c r="AL79" s="247">
        <f t="shared" si="11"/>
        <v>0</v>
      </c>
      <c r="AM79" s="247">
        <f t="shared" si="11"/>
        <v>0</v>
      </c>
      <c r="AN79" s="247">
        <f t="shared" si="11"/>
        <v>0</v>
      </c>
      <c r="AO79" s="247">
        <f t="shared" si="11"/>
        <v>0</v>
      </c>
    </row>
    <row r="80" spans="2:43" x14ac:dyDescent="0.25">
      <c r="D80" s="86"/>
      <c r="F80" s="293" t="s">
        <v>203</v>
      </c>
      <c r="G80" s="293" t="s">
        <v>107</v>
      </c>
      <c r="H80" s="252">
        <f t="shared" si="2"/>
        <v>900528.97467984259</v>
      </c>
      <c r="I80" s="90"/>
      <c r="J80" s="248">
        <f t="shared" ref="J80" si="12">J58 * J45 * days_in_year / hundred</f>
        <v>0</v>
      </c>
      <c r="K80" s="248">
        <f t="shared" ref="K80:AO80" si="13">K58 * K45 * days_in_year / hundred</f>
        <v>0</v>
      </c>
      <c r="L80" s="248">
        <f t="shared" si="13"/>
        <v>0</v>
      </c>
      <c r="M80" s="248">
        <f t="shared" si="13"/>
        <v>0</v>
      </c>
      <c r="N80" s="248">
        <f t="shared" si="13"/>
        <v>0</v>
      </c>
      <c r="O80" s="248">
        <f t="shared" si="13"/>
        <v>0</v>
      </c>
      <c r="P80" s="248">
        <f t="shared" si="13"/>
        <v>0</v>
      </c>
      <c r="Q80" s="248">
        <f t="shared" si="13"/>
        <v>0</v>
      </c>
      <c r="R80" s="248">
        <f t="shared" si="13"/>
        <v>0</v>
      </c>
      <c r="S80" s="248">
        <f t="shared" si="13"/>
        <v>60255.626176855105</v>
      </c>
      <c r="T80" s="248">
        <f t="shared" si="13"/>
        <v>86762.294347369825</v>
      </c>
      <c r="U80" s="248">
        <f t="shared" si="13"/>
        <v>33312.884144825883</v>
      </c>
      <c r="V80" s="248">
        <f t="shared" si="13"/>
        <v>44515.091890440053</v>
      </c>
      <c r="W80" s="248">
        <f t="shared" si="13"/>
        <v>0</v>
      </c>
      <c r="X80" s="248">
        <f t="shared" si="13"/>
        <v>101261.01929650032</v>
      </c>
      <c r="Y80" s="248">
        <f t="shared" si="13"/>
        <v>146183.46697764221</v>
      </c>
      <c r="Z80" s="248">
        <f t="shared" si="13"/>
        <v>56195.870066180702</v>
      </c>
      <c r="AA80" s="248">
        <f t="shared" si="13"/>
        <v>75118.095487144543</v>
      </c>
      <c r="AB80" s="248">
        <f t="shared" si="13"/>
        <v>0</v>
      </c>
      <c r="AC80" s="248">
        <f t="shared" si="13"/>
        <v>24452.356017683338</v>
      </c>
      <c r="AD80" s="248">
        <f t="shared" si="13"/>
        <v>88094.632267780922</v>
      </c>
      <c r="AE80" s="248">
        <f t="shared" si="13"/>
        <v>79100.440777052325</v>
      </c>
      <c r="AF80" s="248">
        <f t="shared" si="13"/>
        <v>105277.19723036747</v>
      </c>
      <c r="AG80" s="248">
        <f t="shared" si="13"/>
        <v>0</v>
      </c>
      <c r="AH80" s="248">
        <f t="shared" si="13"/>
        <v>0</v>
      </c>
      <c r="AI80" s="248">
        <f t="shared" si="13"/>
        <v>0</v>
      </c>
      <c r="AJ80" s="248">
        <f t="shared" si="13"/>
        <v>0</v>
      </c>
      <c r="AK80" s="248">
        <f t="shared" si="13"/>
        <v>0</v>
      </c>
      <c r="AL80" s="248">
        <f t="shared" si="13"/>
        <v>0</v>
      </c>
      <c r="AM80" s="248">
        <f t="shared" si="13"/>
        <v>0</v>
      </c>
      <c r="AN80" s="248">
        <f t="shared" si="13"/>
        <v>0</v>
      </c>
      <c r="AO80" s="248">
        <f t="shared" si="13"/>
        <v>0</v>
      </c>
    </row>
    <row r="81" spans="2:43" x14ac:dyDescent="0.25">
      <c r="D81" s="86"/>
      <c r="F81" s="93" t="s">
        <v>77</v>
      </c>
      <c r="G81" s="15" t="s">
        <v>107</v>
      </c>
      <c r="H81" s="271">
        <f t="shared" si="2"/>
        <v>873095.77794176503</v>
      </c>
      <c r="I81" s="187"/>
      <c r="J81" s="248">
        <f t="shared" ref="J81" si="14">J59 * thousand * J46 / hundred</f>
        <v>0</v>
      </c>
      <c r="K81" s="248">
        <f t="shared" ref="K81:AO81" si="15">K59 * thousand * K46 / hundred</f>
        <v>0</v>
      </c>
      <c r="L81" s="248">
        <f t="shared" si="15"/>
        <v>0</v>
      </c>
      <c r="M81" s="248">
        <f t="shared" si="15"/>
        <v>0</v>
      </c>
      <c r="N81" s="248">
        <f t="shared" si="15"/>
        <v>0</v>
      </c>
      <c r="O81" s="248">
        <f t="shared" si="15"/>
        <v>0</v>
      </c>
      <c r="P81" s="248">
        <f t="shared" si="15"/>
        <v>0</v>
      </c>
      <c r="Q81" s="248">
        <f t="shared" si="15"/>
        <v>0</v>
      </c>
      <c r="R81" s="248">
        <f t="shared" si="15"/>
        <v>0</v>
      </c>
      <c r="S81" s="248">
        <f t="shared" si="15"/>
        <v>94330.559009965116</v>
      </c>
      <c r="T81" s="248">
        <f t="shared" si="15"/>
        <v>132213.94742543992</v>
      </c>
      <c r="U81" s="248">
        <f t="shared" si="15"/>
        <v>50081.361224220862</v>
      </c>
      <c r="V81" s="248">
        <f t="shared" si="15"/>
        <v>66612.304641852519</v>
      </c>
      <c r="W81" s="248">
        <f t="shared" si="15"/>
        <v>0</v>
      </c>
      <c r="X81" s="248">
        <f t="shared" si="15"/>
        <v>72551.5693996029</v>
      </c>
      <c r="Y81" s="248">
        <f t="shared" si="15"/>
        <v>110081.33093123531</v>
      </c>
      <c r="Z81" s="248">
        <f t="shared" si="15"/>
        <v>40803.129098946534</v>
      </c>
      <c r="AA81" s="248">
        <f t="shared" si="15"/>
        <v>53414.643462809989</v>
      </c>
      <c r="AB81" s="248">
        <f t="shared" si="15"/>
        <v>0</v>
      </c>
      <c r="AC81" s="248">
        <f t="shared" si="15"/>
        <v>17802.292961728886</v>
      </c>
      <c r="AD81" s="248">
        <f t="shared" si="15"/>
        <v>64184.848206589668</v>
      </c>
      <c r="AE81" s="248">
        <f t="shared" si="15"/>
        <v>57609.656704362358</v>
      </c>
      <c r="AF81" s="248">
        <f t="shared" si="15"/>
        <v>76665.119435828601</v>
      </c>
      <c r="AG81" s="248">
        <f t="shared" si="15"/>
        <v>0</v>
      </c>
      <c r="AH81" s="248">
        <f t="shared" si="15"/>
        <v>0</v>
      </c>
      <c r="AI81" s="248">
        <f t="shared" si="15"/>
        <v>0</v>
      </c>
      <c r="AJ81" s="248">
        <f t="shared" si="15"/>
        <v>16511.455058895477</v>
      </c>
      <c r="AK81" s="248">
        <f t="shared" si="15"/>
        <v>0</v>
      </c>
      <c r="AL81" s="248">
        <f t="shared" si="15"/>
        <v>591.72010823462199</v>
      </c>
      <c r="AM81" s="248">
        <f t="shared" si="15"/>
        <v>0</v>
      </c>
      <c r="AN81" s="248">
        <f t="shared" si="15"/>
        <v>19641.840272052046</v>
      </c>
      <c r="AO81" s="248">
        <f t="shared" si="15"/>
        <v>0</v>
      </c>
    </row>
    <row r="82" spans="2:43" x14ac:dyDescent="0.25">
      <c r="D82" s="293"/>
      <c r="E82" s="82"/>
      <c r="F82" s="73" t="s">
        <v>111</v>
      </c>
      <c r="G82" s="77" t="s">
        <v>107</v>
      </c>
      <c r="H82" s="280">
        <f t="shared" si="2"/>
        <v>250833203.14114732</v>
      </c>
      <c r="I82" s="70"/>
      <c r="J82" s="286">
        <f t="shared" ref="J82" si="16">SUM(J75:J81)</f>
        <v>141346368.39187747</v>
      </c>
      <c r="K82" s="286">
        <f t="shared" ref="K82:AO82" si="17">SUM(K75:K81)</f>
        <v>47750.964659686251</v>
      </c>
      <c r="L82" s="286">
        <f t="shared" si="17"/>
        <v>0</v>
      </c>
      <c r="M82" s="286">
        <f t="shared" si="17"/>
        <v>1882972.5784172332</v>
      </c>
      <c r="N82" s="286">
        <f t="shared" si="17"/>
        <v>5708663.8934532003</v>
      </c>
      <c r="O82" s="286">
        <f t="shared" si="17"/>
        <v>6787392.8095696401</v>
      </c>
      <c r="P82" s="286">
        <f t="shared" si="17"/>
        <v>22478105.596921675</v>
      </c>
      <c r="Q82" s="286">
        <f t="shared" si="17"/>
        <v>18272.622606888639</v>
      </c>
      <c r="R82" s="286">
        <f t="shared" si="17"/>
        <v>0</v>
      </c>
      <c r="S82" s="286">
        <f t="shared" si="17"/>
        <v>6101137.6403461518</v>
      </c>
      <c r="T82" s="286">
        <f t="shared" si="17"/>
        <v>8274025.9935706146</v>
      </c>
      <c r="U82" s="286">
        <f t="shared" si="17"/>
        <v>3094726.3653929434</v>
      </c>
      <c r="V82" s="286">
        <f t="shared" si="17"/>
        <v>4076904.3301142771</v>
      </c>
      <c r="W82" s="286">
        <f t="shared" si="17"/>
        <v>0</v>
      </c>
      <c r="X82" s="286">
        <f t="shared" si="17"/>
        <v>2567703.6834621523</v>
      </c>
      <c r="Y82" s="286">
        <f t="shared" si="17"/>
        <v>4732506.3840868268</v>
      </c>
      <c r="Z82" s="286">
        <f t="shared" si="17"/>
        <v>3748672.9198066825</v>
      </c>
      <c r="AA82" s="286">
        <f t="shared" si="17"/>
        <v>14639882.784781698</v>
      </c>
      <c r="AB82" s="286">
        <f t="shared" si="17"/>
        <v>0</v>
      </c>
      <c r="AC82" s="286">
        <f t="shared" si="17"/>
        <v>2279684.6066996981</v>
      </c>
      <c r="AD82" s="286">
        <f t="shared" si="17"/>
        <v>7918276.8847470218</v>
      </c>
      <c r="AE82" s="286">
        <f t="shared" si="17"/>
        <v>7038401.1611743942</v>
      </c>
      <c r="AF82" s="286">
        <f t="shared" si="17"/>
        <v>9327427.7788886242</v>
      </c>
      <c r="AG82" s="286">
        <f t="shared" si="17"/>
        <v>3282559.8046962721</v>
      </c>
      <c r="AH82" s="286">
        <f t="shared" si="17"/>
        <v>-22177.183426018139</v>
      </c>
      <c r="AI82" s="286">
        <f t="shared" si="17"/>
        <v>-2735.3144587315319</v>
      </c>
      <c r="AJ82" s="286">
        <f t="shared" si="17"/>
        <v>-727153.02506312262</v>
      </c>
      <c r="AK82" s="286">
        <f t="shared" si="17"/>
        <v>0</v>
      </c>
      <c r="AL82" s="286">
        <f t="shared" si="17"/>
        <v>-181285.63961108439</v>
      </c>
      <c r="AM82" s="286">
        <f t="shared" si="17"/>
        <v>0</v>
      </c>
      <c r="AN82" s="286">
        <f t="shared" si="17"/>
        <v>-3584882.8915668596</v>
      </c>
      <c r="AO82" s="286">
        <f t="shared" si="17"/>
        <v>0</v>
      </c>
      <c r="AP82" s="421"/>
      <c r="AQ82" s="421"/>
    </row>
    <row r="83" spans="2:43" x14ac:dyDescent="0.25">
      <c r="D83" s="293"/>
      <c r="E83" s="96"/>
      <c r="F83" s="82"/>
      <c r="H83" s="252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</row>
    <row r="84" spans="2:43" x14ac:dyDescent="0.25">
      <c r="D84" s="86"/>
      <c r="E84" s="293" t="s">
        <v>190</v>
      </c>
      <c r="G84" s="293" t="s">
        <v>107</v>
      </c>
      <c r="H84" s="275">
        <f>H67 - H82</f>
        <v>120414489.71522552</v>
      </c>
      <c r="I84" s="421" t="s">
        <v>359</v>
      </c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21"/>
      <c r="AQ84" s="421" t="s">
        <v>1246</v>
      </c>
    </row>
    <row r="85" spans="2:43" x14ac:dyDescent="0.25">
      <c r="C85" s="86"/>
      <c r="I85" s="421"/>
      <c r="J85" s="491"/>
      <c r="K85" s="491"/>
      <c r="L85" s="491"/>
      <c r="M85" s="491"/>
      <c r="N85" s="491"/>
      <c r="O85" s="491"/>
      <c r="P85" s="491"/>
      <c r="Q85" s="491"/>
      <c r="R85" s="491"/>
      <c r="S85" s="491"/>
      <c r="T85" s="491"/>
      <c r="U85" s="491"/>
      <c r="V85" s="491"/>
      <c r="W85" s="491"/>
      <c r="X85" s="491"/>
      <c r="Y85" s="491"/>
      <c r="Z85" s="491"/>
      <c r="AA85" s="491"/>
      <c r="AB85" s="491"/>
      <c r="AC85" s="491"/>
      <c r="AD85" s="491"/>
      <c r="AE85" s="491"/>
      <c r="AF85" s="491"/>
      <c r="AG85" s="491"/>
      <c r="AH85" s="491"/>
      <c r="AI85" s="491"/>
      <c r="AJ85" s="491"/>
      <c r="AK85" s="491"/>
      <c r="AL85" s="491"/>
      <c r="AM85" s="491"/>
      <c r="AN85" s="491"/>
      <c r="AO85" s="491"/>
      <c r="AP85" s="421"/>
      <c r="AQ85" s="421"/>
    </row>
    <row r="86" spans="2:43" x14ac:dyDescent="0.25">
      <c r="B86" s="95" t="s">
        <v>1114</v>
      </c>
      <c r="C86" s="95"/>
      <c r="D86" s="95"/>
      <c r="E86" s="95"/>
      <c r="F86" s="95"/>
      <c r="G86" s="95"/>
      <c r="H86" s="95"/>
      <c r="I86" s="95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72"/>
      <c r="AQ86" s="72"/>
    </row>
    <row r="87" spans="2:43" x14ac:dyDescent="0.25">
      <c r="C87" s="82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  <c r="AL87" s="111"/>
      <c r="AM87" s="111"/>
      <c r="AN87" s="111"/>
      <c r="AO87" s="111"/>
    </row>
    <row r="88" spans="2:43" x14ac:dyDescent="0.25">
      <c r="C88" s="7" t="str">
        <f ca="1">INDEX('Version control'!$H$34:$H$60,MATCH($A$1,'Version control'!$F$34:$F$60,0),1)&amp;"-C: Grouping of residual bands where a band has insufficient customers"</f>
        <v>Section 519-C: Grouping of residual bands where a band has insufficient customers</v>
      </c>
      <c r="D88" s="7"/>
      <c r="E88" s="7"/>
      <c r="F88" s="7"/>
      <c r="G88" s="7"/>
      <c r="H88" s="7"/>
      <c r="I88" s="7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</row>
    <row r="89" spans="2:43" x14ac:dyDescent="0.25">
      <c r="C89" s="82"/>
      <c r="D89" s="293"/>
      <c r="E89" s="293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</row>
    <row r="90" spans="2:43" x14ac:dyDescent="0.25">
      <c r="C90" s="82"/>
      <c r="D90" s="82" t="s">
        <v>1243</v>
      </c>
      <c r="E90" s="293"/>
      <c r="I90" s="293" t="s">
        <v>359</v>
      </c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Q90" s="293" t="s">
        <v>1239</v>
      </c>
    </row>
    <row r="91" spans="2:43" x14ac:dyDescent="0.25">
      <c r="C91" s="82"/>
      <c r="D91" s="82" t="s">
        <v>1115</v>
      </c>
      <c r="E91" s="293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</row>
    <row r="92" spans="2:43" x14ac:dyDescent="0.25">
      <c r="C92" s="82"/>
      <c r="D92" s="293"/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25">
      <c r="C93" s="82"/>
      <c r="D93" s="293"/>
      <c r="E93" s="96" t="s">
        <v>1116</v>
      </c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25">
      <c r="C94" s="82"/>
      <c r="D94" s="293"/>
      <c r="E94" s="293"/>
      <c r="F94" s="91" t="s">
        <v>1036</v>
      </c>
      <c r="G94" s="91" t="s">
        <v>427</v>
      </c>
      <c r="H94" s="91"/>
      <c r="I94" s="91"/>
      <c r="J94" s="492">
        <f>'Fixed inputs'!J176</f>
        <v>1</v>
      </c>
      <c r="K94" s="493"/>
      <c r="L94" s="493"/>
      <c r="M94" s="492">
        <f>'Fixed inputs'!M176</f>
        <v>1</v>
      </c>
      <c r="N94" s="492">
        <f>'Fixed inputs'!N176</f>
        <v>2</v>
      </c>
      <c r="O94" s="492">
        <f>'Fixed inputs'!O176</f>
        <v>3</v>
      </c>
      <c r="P94" s="492">
        <f>'Fixed inputs'!P176</f>
        <v>4</v>
      </c>
      <c r="Q94" s="493"/>
      <c r="R94" s="493"/>
      <c r="S94" s="492">
        <f>'Fixed inputs'!S176</f>
        <v>1</v>
      </c>
      <c r="T94" s="492">
        <f>'Fixed inputs'!T176</f>
        <v>2</v>
      </c>
      <c r="U94" s="492">
        <f>'Fixed inputs'!U176</f>
        <v>3</v>
      </c>
      <c r="V94" s="492">
        <f>'Fixed inputs'!V176</f>
        <v>4</v>
      </c>
      <c r="W94" s="493"/>
      <c r="X94" s="492">
        <f>'Fixed inputs'!X176</f>
        <v>1</v>
      </c>
      <c r="Y94" s="492">
        <f>'Fixed inputs'!Y176</f>
        <v>2</v>
      </c>
      <c r="Z94" s="492">
        <f>'Fixed inputs'!Z176</f>
        <v>3</v>
      </c>
      <c r="AA94" s="492">
        <f>'Fixed inputs'!AA176</f>
        <v>4</v>
      </c>
      <c r="AB94" s="493"/>
      <c r="AC94" s="492">
        <f>'Fixed inputs'!AC176</f>
        <v>1</v>
      </c>
      <c r="AD94" s="492">
        <f>'Fixed inputs'!AD176</f>
        <v>2</v>
      </c>
      <c r="AE94" s="492">
        <f>'Fixed inputs'!AE176</f>
        <v>3</v>
      </c>
      <c r="AF94" s="492">
        <f>'Fixed inputs'!AF176</f>
        <v>4</v>
      </c>
      <c r="AG94" s="492">
        <f>'Fixed inputs'!AG176</f>
        <v>1</v>
      </c>
      <c r="AH94" s="493"/>
      <c r="AI94" s="493"/>
      <c r="AJ94" s="493"/>
      <c r="AK94" s="493"/>
      <c r="AL94" s="493"/>
      <c r="AM94" s="493"/>
      <c r="AN94" s="493"/>
      <c r="AO94" s="493"/>
    </row>
    <row r="95" spans="2:43" x14ac:dyDescent="0.25">
      <c r="C95" s="82"/>
      <c r="D95" s="293"/>
      <c r="E95" s="293"/>
      <c r="F95" s="293" t="s">
        <v>1037</v>
      </c>
      <c r="G95" s="293" t="s">
        <v>427</v>
      </c>
      <c r="J95" s="494">
        <f>'Fixed inputs'!J177</f>
        <v>1</v>
      </c>
      <c r="K95" s="495"/>
      <c r="L95" s="495"/>
      <c r="M95" s="494">
        <f>'Fixed inputs'!M177</f>
        <v>1</v>
      </c>
      <c r="N95" s="494">
        <f>'Fixed inputs'!N177</f>
        <v>1</v>
      </c>
      <c r="O95" s="494">
        <f>'Fixed inputs'!O177</f>
        <v>2</v>
      </c>
      <c r="P95" s="494">
        <f>'Fixed inputs'!P177</f>
        <v>3</v>
      </c>
      <c r="Q95" s="495"/>
      <c r="R95" s="495"/>
      <c r="S95" s="494">
        <f>'Fixed inputs'!S177</f>
        <v>1</v>
      </c>
      <c r="T95" s="494">
        <f>'Fixed inputs'!T177</f>
        <v>1</v>
      </c>
      <c r="U95" s="494">
        <f>'Fixed inputs'!U177</f>
        <v>2</v>
      </c>
      <c r="V95" s="494">
        <f>'Fixed inputs'!V177</f>
        <v>3</v>
      </c>
      <c r="W95" s="495"/>
      <c r="X95" s="494">
        <f>'Fixed inputs'!X177</f>
        <v>1</v>
      </c>
      <c r="Y95" s="494">
        <f>'Fixed inputs'!Y177</f>
        <v>1</v>
      </c>
      <c r="Z95" s="494">
        <f>'Fixed inputs'!Z177</f>
        <v>2</v>
      </c>
      <c r="AA95" s="494">
        <f>'Fixed inputs'!AA177</f>
        <v>3</v>
      </c>
      <c r="AB95" s="495"/>
      <c r="AC95" s="494">
        <f>'Fixed inputs'!AC177</f>
        <v>1</v>
      </c>
      <c r="AD95" s="494">
        <f>'Fixed inputs'!AD177</f>
        <v>1</v>
      </c>
      <c r="AE95" s="494">
        <f>'Fixed inputs'!AE177</f>
        <v>2</v>
      </c>
      <c r="AF95" s="494">
        <f>'Fixed inputs'!AF177</f>
        <v>3</v>
      </c>
      <c r="AG95" s="494">
        <f>'Fixed inputs'!AG177</f>
        <v>1</v>
      </c>
      <c r="AH95" s="495"/>
      <c r="AI95" s="495"/>
      <c r="AJ95" s="495"/>
      <c r="AK95" s="495"/>
      <c r="AL95" s="495"/>
      <c r="AM95" s="495"/>
      <c r="AN95" s="495"/>
      <c r="AO95" s="495"/>
    </row>
    <row r="96" spans="2:43" x14ac:dyDescent="0.25">
      <c r="C96" s="82"/>
      <c r="D96" s="293"/>
      <c r="E96" s="293"/>
      <c r="F96" s="293" t="s">
        <v>1038</v>
      </c>
      <c r="G96" s="293" t="s">
        <v>427</v>
      </c>
      <c r="J96" s="494">
        <f>'Fixed inputs'!J178</f>
        <v>1</v>
      </c>
      <c r="K96" s="495"/>
      <c r="L96" s="495"/>
      <c r="M96" s="494">
        <f>'Fixed inputs'!M178</f>
        <v>1</v>
      </c>
      <c r="N96" s="494">
        <f>'Fixed inputs'!N178</f>
        <v>2</v>
      </c>
      <c r="O96" s="494">
        <f>'Fixed inputs'!O178</f>
        <v>2</v>
      </c>
      <c r="P96" s="494">
        <f>'Fixed inputs'!P178</f>
        <v>3</v>
      </c>
      <c r="Q96" s="495"/>
      <c r="R96" s="495"/>
      <c r="S96" s="494">
        <f>'Fixed inputs'!S178</f>
        <v>1</v>
      </c>
      <c r="T96" s="494">
        <f>'Fixed inputs'!T178</f>
        <v>2</v>
      </c>
      <c r="U96" s="494">
        <f>'Fixed inputs'!U178</f>
        <v>2</v>
      </c>
      <c r="V96" s="494">
        <f>'Fixed inputs'!V178</f>
        <v>3</v>
      </c>
      <c r="W96" s="495"/>
      <c r="X96" s="494">
        <f>'Fixed inputs'!X178</f>
        <v>1</v>
      </c>
      <c r="Y96" s="494">
        <f>'Fixed inputs'!Y178</f>
        <v>2</v>
      </c>
      <c r="Z96" s="494">
        <f>'Fixed inputs'!Z178</f>
        <v>2</v>
      </c>
      <c r="AA96" s="494">
        <f>'Fixed inputs'!AA178</f>
        <v>3</v>
      </c>
      <c r="AB96" s="495"/>
      <c r="AC96" s="494">
        <f>'Fixed inputs'!AC178</f>
        <v>1</v>
      </c>
      <c r="AD96" s="494">
        <f>'Fixed inputs'!AD178</f>
        <v>2</v>
      </c>
      <c r="AE96" s="494">
        <f>'Fixed inputs'!AE178</f>
        <v>2</v>
      </c>
      <c r="AF96" s="494">
        <f>'Fixed inputs'!AF178</f>
        <v>3</v>
      </c>
      <c r="AG96" s="494">
        <f>'Fixed inputs'!AG178</f>
        <v>1</v>
      </c>
      <c r="AH96" s="495"/>
      <c r="AI96" s="495"/>
      <c r="AJ96" s="495"/>
      <c r="AK96" s="495"/>
      <c r="AL96" s="495"/>
      <c r="AM96" s="495"/>
      <c r="AN96" s="495"/>
      <c r="AO96" s="495"/>
    </row>
    <row r="97" spans="3:41" x14ac:dyDescent="0.25">
      <c r="C97" s="82"/>
      <c r="D97" s="293"/>
      <c r="E97" s="293"/>
      <c r="F97" s="293" t="s">
        <v>1039</v>
      </c>
      <c r="G97" s="293" t="s">
        <v>427</v>
      </c>
      <c r="J97" s="494">
        <f>'Fixed inputs'!J179</f>
        <v>1</v>
      </c>
      <c r="K97" s="495"/>
      <c r="L97" s="495"/>
      <c r="M97" s="494">
        <f>'Fixed inputs'!M179</f>
        <v>1</v>
      </c>
      <c r="N97" s="494">
        <f>'Fixed inputs'!N179</f>
        <v>2</v>
      </c>
      <c r="O97" s="494">
        <f>'Fixed inputs'!O179</f>
        <v>3</v>
      </c>
      <c r="P97" s="494">
        <f>'Fixed inputs'!P179</f>
        <v>3</v>
      </c>
      <c r="Q97" s="495"/>
      <c r="R97" s="495"/>
      <c r="S97" s="494">
        <f>'Fixed inputs'!S179</f>
        <v>1</v>
      </c>
      <c r="T97" s="494">
        <f>'Fixed inputs'!T179</f>
        <v>2</v>
      </c>
      <c r="U97" s="494">
        <f>'Fixed inputs'!U179</f>
        <v>3</v>
      </c>
      <c r="V97" s="494">
        <f>'Fixed inputs'!V179</f>
        <v>3</v>
      </c>
      <c r="W97" s="495"/>
      <c r="X97" s="494">
        <f>'Fixed inputs'!X179</f>
        <v>1</v>
      </c>
      <c r="Y97" s="494">
        <f>'Fixed inputs'!Y179</f>
        <v>2</v>
      </c>
      <c r="Z97" s="494">
        <f>'Fixed inputs'!Z179</f>
        <v>3</v>
      </c>
      <c r="AA97" s="494">
        <f>'Fixed inputs'!AA179</f>
        <v>3</v>
      </c>
      <c r="AB97" s="495"/>
      <c r="AC97" s="494">
        <f>'Fixed inputs'!AC179</f>
        <v>1</v>
      </c>
      <c r="AD97" s="494">
        <f>'Fixed inputs'!AD179</f>
        <v>2</v>
      </c>
      <c r="AE97" s="494">
        <f>'Fixed inputs'!AE179</f>
        <v>3</v>
      </c>
      <c r="AF97" s="494">
        <f>'Fixed inputs'!AF179</f>
        <v>3</v>
      </c>
      <c r="AG97" s="494">
        <f>'Fixed inputs'!AG179</f>
        <v>1</v>
      </c>
      <c r="AH97" s="495"/>
      <c r="AI97" s="495"/>
      <c r="AJ97" s="495"/>
      <c r="AK97" s="495"/>
      <c r="AL97" s="495"/>
      <c r="AM97" s="495"/>
      <c r="AN97" s="495"/>
      <c r="AO97" s="495"/>
    </row>
    <row r="98" spans="3:41" x14ac:dyDescent="0.25">
      <c r="C98" s="82"/>
      <c r="D98" s="293"/>
      <c r="E98" s="293"/>
      <c r="F98" s="293" t="s">
        <v>1040</v>
      </c>
      <c r="G98" s="293" t="s">
        <v>427</v>
      </c>
      <c r="J98" s="494">
        <f>'Fixed inputs'!J180</f>
        <v>1</v>
      </c>
      <c r="K98" s="495"/>
      <c r="L98" s="495"/>
      <c r="M98" s="494">
        <f>'Fixed inputs'!M180</f>
        <v>1</v>
      </c>
      <c r="N98" s="494">
        <f>'Fixed inputs'!N180</f>
        <v>1</v>
      </c>
      <c r="O98" s="494">
        <f>'Fixed inputs'!O180</f>
        <v>2</v>
      </c>
      <c r="P98" s="494">
        <f>'Fixed inputs'!P180</f>
        <v>2</v>
      </c>
      <c r="Q98" s="495"/>
      <c r="R98" s="495"/>
      <c r="S98" s="494">
        <f>'Fixed inputs'!S180</f>
        <v>1</v>
      </c>
      <c r="T98" s="494">
        <f>'Fixed inputs'!T180</f>
        <v>1</v>
      </c>
      <c r="U98" s="494">
        <f>'Fixed inputs'!U180</f>
        <v>2</v>
      </c>
      <c r="V98" s="494">
        <f>'Fixed inputs'!V180</f>
        <v>2</v>
      </c>
      <c r="W98" s="495"/>
      <c r="X98" s="494">
        <f>'Fixed inputs'!X180</f>
        <v>1</v>
      </c>
      <c r="Y98" s="494">
        <f>'Fixed inputs'!Y180</f>
        <v>1</v>
      </c>
      <c r="Z98" s="494">
        <f>'Fixed inputs'!Z180</f>
        <v>2</v>
      </c>
      <c r="AA98" s="494">
        <f>'Fixed inputs'!AA180</f>
        <v>2</v>
      </c>
      <c r="AB98" s="495"/>
      <c r="AC98" s="494">
        <f>'Fixed inputs'!AC180</f>
        <v>1</v>
      </c>
      <c r="AD98" s="494">
        <f>'Fixed inputs'!AD180</f>
        <v>1</v>
      </c>
      <c r="AE98" s="494">
        <f>'Fixed inputs'!AE180</f>
        <v>2</v>
      </c>
      <c r="AF98" s="494">
        <f>'Fixed inputs'!AF180</f>
        <v>2</v>
      </c>
      <c r="AG98" s="494">
        <f>'Fixed inputs'!AG180</f>
        <v>1</v>
      </c>
      <c r="AH98" s="495"/>
      <c r="AI98" s="495"/>
      <c r="AJ98" s="495"/>
      <c r="AK98" s="495"/>
      <c r="AL98" s="495"/>
      <c r="AM98" s="495"/>
      <c r="AN98" s="495"/>
      <c r="AO98" s="495"/>
    </row>
    <row r="99" spans="3:41" x14ac:dyDescent="0.25">
      <c r="C99" s="82"/>
      <c r="D99" s="293"/>
      <c r="E99" s="293"/>
      <c r="F99" s="293" t="s">
        <v>1041</v>
      </c>
      <c r="G99" s="293" t="s">
        <v>427</v>
      </c>
      <c r="J99" s="494">
        <f>'Fixed inputs'!J181</f>
        <v>1</v>
      </c>
      <c r="K99" s="495"/>
      <c r="L99" s="495"/>
      <c r="M99" s="494">
        <f>'Fixed inputs'!M181</f>
        <v>1</v>
      </c>
      <c r="N99" s="494">
        <f>'Fixed inputs'!N181</f>
        <v>1</v>
      </c>
      <c r="O99" s="494">
        <f>'Fixed inputs'!O181</f>
        <v>1</v>
      </c>
      <c r="P99" s="494">
        <f>'Fixed inputs'!P181</f>
        <v>2</v>
      </c>
      <c r="Q99" s="495"/>
      <c r="R99" s="495"/>
      <c r="S99" s="494">
        <f>'Fixed inputs'!S181</f>
        <v>1</v>
      </c>
      <c r="T99" s="494">
        <f>'Fixed inputs'!T181</f>
        <v>1</v>
      </c>
      <c r="U99" s="494">
        <f>'Fixed inputs'!U181</f>
        <v>1</v>
      </c>
      <c r="V99" s="494">
        <f>'Fixed inputs'!V181</f>
        <v>2</v>
      </c>
      <c r="W99" s="495"/>
      <c r="X99" s="494">
        <f>'Fixed inputs'!X181</f>
        <v>1</v>
      </c>
      <c r="Y99" s="494">
        <f>'Fixed inputs'!Y181</f>
        <v>1</v>
      </c>
      <c r="Z99" s="494">
        <f>'Fixed inputs'!Z181</f>
        <v>1</v>
      </c>
      <c r="AA99" s="494">
        <f>'Fixed inputs'!AA181</f>
        <v>2</v>
      </c>
      <c r="AB99" s="495"/>
      <c r="AC99" s="494">
        <f>'Fixed inputs'!AC181</f>
        <v>1</v>
      </c>
      <c r="AD99" s="494">
        <f>'Fixed inputs'!AD181</f>
        <v>1</v>
      </c>
      <c r="AE99" s="494">
        <f>'Fixed inputs'!AE181</f>
        <v>1</v>
      </c>
      <c r="AF99" s="494">
        <f>'Fixed inputs'!AF181</f>
        <v>2</v>
      </c>
      <c r="AG99" s="494">
        <f>'Fixed inputs'!AG181</f>
        <v>1</v>
      </c>
      <c r="AH99" s="495"/>
      <c r="AI99" s="495"/>
      <c r="AJ99" s="495"/>
      <c r="AK99" s="495"/>
      <c r="AL99" s="495"/>
      <c r="AM99" s="495"/>
      <c r="AN99" s="495"/>
      <c r="AO99" s="495"/>
    </row>
    <row r="100" spans="3:41" x14ac:dyDescent="0.25">
      <c r="C100" s="82"/>
      <c r="D100" s="293"/>
      <c r="E100" s="293"/>
      <c r="F100" s="293" t="s">
        <v>1042</v>
      </c>
      <c r="G100" s="293" t="s">
        <v>427</v>
      </c>
      <c r="J100" s="494">
        <f>'Fixed inputs'!J182</f>
        <v>1</v>
      </c>
      <c r="K100" s="495"/>
      <c r="L100" s="495"/>
      <c r="M100" s="494">
        <f>'Fixed inputs'!M182</f>
        <v>1</v>
      </c>
      <c r="N100" s="494">
        <f>'Fixed inputs'!N182</f>
        <v>2</v>
      </c>
      <c r="O100" s="494">
        <f>'Fixed inputs'!O182</f>
        <v>2</v>
      </c>
      <c r="P100" s="494">
        <f>'Fixed inputs'!P182</f>
        <v>2</v>
      </c>
      <c r="Q100" s="495"/>
      <c r="R100" s="495"/>
      <c r="S100" s="494">
        <f>'Fixed inputs'!S182</f>
        <v>1</v>
      </c>
      <c r="T100" s="494">
        <f>'Fixed inputs'!T182</f>
        <v>2</v>
      </c>
      <c r="U100" s="494">
        <f>'Fixed inputs'!U182</f>
        <v>2</v>
      </c>
      <c r="V100" s="494">
        <f>'Fixed inputs'!V182</f>
        <v>2</v>
      </c>
      <c r="W100" s="495"/>
      <c r="X100" s="494">
        <f>'Fixed inputs'!X182</f>
        <v>1</v>
      </c>
      <c r="Y100" s="494">
        <f>'Fixed inputs'!Y182</f>
        <v>2</v>
      </c>
      <c r="Z100" s="494">
        <f>'Fixed inputs'!Z182</f>
        <v>2</v>
      </c>
      <c r="AA100" s="494">
        <f>'Fixed inputs'!AA182</f>
        <v>2</v>
      </c>
      <c r="AB100" s="495"/>
      <c r="AC100" s="494">
        <f>'Fixed inputs'!AC182</f>
        <v>1</v>
      </c>
      <c r="AD100" s="494">
        <f>'Fixed inputs'!AD182</f>
        <v>2</v>
      </c>
      <c r="AE100" s="494">
        <f>'Fixed inputs'!AE182</f>
        <v>2</v>
      </c>
      <c r="AF100" s="494">
        <f>'Fixed inputs'!AF182</f>
        <v>2</v>
      </c>
      <c r="AG100" s="494">
        <f>'Fixed inputs'!AG182</f>
        <v>1</v>
      </c>
      <c r="AH100" s="495"/>
      <c r="AI100" s="495"/>
      <c r="AJ100" s="495"/>
      <c r="AK100" s="495"/>
      <c r="AL100" s="495"/>
      <c r="AM100" s="495"/>
      <c r="AN100" s="495"/>
      <c r="AO100" s="495"/>
    </row>
    <row r="101" spans="3:41" x14ac:dyDescent="0.25">
      <c r="C101" s="82"/>
      <c r="D101" s="293"/>
      <c r="E101" s="293"/>
      <c r="F101" s="93" t="s">
        <v>1043</v>
      </c>
      <c r="G101" s="93" t="s">
        <v>427</v>
      </c>
      <c r="H101" s="93"/>
      <c r="I101" s="93"/>
      <c r="J101" s="496">
        <f>'Fixed inputs'!J183</f>
        <v>1</v>
      </c>
      <c r="K101" s="497"/>
      <c r="L101" s="497"/>
      <c r="M101" s="496">
        <f>'Fixed inputs'!M183</f>
        <v>1</v>
      </c>
      <c r="N101" s="496">
        <f>'Fixed inputs'!N183</f>
        <v>1</v>
      </c>
      <c r="O101" s="496">
        <f>'Fixed inputs'!O183</f>
        <v>1</v>
      </c>
      <c r="P101" s="496">
        <f>'Fixed inputs'!P183</f>
        <v>1</v>
      </c>
      <c r="Q101" s="497"/>
      <c r="R101" s="497"/>
      <c r="S101" s="496">
        <f>'Fixed inputs'!S183</f>
        <v>1</v>
      </c>
      <c r="T101" s="496">
        <f>'Fixed inputs'!T183</f>
        <v>1</v>
      </c>
      <c r="U101" s="496">
        <f>'Fixed inputs'!U183</f>
        <v>1</v>
      </c>
      <c r="V101" s="496">
        <f>'Fixed inputs'!V183</f>
        <v>1</v>
      </c>
      <c r="W101" s="497"/>
      <c r="X101" s="496">
        <f>'Fixed inputs'!X183</f>
        <v>1</v>
      </c>
      <c r="Y101" s="496">
        <f>'Fixed inputs'!Y183</f>
        <v>1</v>
      </c>
      <c r="Z101" s="496">
        <f>'Fixed inputs'!Z183</f>
        <v>1</v>
      </c>
      <c r="AA101" s="496">
        <f>'Fixed inputs'!AA183</f>
        <v>1</v>
      </c>
      <c r="AB101" s="497"/>
      <c r="AC101" s="496">
        <f>'Fixed inputs'!AC183</f>
        <v>1</v>
      </c>
      <c r="AD101" s="496">
        <f>'Fixed inputs'!AD183</f>
        <v>1</v>
      </c>
      <c r="AE101" s="496">
        <f>'Fixed inputs'!AE183</f>
        <v>1</v>
      </c>
      <c r="AF101" s="496">
        <f>'Fixed inputs'!AF183</f>
        <v>1</v>
      </c>
      <c r="AG101" s="496">
        <f>'Fixed inputs'!AG183</f>
        <v>1</v>
      </c>
      <c r="AH101" s="497"/>
      <c r="AI101" s="497"/>
      <c r="AJ101" s="497"/>
      <c r="AK101" s="497"/>
      <c r="AL101" s="497"/>
      <c r="AM101" s="497"/>
      <c r="AN101" s="497"/>
      <c r="AO101" s="497"/>
    </row>
    <row r="102" spans="3:41" x14ac:dyDescent="0.25">
      <c r="C102" s="82"/>
      <c r="D102" s="293"/>
      <c r="E102" s="293"/>
      <c r="J102" s="237"/>
      <c r="K102" s="237"/>
      <c r="L102" s="237"/>
      <c r="M102" s="237"/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/>
      <c r="AA102" s="237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</row>
    <row r="103" spans="3:41" x14ac:dyDescent="0.25">
      <c r="C103" s="82"/>
      <c r="D103" s="293"/>
      <c r="E103" s="96" t="s">
        <v>1117</v>
      </c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25">
      <c r="C104" s="82"/>
      <c r="D104" s="293"/>
      <c r="E104" s="293"/>
      <c r="F104" s="91" t="s">
        <v>1036</v>
      </c>
      <c r="G104" s="91" t="s">
        <v>427</v>
      </c>
      <c r="H104" s="91"/>
      <c r="I104" s="91"/>
      <c r="J104" s="498">
        <f>MAX((J$35-1)*MAX($J$36:$AO$36)+J94,0)</f>
        <v>1</v>
      </c>
      <c r="K104" s="493"/>
      <c r="L104" s="493"/>
      <c r="M104" s="498">
        <f t="shared" ref="M104:P111" si="18">MAX((M$35-1)*MAX($J$36:$AO$36)+M94,0)</f>
        <v>5</v>
      </c>
      <c r="N104" s="498">
        <f t="shared" si="18"/>
        <v>6</v>
      </c>
      <c r="O104" s="498">
        <f t="shared" si="18"/>
        <v>7</v>
      </c>
      <c r="P104" s="498">
        <f t="shared" si="18"/>
        <v>8</v>
      </c>
      <c r="Q104" s="493"/>
      <c r="R104" s="493"/>
      <c r="S104" s="498">
        <f t="shared" ref="S104:V111" si="19">MAX((S$35-1)*MAX($J$36:$AO$36)+S94,0)</f>
        <v>9</v>
      </c>
      <c r="T104" s="498">
        <f t="shared" si="19"/>
        <v>10</v>
      </c>
      <c r="U104" s="498">
        <f t="shared" si="19"/>
        <v>11</v>
      </c>
      <c r="V104" s="498">
        <f t="shared" si="19"/>
        <v>12</v>
      </c>
      <c r="W104" s="493"/>
      <c r="X104" s="498">
        <f t="shared" ref="X104:AA111" si="20">MAX((X$35-1)*MAX($J$36:$AO$36)+X94,0)</f>
        <v>9</v>
      </c>
      <c r="Y104" s="498">
        <f t="shared" si="20"/>
        <v>10</v>
      </c>
      <c r="Z104" s="498">
        <f t="shared" si="20"/>
        <v>11</v>
      </c>
      <c r="AA104" s="498">
        <f t="shared" si="20"/>
        <v>12</v>
      </c>
      <c r="AB104" s="493"/>
      <c r="AC104" s="498">
        <f t="shared" ref="AC104:AG111" si="21">MAX((AC$35-1)*MAX($J$36:$AO$36)+AC94,0)</f>
        <v>13</v>
      </c>
      <c r="AD104" s="498">
        <f t="shared" si="21"/>
        <v>14</v>
      </c>
      <c r="AE104" s="498">
        <f t="shared" si="21"/>
        <v>15</v>
      </c>
      <c r="AF104" s="498">
        <f t="shared" si="21"/>
        <v>16</v>
      </c>
      <c r="AG104" s="498">
        <f t="shared" si="21"/>
        <v>17</v>
      </c>
      <c r="AH104" s="493"/>
      <c r="AI104" s="493"/>
      <c r="AJ104" s="493"/>
      <c r="AK104" s="493"/>
      <c r="AL104" s="493"/>
      <c r="AM104" s="493"/>
      <c r="AN104" s="493"/>
      <c r="AO104" s="493"/>
    </row>
    <row r="105" spans="3:41" x14ac:dyDescent="0.25">
      <c r="C105" s="82"/>
      <c r="D105" s="293"/>
      <c r="E105" s="293"/>
      <c r="F105" s="293" t="s">
        <v>1037</v>
      </c>
      <c r="G105" s="293" t="s">
        <v>427</v>
      </c>
      <c r="J105" s="499">
        <f t="shared" ref="J105:J111" si="22">MAX((J$35-1)*MAX($J$36:$AO$36)+J95,0)</f>
        <v>1</v>
      </c>
      <c r="K105" s="495"/>
      <c r="L105" s="495"/>
      <c r="M105" s="499">
        <f t="shared" si="18"/>
        <v>5</v>
      </c>
      <c r="N105" s="499">
        <f t="shared" si="18"/>
        <v>5</v>
      </c>
      <c r="O105" s="499">
        <f t="shared" si="18"/>
        <v>6</v>
      </c>
      <c r="P105" s="499">
        <f t="shared" si="18"/>
        <v>7</v>
      </c>
      <c r="Q105" s="495"/>
      <c r="R105" s="495"/>
      <c r="S105" s="499">
        <f t="shared" si="19"/>
        <v>9</v>
      </c>
      <c r="T105" s="499">
        <f t="shared" si="19"/>
        <v>9</v>
      </c>
      <c r="U105" s="499">
        <f t="shared" si="19"/>
        <v>10</v>
      </c>
      <c r="V105" s="499">
        <f t="shared" si="19"/>
        <v>11</v>
      </c>
      <c r="W105" s="495"/>
      <c r="X105" s="499">
        <f t="shared" si="20"/>
        <v>9</v>
      </c>
      <c r="Y105" s="499">
        <f t="shared" si="20"/>
        <v>9</v>
      </c>
      <c r="Z105" s="499">
        <f t="shared" si="20"/>
        <v>10</v>
      </c>
      <c r="AA105" s="499">
        <f t="shared" si="20"/>
        <v>11</v>
      </c>
      <c r="AB105" s="495"/>
      <c r="AC105" s="499">
        <f t="shared" si="21"/>
        <v>13</v>
      </c>
      <c r="AD105" s="499">
        <f t="shared" si="21"/>
        <v>13</v>
      </c>
      <c r="AE105" s="499">
        <f t="shared" si="21"/>
        <v>14</v>
      </c>
      <c r="AF105" s="499">
        <f t="shared" si="21"/>
        <v>15</v>
      </c>
      <c r="AG105" s="499">
        <f t="shared" si="21"/>
        <v>17</v>
      </c>
      <c r="AH105" s="495"/>
      <c r="AI105" s="495"/>
      <c r="AJ105" s="495"/>
      <c r="AK105" s="495"/>
      <c r="AL105" s="495"/>
      <c r="AM105" s="495"/>
      <c r="AN105" s="495"/>
      <c r="AO105" s="495"/>
    </row>
    <row r="106" spans="3:41" x14ac:dyDescent="0.25">
      <c r="C106" s="82"/>
      <c r="D106" s="293"/>
      <c r="E106" s="293"/>
      <c r="F106" s="293" t="s">
        <v>1038</v>
      </c>
      <c r="G106" s="293" t="s">
        <v>427</v>
      </c>
      <c r="J106" s="499">
        <f t="shared" si="22"/>
        <v>1</v>
      </c>
      <c r="K106" s="495"/>
      <c r="L106" s="495"/>
      <c r="M106" s="499">
        <f t="shared" si="18"/>
        <v>5</v>
      </c>
      <c r="N106" s="499">
        <f t="shared" si="18"/>
        <v>6</v>
      </c>
      <c r="O106" s="499">
        <f t="shared" si="18"/>
        <v>6</v>
      </c>
      <c r="P106" s="499">
        <f t="shared" si="18"/>
        <v>7</v>
      </c>
      <c r="Q106" s="495"/>
      <c r="R106" s="495"/>
      <c r="S106" s="499">
        <f t="shared" si="19"/>
        <v>9</v>
      </c>
      <c r="T106" s="499">
        <f t="shared" si="19"/>
        <v>10</v>
      </c>
      <c r="U106" s="499">
        <f t="shared" si="19"/>
        <v>10</v>
      </c>
      <c r="V106" s="499">
        <f t="shared" si="19"/>
        <v>11</v>
      </c>
      <c r="W106" s="495"/>
      <c r="X106" s="499">
        <f t="shared" si="20"/>
        <v>9</v>
      </c>
      <c r="Y106" s="499">
        <f t="shared" si="20"/>
        <v>10</v>
      </c>
      <c r="Z106" s="499">
        <f t="shared" si="20"/>
        <v>10</v>
      </c>
      <c r="AA106" s="499">
        <f t="shared" si="20"/>
        <v>11</v>
      </c>
      <c r="AB106" s="495"/>
      <c r="AC106" s="499">
        <f t="shared" si="21"/>
        <v>13</v>
      </c>
      <c r="AD106" s="499">
        <f t="shared" si="21"/>
        <v>14</v>
      </c>
      <c r="AE106" s="499">
        <f t="shared" si="21"/>
        <v>14</v>
      </c>
      <c r="AF106" s="499">
        <f t="shared" si="21"/>
        <v>15</v>
      </c>
      <c r="AG106" s="499">
        <f t="shared" si="21"/>
        <v>17</v>
      </c>
      <c r="AH106" s="495"/>
      <c r="AI106" s="495"/>
      <c r="AJ106" s="495"/>
      <c r="AK106" s="495"/>
      <c r="AL106" s="495"/>
      <c r="AM106" s="495"/>
      <c r="AN106" s="495"/>
      <c r="AO106" s="495"/>
    </row>
    <row r="107" spans="3:41" x14ac:dyDescent="0.25">
      <c r="C107" s="82"/>
      <c r="D107" s="293"/>
      <c r="E107" s="293"/>
      <c r="F107" s="293" t="s">
        <v>1039</v>
      </c>
      <c r="G107" s="293" t="s">
        <v>427</v>
      </c>
      <c r="J107" s="499">
        <f t="shared" si="22"/>
        <v>1</v>
      </c>
      <c r="K107" s="495"/>
      <c r="L107" s="495"/>
      <c r="M107" s="499">
        <f t="shared" si="18"/>
        <v>5</v>
      </c>
      <c r="N107" s="499">
        <f t="shared" si="18"/>
        <v>6</v>
      </c>
      <c r="O107" s="499">
        <f t="shared" si="18"/>
        <v>7</v>
      </c>
      <c r="P107" s="499">
        <f t="shared" si="18"/>
        <v>7</v>
      </c>
      <c r="Q107" s="495"/>
      <c r="R107" s="495"/>
      <c r="S107" s="499">
        <f t="shared" si="19"/>
        <v>9</v>
      </c>
      <c r="T107" s="499">
        <f t="shared" si="19"/>
        <v>10</v>
      </c>
      <c r="U107" s="499">
        <f t="shared" si="19"/>
        <v>11</v>
      </c>
      <c r="V107" s="499">
        <f t="shared" si="19"/>
        <v>11</v>
      </c>
      <c r="W107" s="495"/>
      <c r="X107" s="499">
        <f t="shared" si="20"/>
        <v>9</v>
      </c>
      <c r="Y107" s="499">
        <f t="shared" si="20"/>
        <v>10</v>
      </c>
      <c r="Z107" s="499">
        <f t="shared" si="20"/>
        <v>11</v>
      </c>
      <c r="AA107" s="499">
        <f t="shared" si="20"/>
        <v>11</v>
      </c>
      <c r="AB107" s="495"/>
      <c r="AC107" s="499">
        <f t="shared" si="21"/>
        <v>13</v>
      </c>
      <c r="AD107" s="499">
        <f t="shared" si="21"/>
        <v>14</v>
      </c>
      <c r="AE107" s="499">
        <f t="shared" si="21"/>
        <v>15</v>
      </c>
      <c r="AF107" s="499">
        <f t="shared" si="21"/>
        <v>15</v>
      </c>
      <c r="AG107" s="499">
        <f t="shared" si="21"/>
        <v>17</v>
      </c>
      <c r="AH107" s="495"/>
      <c r="AI107" s="495"/>
      <c r="AJ107" s="495"/>
      <c r="AK107" s="495"/>
      <c r="AL107" s="495"/>
      <c r="AM107" s="495"/>
      <c r="AN107" s="495"/>
      <c r="AO107" s="495"/>
    </row>
    <row r="108" spans="3:41" x14ac:dyDescent="0.25">
      <c r="C108" s="82"/>
      <c r="D108" s="293"/>
      <c r="E108" s="293"/>
      <c r="F108" s="293" t="s">
        <v>1040</v>
      </c>
      <c r="G108" s="293" t="s">
        <v>427</v>
      </c>
      <c r="J108" s="499">
        <f t="shared" si="22"/>
        <v>1</v>
      </c>
      <c r="K108" s="495"/>
      <c r="L108" s="495"/>
      <c r="M108" s="499">
        <f t="shared" si="18"/>
        <v>5</v>
      </c>
      <c r="N108" s="499">
        <f t="shared" si="18"/>
        <v>5</v>
      </c>
      <c r="O108" s="499">
        <f t="shared" si="18"/>
        <v>6</v>
      </c>
      <c r="P108" s="499">
        <f t="shared" si="18"/>
        <v>6</v>
      </c>
      <c r="Q108" s="495"/>
      <c r="R108" s="495"/>
      <c r="S108" s="499">
        <f t="shared" si="19"/>
        <v>9</v>
      </c>
      <c r="T108" s="499">
        <f t="shared" si="19"/>
        <v>9</v>
      </c>
      <c r="U108" s="499">
        <f t="shared" si="19"/>
        <v>10</v>
      </c>
      <c r="V108" s="499">
        <f t="shared" si="19"/>
        <v>10</v>
      </c>
      <c r="W108" s="495"/>
      <c r="X108" s="499">
        <f t="shared" si="20"/>
        <v>9</v>
      </c>
      <c r="Y108" s="499">
        <f t="shared" si="20"/>
        <v>9</v>
      </c>
      <c r="Z108" s="499">
        <f t="shared" si="20"/>
        <v>10</v>
      </c>
      <c r="AA108" s="499">
        <f t="shared" si="20"/>
        <v>10</v>
      </c>
      <c r="AB108" s="495"/>
      <c r="AC108" s="499">
        <f t="shared" si="21"/>
        <v>13</v>
      </c>
      <c r="AD108" s="499">
        <f t="shared" si="21"/>
        <v>13</v>
      </c>
      <c r="AE108" s="499">
        <f t="shared" si="21"/>
        <v>14</v>
      </c>
      <c r="AF108" s="499">
        <f t="shared" si="21"/>
        <v>14</v>
      </c>
      <c r="AG108" s="499">
        <f t="shared" si="21"/>
        <v>17</v>
      </c>
      <c r="AH108" s="495"/>
      <c r="AI108" s="495"/>
      <c r="AJ108" s="495"/>
      <c r="AK108" s="495"/>
      <c r="AL108" s="495"/>
      <c r="AM108" s="495"/>
      <c r="AN108" s="495"/>
      <c r="AO108" s="495"/>
    </row>
    <row r="109" spans="3:41" x14ac:dyDescent="0.25">
      <c r="C109" s="82"/>
      <c r="D109" s="293"/>
      <c r="E109" s="293"/>
      <c r="F109" s="293" t="s">
        <v>1041</v>
      </c>
      <c r="G109" s="293" t="s">
        <v>427</v>
      </c>
      <c r="J109" s="499">
        <f t="shared" si="22"/>
        <v>1</v>
      </c>
      <c r="K109" s="495"/>
      <c r="L109" s="495"/>
      <c r="M109" s="499">
        <f t="shared" si="18"/>
        <v>5</v>
      </c>
      <c r="N109" s="499">
        <f t="shared" si="18"/>
        <v>5</v>
      </c>
      <c r="O109" s="499">
        <f t="shared" si="18"/>
        <v>5</v>
      </c>
      <c r="P109" s="499">
        <f t="shared" si="18"/>
        <v>6</v>
      </c>
      <c r="Q109" s="495"/>
      <c r="R109" s="495"/>
      <c r="S109" s="499">
        <f t="shared" si="19"/>
        <v>9</v>
      </c>
      <c r="T109" s="499">
        <f t="shared" si="19"/>
        <v>9</v>
      </c>
      <c r="U109" s="499">
        <f t="shared" si="19"/>
        <v>9</v>
      </c>
      <c r="V109" s="499">
        <f t="shared" si="19"/>
        <v>10</v>
      </c>
      <c r="W109" s="495"/>
      <c r="X109" s="499">
        <f t="shared" si="20"/>
        <v>9</v>
      </c>
      <c r="Y109" s="499">
        <f t="shared" si="20"/>
        <v>9</v>
      </c>
      <c r="Z109" s="499">
        <f t="shared" si="20"/>
        <v>9</v>
      </c>
      <c r="AA109" s="499">
        <f t="shared" si="20"/>
        <v>10</v>
      </c>
      <c r="AB109" s="495"/>
      <c r="AC109" s="499">
        <f t="shared" si="21"/>
        <v>13</v>
      </c>
      <c r="AD109" s="499">
        <f t="shared" si="21"/>
        <v>13</v>
      </c>
      <c r="AE109" s="499">
        <f t="shared" si="21"/>
        <v>13</v>
      </c>
      <c r="AF109" s="499">
        <f t="shared" si="21"/>
        <v>14</v>
      </c>
      <c r="AG109" s="499">
        <f t="shared" si="21"/>
        <v>17</v>
      </c>
      <c r="AH109" s="495"/>
      <c r="AI109" s="495"/>
      <c r="AJ109" s="495"/>
      <c r="AK109" s="495"/>
      <c r="AL109" s="495"/>
      <c r="AM109" s="495"/>
      <c r="AN109" s="495"/>
      <c r="AO109" s="495"/>
    </row>
    <row r="110" spans="3:41" x14ac:dyDescent="0.25">
      <c r="C110" s="82"/>
      <c r="D110" s="293"/>
      <c r="E110" s="293"/>
      <c r="F110" s="293" t="s">
        <v>1042</v>
      </c>
      <c r="G110" s="293" t="s">
        <v>427</v>
      </c>
      <c r="J110" s="499">
        <f t="shared" si="22"/>
        <v>1</v>
      </c>
      <c r="K110" s="495"/>
      <c r="L110" s="495"/>
      <c r="M110" s="499">
        <f t="shared" si="18"/>
        <v>5</v>
      </c>
      <c r="N110" s="499">
        <f t="shared" si="18"/>
        <v>6</v>
      </c>
      <c r="O110" s="499">
        <f t="shared" si="18"/>
        <v>6</v>
      </c>
      <c r="P110" s="499">
        <f t="shared" si="18"/>
        <v>6</v>
      </c>
      <c r="Q110" s="495"/>
      <c r="R110" s="495"/>
      <c r="S110" s="499">
        <f t="shared" si="19"/>
        <v>9</v>
      </c>
      <c r="T110" s="499">
        <f t="shared" si="19"/>
        <v>10</v>
      </c>
      <c r="U110" s="499">
        <f t="shared" si="19"/>
        <v>10</v>
      </c>
      <c r="V110" s="499">
        <f t="shared" si="19"/>
        <v>10</v>
      </c>
      <c r="W110" s="495"/>
      <c r="X110" s="499">
        <f t="shared" si="20"/>
        <v>9</v>
      </c>
      <c r="Y110" s="499">
        <f t="shared" si="20"/>
        <v>10</v>
      </c>
      <c r="Z110" s="499">
        <f t="shared" si="20"/>
        <v>10</v>
      </c>
      <c r="AA110" s="499">
        <f t="shared" si="20"/>
        <v>10</v>
      </c>
      <c r="AB110" s="495"/>
      <c r="AC110" s="499">
        <f t="shared" si="21"/>
        <v>13</v>
      </c>
      <c r="AD110" s="499">
        <f t="shared" si="21"/>
        <v>14</v>
      </c>
      <c r="AE110" s="499">
        <f t="shared" si="21"/>
        <v>14</v>
      </c>
      <c r="AF110" s="499">
        <f t="shared" si="21"/>
        <v>14</v>
      </c>
      <c r="AG110" s="499">
        <f t="shared" si="21"/>
        <v>17</v>
      </c>
      <c r="AH110" s="495"/>
      <c r="AI110" s="495"/>
      <c r="AJ110" s="495"/>
      <c r="AK110" s="495"/>
      <c r="AL110" s="495"/>
      <c r="AM110" s="495"/>
      <c r="AN110" s="495"/>
      <c r="AO110" s="495"/>
    </row>
    <row r="111" spans="3:41" x14ac:dyDescent="0.25">
      <c r="C111" s="82"/>
      <c r="D111" s="293"/>
      <c r="E111" s="293"/>
      <c r="F111" s="93" t="s">
        <v>1043</v>
      </c>
      <c r="G111" s="93" t="s">
        <v>427</v>
      </c>
      <c r="H111" s="93"/>
      <c r="I111" s="93"/>
      <c r="J111" s="500">
        <f t="shared" si="22"/>
        <v>1</v>
      </c>
      <c r="K111" s="497"/>
      <c r="L111" s="497"/>
      <c r="M111" s="500">
        <f t="shared" si="18"/>
        <v>5</v>
      </c>
      <c r="N111" s="500">
        <f t="shared" si="18"/>
        <v>5</v>
      </c>
      <c r="O111" s="500">
        <f t="shared" si="18"/>
        <v>5</v>
      </c>
      <c r="P111" s="500">
        <f t="shared" si="18"/>
        <v>5</v>
      </c>
      <c r="Q111" s="497"/>
      <c r="R111" s="497"/>
      <c r="S111" s="500">
        <f t="shared" si="19"/>
        <v>9</v>
      </c>
      <c r="T111" s="500">
        <f t="shared" si="19"/>
        <v>9</v>
      </c>
      <c r="U111" s="500">
        <f t="shared" si="19"/>
        <v>9</v>
      </c>
      <c r="V111" s="500">
        <f t="shared" si="19"/>
        <v>9</v>
      </c>
      <c r="W111" s="497"/>
      <c r="X111" s="500">
        <f t="shared" si="20"/>
        <v>9</v>
      </c>
      <c r="Y111" s="500">
        <f t="shared" si="20"/>
        <v>9</v>
      </c>
      <c r="Z111" s="500">
        <f t="shared" si="20"/>
        <v>9</v>
      </c>
      <c r="AA111" s="500">
        <f t="shared" si="20"/>
        <v>9</v>
      </c>
      <c r="AB111" s="497"/>
      <c r="AC111" s="500">
        <f t="shared" si="21"/>
        <v>13</v>
      </c>
      <c r="AD111" s="500">
        <f t="shared" si="21"/>
        <v>13</v>
      </c>
      <c r="AE111" s="500">
        <f t="shared" si="21"/>
        <v>13</v>
      </c>
      <c r="AF111" s="500">
        <f t="shared" si="21"/>
        <v>13</v>
      </c>
      <c r="AG111" s="500">
        <f t="shared" si="21"/>
        <v>17</v>
      </c>
      <c r="AH111" s="497"/>
      <c r="AI111" s="497"/>
      <c r="AJ111" s="497"/>
      <c r="AK111" s="497"/>
      <c r="AL111" s="497"/>
      <c r="AM111" s="497"/>
      <c r="AN111" s="497"/>
      <c r="AO111" s="497"/>
    </row>
    <row r="112" spans="3:41" x14ac:dyDescent="0.25">
      <c r="C112" s="82"/>
      <c r="D112" s="293"/>
      <c r="E112" s="293"/>
      <c r="J112" s="237"/>
      <c r="K112" s="237"/>
      <c r="L112" s="237"/>
      <c r="M112" s="237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237"/>
      <c r="AB112" s="237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</row>
    <row r="113" spans="3:41" x14ac:dyDescent="0.25">
      <c r="C113" s="82"/>
      <c r="D113" s="293"/>
      <c r="E113" s="96" t="s">
        <v>1118</v>
      </c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25">
      <c r="C114" s="82"/>
      <c r="D114" s="293"/>
      <c r="E114" s="293"/>
      <c r="F114" s="91" t="s">
        <v>1036</v>
      </c>
      <c r="G114" s="91" t="s">
        <v>74</v>
      </c>
      <c r="H114" s="91"/>
      <c r="I114" s="91"/>
      <c r="J114" s="498">
        <f t="shared" ref="J114:J121" si="23">SUMIF($J104:$AO104, J104, $J$56:$AO$56)</f>
        <v>1422018.8938824672</v>
      </c>
      <c r="K114" s="493"/>
      <c r="L114" s="493"/>
      <c r="M114" s="498">
        <f t="shared" ref="M114:P121" si="24">SUMIF($J104:$AO104, M104, $J$56:$AO$56)</f>
        <v>37937.366962498359</v>
      </c>
      <c r="N114" s="498">
        <f t="shared" si="24"/>
        <v>30923.869602955838</v>
      </c>
      <c r="O114" s="498">
        <f t="shared" si="24"/>
        <v>15807.281404870146</v>
      </c>
      <c r="P114" s="498">
        <f t="shared" si="24"/>
        <v>16734.457472861592</v>
      </c>
      <c r="Q114" s="493"/>
      <c r="R114" s="493"/>
      <c r="S114" s="498">
        <f t="shared" ref="S114:V121" si="25">SUMIF($J104:$AO104, S104, $J$56:$AO$56)</f>
        <v>4002.5978111312565</v>
      </c>
      <c r="T114" s="498">
        <f t="shared" si="25"/>
        <v>2665.1646107834745</v>
      </c>
      <c r="U114" s="498">
        <f t="shared" si="25"/>
        <v>857.59354765016883</v>
      </c>
      <c r="V114" s="498">
        <f t="shared" si="25"/>
        <v>1106.9324198411205</v>
      </c>
      <c r="W114" s="493"/>
      <c r="X114" s="498">
        <f t="shared" ref="X114:AA121" si="26">SUMIF($J104:$AO104, X104, $J$56:$AO$56)</f>
        <v>4002.5978111312565</v>
      </c>
      <c r="Y114" s="498">
        <f t="shared" si="26"/>
        <v>2665.1646107834745</v>
      </c>
      <c r="Z114" s="498">
        <f t="shared" si="26"/>
        <v>857.59354765016883</v>
      </c>
      <c r="AA114" s="498">
        <f t="shared" si="26"/>
        <v>1106.9324198411205</v>
      </c>
      <c r="AB114" s="493"/>
      <c r="AC114" s="498">
        <f t="shared" ref="AC114:AG121" si="27">SUMIF($J104:$AO104, AC104, $J$56:$AO$56)</f>
        <v>301.29300806059575</v>
      </c>
      <c r="AD114" s="498">
        <f t="shared" si="27"/>
        <v>292.58601612119151</v>
      </c>
      <c r="AE114" s="498">
        <f t="shared" si="27"/>
        <v>129.46975604544681</v>
      </c>
      <c r="AF114" s="498">
        <f t="shared" si="27"/>
        <v>91.646504030297876</v>
      </c>
      <c r="AG114" s="498">
        <f t="shared" si="27"/>
        <v>609.29602287087573</v>
      </c>
      <c r="AH114" s="493"/>
      <c r="AI114" s="493"/>
      <c r="AJ114" s="493"/>
      <c r="AK114" s="493"/>
      <c r="AL114" s="493"/>
      <c r="AM114" s="493"/>
      <c r="AN114" s="493"/>
      <c r="AO114" s="493"/>
    </row>
    <row r="115" spans="3:41" x14ac:dyDescent="0.25">
      <c r="C115" s="82"/>
      <c r="D115" s="293"/>
      <c r="E115" s="293"/>
      <c r="F115" s="293" t="s">
        <v>1037</v>
      </c>
      <c r="G115" s="293" t="s">
        <v>74</v>
      </c>
      <c r="J115" s="499">
        <f t="shared" si="23"/>
        <v>1422018.8938824672</v>
      </c>
      <c r="K115" s="495"/>
      <c r="L115" s="495"/>
      <c r="M115" s="499">
        <f t="shared" si="24"/>
        <v>68861.236565454194</v>
      </c>
      <c r="N115" s="499">
        <f t="shared" si="24"/>
        <v>68861.236565454194</v>
      </c>
      <c r="O115" s="499">
        <f t="shared" si="24"/>
        <v>15807.281404870146</v>
      </c>
      <c r="P115" s="499">
        <f t="shared" si="24"/>
        <v>16734.457472861592</v>
      </c>
      <c r="Q115" s="495"/>
      <c r="R115" s="495"/>
      <c r="S115" s="499">
        <f t="shared" si="25"/>
        <v>6667.762421914731</v>
      </c>
      <c r="T115" s="499">
        <f t="shared" si="25"/>
        <v>6667.762421914731</v>
      </c>
      <c r="U115" s="499">
        <f t="shared" si="25"/>
        <v>857.59354765016883</v>
      </c>
      <c r="V115" s="499">
        <f t="shared" si="25"/>
        <v>1106.9324198411205</v>
      </c>
      <c r="W115" s="495"/>
      <c r="X115" s="499">
        <f t="shared" si="26"/>
        <v>6667.762421914731</v>
      </c>
      <c r="Y115" s="499">
        <f t="shared" si="26"/>
        <v>6667.762421914731</v>
      </c>
      <c r="Z115" s="499">
        <f t="shared" si="26"/>
        <v>857.59354765016883</v>
      </c>
      <c r="AA115" s="499">
        <f t="shared" si="26"/>
        <v>1106.9324198411205</v>
      </c>
      <c r="AB115" s="495"/>
      <c r="AC115" s="499">
        <f t="shared" si="27"/>
        <v>593.87902418178726</v>
      </c>
      <c r="AD115" s="499">
        <f t="shared" si="27"/>
        <v>593.87902418178726</v>
      </c>
      <c r="AE115" s="499">
        <f t="shared" si="27"/>
        <v>129.46975604544681</v>
      </c>
      <c r="AF115" s="499">
        <f t="shared" si="27"/>
        <v>91.646504030297876</v>
      </c>
      <c r="AG115" s="499">
        <f t="shared" si="27"/>
        <v>609.29602287087573</v>
      </c>
      <c r="AH115" s="495"/>
      <c r="AI115" s="495"/>
      <c r="AJ115" s="495"/>
      <c r="AK115" s="495"/>
      <c r="AL115" s="495"/>
      <c r="AM115" s="495"/>
      <c r="AN115" s="495"/>
      <c r="AO115" s="495"/>
    </row>
    <row r="116" spans="3:41" x14ac:dyDescent="0.25">
      <c r="C116" s="82"/>
      <c r="D116" s="293"/>
      <c r="E116" s="293"/>
      <c r="F116" s="293" t="s">
        <v>1038</v>
      </c>
      <c r="G116" s="293" t="s">
        <v>74</v>
      </c>
      <c r="J116" s="499">
        <f t="shared" si="23"/>
        <v>1422018.8938824672</v>
      </c>
      <c r="K116" s="495"/>
      <c r="L116" s="495"/>
      <c r="M116" s="499">
        <f t="shared" si="24"/>
        <v>37937.366962498359</v>
      </c>
      <c r="N116" s="499">
        <f t="shared" si="24"/>
        <v>46731.151007825982</v>
      </c>
      <c r="O116" s="499">
        <f t="shared" si="24"/>
        <v>46731.151007825982</v>
      </c>
      <c r="P116" s="499">
        <f t="shared" si="24"/>
        <v>16734.457472861592</v>
      </c>
      <c r="Q116" s="495"/>
      <c r="R116" s="495"/>
      <c r="S116" s="499">
        <f t="shared" si="25"/>
        <v>4002.5978111312565</v>
      </c>
      <c r="T116" s="499">
        <f t="shared" si="25"/>
        <v>3522.7581584336431</v>
      </c>
      <c r="U116" s="499">
        <f t="shared" si="25"/>
        <v>3522.7581584336431</v>
      </c>
      <c r="V116" s="499">
        <f t="shared" si="25"/>
        <v>1106.9324198411205</v>
      </c>
      <c r="W116" s="495"/>
      <c r="X116" s="499">
        <f t="shared" si="26"/>
        <v>4002.5978111312565</v>
      </c>
      <c r="Y116" s="499">
        <f t="shared" si="26"/>
        <v>3522.7581584336431</v>
      </c>
      <c r="Z116" s="499">
        <f t="shared" si="26"/>
        <v>3522.7581584336431</v>
      </c>
      <c r="AA116" s="499">
        <f t="shared" si="26"/>
        <v>1106.9324198411205</v>
      </c>
      <c r="AB116" s="495"/>
      <c r="AC116" s="499">
        <f t="shared" si="27"/>
        <v>301.29300806059575</v>
      </c>
      <c r="AD116" s="499">
        <f t="shared" si="27"/>
        <v>422.05577216663835</v>
      </c>
      <c r="AE116" s="499">
        <f t="shared" si="27"/>
        <v>422.05577216663835</v>
      </c>
      <c r="AF116" s="499">
        <f t="shared" si="27"/>
        <v>91.646504030297876</v>
      </c>
      <c r="AG116" s="499">
        <f t="shared" si="27"/>
        <v>609.29602287087573</v>
      </c>
      <c r="AH116" s="495"/>
      <c r="AI116" s="495"/>
      <c r="AJ116" s="495"/>
      <c r="AK116" s="495"/>
      <c r="AL116" s="495"/>
      <c r="AM116" s="495"/>
      <c r="AN116" s="495"/>
      <c r="AO116" s="495"/>
    </row>
    <row r="117" spans="3:41" x14ac:dyDescent="0.25">
      <c r="C117" s="82"/>
      <c r="D117" s="293"/>
      <c r="E117" s="293"/>
      <c r="F117" s="293" t="s">
        <v>1039</v>
      </c>
      <c r="G117" s="293" t="s">
        <v>74</v>
      </c>
      <c r="J117" s="499">
        <f t="shared" si="23"/>
        <v>1422018.8938824672</v>
      </c>
      <c r="K117" s="495"/>
      <c r="L117" s="495"/>
      <c r="M117" s="499">
        <f t="shared" si="24"/>
        <v>37937.366962498359</v>
      </c>
      <c r="N117" s="499">
        <f t="shared" si="24"/>
        <v>30923.869602955838</v>
      </c>
      <c r="O117" s="499">
        <f t="shared" si="24"/>
        <v>32541.738877731739</v>
      </c>
      <c r="P117" s="499">
        <f t="shared" si="24"/>
        <v>32541.738877731739</v>
      </c>
      <c r="Q117" s="495"/>
      <c r="R117" s="495"/>
      <c r="S117" s="499">
        <f t="shared" si="25"/>
        <v>4002.5978111312565</v>
      </c>
      <c r="T117" s="499">
        <f t="shared" si="25"/>
        <v>2665.1646107834745</v>
      </c>
      <c r="U117" s="499">
        <f t="shared" si="25"/>
        <v>1964.5259674912895</v>
      </c>
      <c r="V117" s="499">
        <f t="shared" si="25"/>
        <v>1964.5259674912895</v>
      </c>
      <c r="W117" s="495"/>
      <c r="X117" s="499">
        <f t="shared" si="26"/>
        <v>4002.5978111312565</v>
      </c>
      <c r="Y117" s="499">
        <f t="shared" si="26"/>
        <v>2665.1646107834745</v>
      </c>
      <c r="Z117" s="499">
        <f t="shared" si="26"/>
        <v>1964.5259674912895</v>
      </c>
      <c r="AA117" s="499">
        <f t="shared" si="26"/>
        <v>1964.5259674912895</v>
      </c>
      <c r="AB117" s="495"/>
      <c r="AC117" s="499">
        <f t="shared" si="27"/>
        <v>301.29300806059575</v>
      </c>
      <c r="AD117" s="499">
        <f t="shared" si="27"/>
        <v>292.58601612119151</v>
      </c>
      <c r="AE117" s="499">
        <f t="shared" si="27"/>
        <v>221.11626007574469</v>
      </c>
      <c r="AF117" s="499">
        <f t="shared" si="27"/>
        <v>221.11626007574469</v>
      </c>
      <c r="AG117" s="499">
        <f t="shared" si="27"/>
        <v>609.29602287087573</v>
      </c>
      <c r="AH117" s="495"/>
      <c r="AI117" s="495"/>
      <c r="AJ117" s="495"/>
      <c r="AK117" s="495"/>
      <c r="AL117" s="495"/>
      <c r="AM117" s="495"/>
      <c r="AN117" s="495"/>
      <c r="AO117" s="495"/>
    </row>
    <row r="118" spans="3:41" x14ac:dyDescent="0.25">
      <c r="C118" s="82"/>
      <c r="D118" s="293"/>
      <c r="E118" s="293"/>
      <c r="F118" s="293" t="s">
        <v>1040</v>
      </c>
      <c r="G118" s="293" t="s">
        <v>74</v>
      </c>
      <c r="J118" s="499">
        <f t="shared" si="23"/>
        <v>1422018.8938824672</v>
      </c>
      <c r="K118" s="495"/>
      <c r="L118" s="495"/>
      <c r="M118" s="499">
        <f t="shared" si="24"/>
        <v>68861.236565454194</v>
      </c>
      <c r="N118" s="499">
        <f t="shared" si="24"/>
        <v>68861.236565454194</v>
      </c>
      <c r="O118" s="499">
        <f t="shared" si="24"/>
        <v>32541.738877731739</v>
      </c>
      <c r="P118" s="499">
        <f t="shared" si="24"/>
        <v>32541.738877731739</v>
      </c>
      <c r="Q118" s="495"/>
      <c r="R118" s="495"/>
      <c r="S118" s="499">
        <f t="shared" si="25"/>
        <v>6667.762421914731</v>
      </c>
      <c r="T118" s="499">
        <f t="shared" si="25"/>
        <v>6667.762421914731</v>
      </c>
      <c r="U118" s="499">
        <f t="shared" si="25"/>
        <v>1964.5259674912895</v>
      </c>
      <c r="V118" s="499">
        <f t="shared" si="25"/>
        <v>1964.5259674912895</v>
      </c>
      <c r="W118" s="495"/>
      <c r="X118" s="499">
        <f t="shared" si="26"/>
        <v>6667.762421914731</v>
      </c>
      <c r="Y118" s="499">
        <f t="shared" si="26"/>
        <v>6667.762421914731</v>
      </c>
      <c r="Z118" s="499">
        <f t="shared" si="26"/>
        <v>1964.5259674912895</v>
      </c>
      <c r="AA118" s="499">
        <f t="shared" si="26"/>
        <v>1964.5259674912895</v>
      </c>
      <c r="AB118" s="495"/>
      <c r="AC118" s="499">
        <f t="shared" si="27"/>
        <v>593.87902418178726</v>
      </c>
      <c r="AD118" s="499">
        <f t="shared" si="27"/>
        <v>593.87902418178726</v>
      </c>
      <c r="AE118" s="499">
        <f t="shared" si="27"/>
        <v>221.11626007574469</v>
      </c>
      <c r="AF118" s="499">
        <f t="shared" si="27"/>
        <v>221.11626007574469</v>
      </c>
      <c r="AG118" s="499">
        <f t="shared" si="27"/>
        <v>609.29602287087573</v>
      </c>
      <c r="AH118" s="495"/>
      <c r="AI118" s="495"/>
      <c r="AJ118" s="495"/>
      <c r="AK118" s="495"/>
      <c r="AL118" s="495"/>
      <c r="AM118" s="495"/>
      <c r="AN118" s="495"/>
      <c r="AO118" s="495"/>
    </row>
    <row r="119" spans="3:41" x14ac:dyDescent="0.25">
      <c r="C119" s="82"/>
      <c r="D119" s="293"/>
      <c r="E119" s="293"/>
      <c r="F119" s="293" t="s">
        <v>1041</v>
      </c>
      <c r="G119" s="293" t="s">
        <v>74</v>
      </c>
      <c r="J119" s="499">
        <f t="shared" si="23"/>
        <v>1422018.8938824672</v>
      </c>
      <c r="K119" s="495"/>
      <c r="L119" s="495"/>
      <c r="M119" s="499">
        <f t="shared" si="24"/>
        <v>84668.517970324334</v>
      </c>
      <c r="N119" s="499">
        <f t="shared" si="24"/>
        <v>84668.517970324334</v>
      </c>
      <c r="O119" s="499">
        <f t="shared" si="24"/>
        <v>84668.517970324334</v>
      </c>
      <c r="P119" s="499">
        <f t="shared" si="24"/>
        <v>16734.457472861592</v>
      </c>
      <c r="Q119" s="495"/>
      <c r="R119" s="495"/>
      <c r="S119" s="499">
        <f t="shared" si="25"/>
        <v>7525.3559695649001</v>
      </c>
      <c r="T119" s="499">
        <f t="shared" si="25"/>
        <v>7525.3559695649001</v>
      </c>
      <c r="U119" s="499">
        <f t="shared" si="25"/>
        <v>7525.3559695649001</v>
      </c>
      <c r="V119" s="499">
        <f t="shared" si="25"/>
        <v>1106.9324198411205</v>
      </c>
      <c r="W119" s="495"/>
      <c r="X119" s="499">
        <f t="shared" si="26"/>
        <v>7525.3559695649001</v>
      </c>
      <c r="Y119" s="499">
        <f t="shared" si="26"/>
        <v>7525.3559695649001</v>
      </c>
      <c r="Z119" s="499">
        <f t="shared" si="26"/>
        <v>7525.3559695649001</v>
      </c>
      <c r="AA119" s="499">
        <f t="shared" si="26"/>
        <v>1106.9324198411205</v>
      </c>
      <c r="AB119" s="495"/>
      <c r="AC119" s="499">
        <f t="shared" si="27"/>
        <v>723.3487802272341</v>
      </c>
      <c r="AD119" s="499">
        <f t="shared" si="27"/>
        <v>723.3487802272341</v>
      </c>
      <c r="AE119" s="499">
        <f t="shared" si="27"/>
        <v>723.3487802272341</v>
      </c>
      <c r="AF119" s="499">
        <f t="shared" si="27"/>
        <v>91.646504030297876</v>
      </c>
      <c r="AG119" s="499">
        <f t="shared" si="27"/>
        <v>609.29602287087573</v>
      </c>
      <c r="AH119" s="495"/>
      <c r="AI119" s="495"/>
      <c r="AJ119" s="495"/>
      <c r="AK119" s="495"/>
      <c r="AL119" s="495"/>
      <c r="AM119" s="495"/>
      <c r="AN119" s="495"/>
      <c r="AO119" s="495"/>
    </row>
    <row r="120" spans="3:41" x14ac:dyDescent="0.25">
      <c r="C120" s="82"/>
      <c r="D120" s="293"/>
      <c r="E120" s="293"/>
      <c r="F120" s="293" t="s">
        <v>1042</v>
      </c>
      <c r="G120" s="293" t="s">
        <v>74</v>
      </c>
      <c r="J120" s="499">
        <f t="shared" si="23"/>
        <v>1422018.8938824672</v>
      </c>
      <c r="K120" s="495"/>
      <c r="L120" s="495"/>
      <c r="M120" s="499">
        <f t="shared" si="24"/>
        <v>37937.366962498359</v>
      </c>
      <c r="N120" s="499">
        <f t="shared" si="24"/>
        <v>63465.608480687573</v>
      </c>
      <c r="O120" s="499">
        <f t="shared" si="24"/>
        <v>63465.608480687573</v>
      </c>
      <c r="P120" s="499">
        <f t="shared" si="24"/>
        <v>63465.608480687573</v>
      </c>
      <c r="Q120" s="495"/>
      <c r="R120" s="495"/>
      <c r="S120" s="499">
        <f t="shared" si="25"/>
        <v>4002.5978111312565</v>
      </c>
      <c r="T120" s="499">
        <f t="shared" si="25"/>
        <v>4629.6905782747635</v>
      </c>
      <c r="U120" s="499">
        <f t="shared" si="25"/>
        <v>4629.6905782747635</v>
      </c>
      <c r="V120" s="499">
        <f t="shared" si="25"/>
        <v>4629.6905782747635</v>
      </c>
      <c r="W120" s="495"/>
      <c r="X120" s="499">
        <f t="shared" si="26"/>
        <v>4002.5978111312565</v>
      </c>
      <c r="Y120" s="499">
        <f t="shared" si="26"/>
        <v>4629.6905782747635</v>
      </c>
      <c r="Z120" s="499">
        <f t="shared" si="26"/>
        <v>4629.6905782747635</v>
      </c>
      <c r="AA120" s="499">
        <f t="shared" si="26"/>
        <v>4629.6905782747635</v>
      </c>
      <c r="AB120" s="495"/>
      <c r="AC120" s="499">
        <f t="shared" si="27"/>
        <v>301.29300806059575</v>
      </c>
      <c r="AD120" s="499">
        <f t="shared" si="27"/>
        <v>513.70227619693628</v>
      </c>
      <c r="AE120" s="499">
        <f t="shared" si="27"/>
        <v>513.70227619693628</v>
      </c>
      <c r="AF120" s="499">
        <f t="shared" si="27"/>
        <v>513.70227619693628</v>
      </c>
      <c r="AG120" s="499">
        <f t="shared" si="27"/>
        <v>609.29602287087573</v>
      </c>
      <c r="AH120" s="495"/>
      <c r="AI120" s="495"/>
      <c r="AJ120" s="495"/>
      <c r="AK120" s="495"/>
      <c r="AL120" s="495"/>
      <c r="AM120" s="495"/>
      <c r="AN120" s="495"/>
      <c r="AO120" s="495"/>
    </row>
    <row r="121" spans="3:41" x14ac:dyDescent="0.25">
      <c r="C121" s="82"/>
      <c r="D121" s="293"/>
      <c r="E121" s="293"/>
      <c r="F121" s="93" t="s">
        <v>1043</v>
      </c>
      <c r="G121" s="93" t="s">
        <v>74</v>
      </c>
      <c r="H121" s="93"/>
      <c r="I121" s="93"/>
      <c r="J121" s="500">
        <f t="shared" si="23"/>
        <v>1422018.8938824672</v>
      </c>
      <c r="K121" s="497"/>
      <c r="L121" s="497"/>
      <c r="M121" s="500">
        <f t="shared" si="24"/>
        <v>101402.97544318592</v>
      </c>
      <c r="N121" s="500">
        <f t="shared" si="24"/>
        <v>101402.97544318592</v>
      </c>
      <c r="O121" s="500">
        <f t="shared" si="24"/>
        <v>101402.97544318592</v>
      </c>
      <c r="P121" s="500">
        <f t="shared" si="24"/>
        <v>101402.97544318592</v>
      </c>
      <c r="Q121" s="497"/>
      <c r="R121" s="497"/>
      <c r="S121" s="500">
        <f t="shared" si="25"/>
        <v>8632.2883894060196</v>
      </c>
      <c r="T121" s="500">
        <f t="shared" si="25"/>
        <v>8632.2883894060196</v>
      </c>
      <c r="U121" s="500">
        <f t="shared" si="25"/>
        <v>8632.2883894060196</v>
      </c>
      <c r="V121" s="500">
        <f t="shared" si="25"/>
        <v>8632.2883894060196</v>
      </c>
      <c r="W121" s="497"/>
      <c r="X121" s="500">
        <f t="shared" si="26"/>
        <v>8632.2883894060196</v>
      </c>
      <c r="Y121" s="500">
        <f t="shared" si="26"/>
        <v>8632.2883894060196</v>
      </c>
      <c r="Z121" s="500">
        <f t="shared" si="26"/>
        <v>8632.2883894060196</v>
      </c>
      <c r="AA121" s="500">
        <f t="shared" si="26"/>
        <v>8632.2883894060196</v>
      </c>
      <c r="AB121" s="497"/>
      <c r="AC121" s="500">
        <f t="shared" si="27"/>
        <v>814.99528425753192</v>
      </c>
      <c r="AD121" s="500">
        <f t="shared" si="27"/>
        <v>814.99528425753192</v>
      </c>
      <c r="AE121" s="500">
        <f t="shared" si="27"/>
        <v>814.99528425753192</v>
      </c>
      <c r="AF121" s="500">
        <f t="shared" si="27"/>
        <v>814.99528425753192</v>
      </c>
      <c r="AG121" s="500">
        <f t="shared" si="27"/>
        <v>609.29602287087573</v>
      </c>
      <c r="AH121" s="497"/>
      <c r="AI121" s="497"/>
      <c r="AJ121" s="497"/>
      <c r="AK121" s="497"/>
      <c r="AL121" s="497"/>
      <c r="AM121" s="497"/>
      <c r="AN121" s="497"/>
      <c r="AO121" s="497"/>
    </row>
    <row r="122" spans="3:41" x14ac:dyDescent="0.25">
      <c r="C122" s="82"/>
      <c r="D122" s="293"/>
      <c r="E122" s="293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</row>
    <row r="123" spans="3:41" x14ac:dyDescent="0.25">
      <c r="C123" s="82"/>
      <c r="D123" s="293"/>
      <c r="E123" s="293" t="s">
        <v>1032</v>
      </c>
      <c r="G123" s="293" t="s">
        <v>427</v>
      </c>
      <c r="H123" s="379">
        <f>'Fixed inputs'!H171</f>
        <v>2</v>
      </c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25">
      <c r="C124" s="82"/>
      <c r="D124" s="293"/>
      <c r="E124" s="293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25">
      <c r="C125" s="82"/>
      <c r="D125" s="293"/>
      <c r="E125" s="96" t="s">
        <v>1119</v>
      </c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25">
      <c r="C126" s="82"/>
      <c r="D126" s="293"/>
      <c r="E126" s="293"/>
      <c r="F126" s="91" t="s">
        <v>1036</v>
      </c>
      <c r="G126" s="91" t="s">
        <v>1026</v>
      </c>
      <c r="H126" s="91"/>
      <c r="I126" s="91"/>
      <c r="J126" s="498" t="b">
        <f>J114&gt;=$H$123</f>
        <v>1</v>
      </c>
      <c r="K126" s="493"/>
      <c r="L126" s="493"/>
      <c r="M126" s="498" t="b">
        <f t="shared" ref="M126:P133" si="28">M114&gt;=$H$123</f>
        <v>1</v>
      </c>
      <c r="N126" s="498" t="b">
        <f t="shared" si="28"/>
        <v>1</v>
      </c>
      <c r="O126" s="498" t="b">
        <f t="shared" si="28"/>
        <v>1</v>
      </c>
      <c r="P126" s="498" t="b">
        <f t="shared" si="28"/>
        <v>1</v>
      </c>
      <c r="Q126" s="493"/>
      <c r="R126" s="493"/>
      <c r="S126" s="498" t="b">
        <f t="shared" ref="S126:V133" si="29">S114&gt;=$H$123</f>
        <v>1</v>
      </c>
      <c r="T126" s="498" t="b">
        <f t="shared" si="29"/>
        <v>1</v>
      </c>
      <c r="U126" s="498" t="b">
        <f t="shared" si="29"/>
        <v>1</v>
      </c>
      <c r="V126" s="498" t="b">
        <f t="shared" si="29"/>
        <v>1</v>
      </c>
      <c r="W126" s="493"/>
      <c r="X126" s="498" t="b">
        <f t="shared" ref="X126:AA133" si="30">X114&gt;=$H$123</f>
        <v>1</v>
      </c>
      <c r="Y126" s="498" t="b">
        <f t="shared" si="30"/>
        <v>1</v>
      </c>
      <c r="Z126" s="498" t="b">
        <f t="shared" si="30"/>
        <v>1</v>
      </c>
      <c r="AA126" s="498" t="b">
        <f t="shared" si="30"/>
        <v>1</v>
      </c>
      <c r="AB126" s="493"/>
      <c r="AC126" s="498" t="b">
        <f t="shared" ref="AC126:AG133" si="31">AC114&gt;=$H$123</f>
        <v>1</v>
      </c>
      <c r="AD126" s="498" t="b">
        <f t="shared" si="31"/>
        <v>1</v>
      </c>
      <c r="AE126" s="498" t="b">
        <f t="shared" si="31"/>
        <v>1</v>
      </c>
      <c r="AF126" s="498" t="b">
        <f t="shared" si="31"/>
        <v>1</v>
      </c>
      <c r="AG126" s="498" t="b">
        <f t="shared" si="31"/>
        <v>1</v>
      </c>
      <c r="AH126" s="493"/>
      <c r="AI126" s="493"/>
      <c r="AJ126" s="493"/>
      <c r="AK126" s="493"/>
      <c r="AL126" s="493"/>
      <c r="AM126" s="493"/>
      <c r="AN126" s="493"/>
      <c r="AO126" s="493"/>
    </row>
    <row r="127" spans="3:41" x14ac:dyDescent="0.25">
      <c r="C127" s="82"/>
      <c r="D127" s="293"/>
      <c r="E127" s="293"/>
      <c r="F127" s="293" t="s">
        <v>1037</v>
      </c>
      <c r="G127" s="293" t="s">
        <v>1026</v>
      </c>
      <c r="J127" s="499" t="b">
        <f t="shared" ref="J127:J133" si="32">J115&gt;=$H$123</f>
        <v>1</v>
      </c>
      <c r="K127" s="495"/>
      <c r="L127" s="495"/>
      <c r="M127" s="499" t="b">
        <f t="shared" si="28"/>
        <v>1</v>
      </c>
      <c r="N127" s="499" t="b">
        <f t="shared" si="28"/>
        <v>1</v>
      </c>
      <c r="O127" s="499" t="b">
        <f t="shared" si="28"/>
        <v>1</v>
      </c>
      <c r="P127" s="499" t="b">
        <f t="shared" si="28"/>
        <v>1</v>
      </c>
      <c r="Q127" s="495"/>
      <c r="R127" s="495"/>
      <c r="S127" s="499" t="b">
        <f t="shared" si="29"/>
        <v>1</v>
      </c>
      <c r="T127" s="499" t="b">
        <f t="shared" si="29"/>
        <v>1</v>
      </c>
      <c r="U127" s="499" t="b">
        <f t="shared" si="29"/>
        <v>1</v>
      </c>
      <c r="V127" s="499" t="b">
        <f t="shared" si="29"/>
        <v>1</v>
      </c>
      <c r="W127" s="495"/>
      <c r="X127" s="499" t="b">
        <f t="shared" si="30"/>
        <v>1</v>
      </c>
      <c r="Y127" s="499" t="b">
        <f t="shared" si="30"/>
        <v>1</v>
      </c>
      <c r="Z127" s="499" t="b">
        <f t="shared" si="30"/>
        <v>1</v>
      </c>
      <c r="AA127" s="499" t="b">
        <f t="shared" si="30"/>
        <v>1</v>
      </c>
      <c r="AB127" s="495"/>
      <c r="AC127" s="499" t="b">
        <f t="shared" si="31"/>
        <v>1</v>
      </c>
      <c r="AD127" s="499" t="b">
        <f t="shared" si="31"/>
        <v>1</v>
      </c>
      <c r="AE127" s="499" t="b">
        <f t="shared" si="31"/>
        <v>1</v>
      </c>
      <c r="AF127" s="499" t="b">
        <f t="shared" si="31"/>
        <v>1</v>
      </c>
      <c r="AG127" s="499" t="b">
        <f t="shared" si="31"/>
        <v>1</v>
      </c>
      <c r="AH127" s="495"/>
      <c r="AI127" s="495"/>
      <c r="AJ127" s="495"/>
      <c r="AK127" s="495"/>
      <c r="AL127" s="495"/>
      <c r="AM127" s="495"/>
      <c r="AN127" s="495"/>
      <c r="AO127" s="495"/>
    </row>
    <row r="128" spans="3:41" x14ac:dyDescent="0.25">
      <c r="C128" s="82"/>
      <c r="D128" s="293"/>
      <c r="E128" s="293"/>
      <c r="F128" s="293" t="s">
        <v>1038</v>
      </c>
      <c r="G128" s="293" t="s">
        <v>1026</v>
      </c>
      <c r="J128" s="499" t="b">
        <f t="shared" si="32"/>
        <v>1</v>
      </c>
      <c r="K128" s="495"/>
      <c r="L128" s="495"/>
      <c r="M128" s="499" t="b">
        <f t="shared" si="28"/>
        <v>1</v>
      </c>
      <c r="N128" s="499" t="b">
        <f t="shared" si="28"/>
        <v>1</v>
      </c>
      <c r="O128" s="499" t="b">
        <f t="shared" si="28"/>
        <v>1</v>
      </c>
      <c r="P128" s="499" t="b">
        <f t="shared" si="28"/>
        <v>1</v>
      </c>
      <c r="Q128" s="495"/>
      <c r="R128" s="495"/>
      <c r="S128" s="499" t="b">
        <f t="shared" si="29"/>
        <v>1</v>
      </c>
      <c r="T128" s="499" t="b">
        <f t="shared" si="29"/>
        <v>1</v>
      </c>
      <c r="U128" s="499" t="b">
        <f t="shared" si="29"/>
        <v>1</v>
      </c>
      <c r="V128" s="499" t="b">
        <f t="shared" si="29"/>
        <v>1</v>
      </c>
      <c r="W128" s="495"/>
      <c r="X128" s="499" t="b">
        <f t="shared" si="30"/>
        <v>1</v>
      </c>
      <c r="Y128" s="499" t="b">
        <f t="shared" si="30"/>
        <v>1</v>
      </c>
      <c r="Z128" s="499" t="b">
        <f t="shared" si="30"/>
        <v>1</v>
      </c>
      <c r="AA128" s="499" t="b">
        <f t="shared" si="30"/>
        <v>1</v>
      </c>
      <c r="AB128" s="495"/>
      <c r="AC128" s="499" t="b">
        <f t="shared" si="31"/>
        <v>1</v>
      </c>
      <c r="AD128" s="499" t="b">
        <f t="shared" si="31"/>
        <v>1</v>
      </c>
      <c r="AE128" s="499" t="b">
        <f t="shared" si="31"/>
        <v>1</v>
      </c>
      <c r="AF128" s="499" t="b">
        <f t="shared" si="31"/>
        <v>1</v>
      </c>
      <c r="AG128" s="499" t="b">
        <f t="shared" si="31"/>
        <v>1</v>
      </c>
      <c r="AH128" s="495"/>
      <c r="AI128" s="495"/>
      <c r="AJ128" s="495"/>
      <c r="AK128" s="495"/>
      <c r="AL128" s="495"/>
      <c r="AM128" s="495"/>
      <c r="AN128" s="495"/>
      <c r="AO128" s="495"/>
    </row>
    <row r="129" spans="3:41" x14ac:dyDescent="0.25">
      <c r="C129" s="82"/>
      <c r="D129" s="293"/>
      <c r="E129" s="293"/>
      <c r="F129" s="293" t="s">
        <v>1039</v>
      </c>
      <c r="G129" s="293" t="s">
        <v>1026</v>
      </c>
      <c r="J129" s="499" t="b">
        <f t="shared" si="32"/>
        <v>1</v>
      </c>
      <c r="K129" s="495"/>
      <c r="L129" s="495"/>
      <c r="M129" s="499" t="b">
        <f t="shared" si="28"/>
        <v>1</v>
      </c>
      <c r="N129" s="499" t="b">
        <f t="shared" si="28"/>
        <v>1</v>
      </c>
      <c r="O129" s="499" t="b">
        <f t="shared" si="28"/>
        <v>1</v>
      </c>
      <c r="P129" s="499" t="b">
        <f t="shared" si="28"/>
        <v>1</v>
      </c>
      <c r="Q129" s="495"/>
      <c r="R129" s="495"/>
      <c r="S129" s="499" t="b">
        <f t="shared" si="29"/>
        <v>1</v>
      </c>
      <c r="T129" s="499" t="b">
        <f t="shared" si="29"/>
        <v>1</v>
      </c>
      <c r="U129" s="499" t="b">
        <f t="shared" si="29"/>
        <v>1</v>
      </c>
      <c r="V129" s="499" t="b">
        <f t="shared" si="29"/>
        <v>1</v>
      </c>
      <c r="W129" s="495"/>
      <c r="X129" s="499" t="b">
        <f t="shared" si="30"/>
        <v>1</v>
      </c>
      <c r="Y129" s="499" t="b">
        <f t="shared" si="30"/>
        <v>1</v>
      </c>
      <c r="Z129" s="499" t="b">
        <f t="shared" si="30"/>
        <v>1</v>
      </c>
      <c r="AA129" s="499" t="b">
        <f t="shared" si="30"/>
        <v>1</v>
      </c>
      <c r="AB129" s="495"/>
      <c r="AC129" s="499" t="b">
        <f t="shared" si="31"/>
        <v>1</v>
      </c>
      <c r="AD129" s="499" t="b">
        <f t="shared" si="31"/>
        <v>1</v>
      </c>
      <c r="AE129" s="499" t="b">
        <f t="shared" si="31"/>
        <v>1</v>
      </c>
      <c r="AF129" s="499" t="b">
        <f t="shared" si="31"/>
        <v>1</v>
      </c>
      <c r="AG129" s="499" t="b">
        <f t="shared" si="31"/>
        <v>1</v>
      </c>
      <c r="AH129" s="495"/>
      <c r="AI129" s="495"/>
      <c r="AJ129" s="495"/>
      <c r="AK129" s="495"/>
      <c r="AL129" s="495"/>
      <c r="AM129" s="495"/>
      <c r="AN129" s="495"/>
      <c r="AO129" s="495"/>
    </row>
    <row r="130" spans="3:41" x14ac:dyDescent="0.25">
      <c r="C130" s="82"/>
      <c r="D130" s="293"/>
      <c r="E130" s="293"/>
      <c r="F130" s="293" t="s">
        <v>1040</v>
      </c>
      <c r="G130" s="293" t="s">
        <v>1026</v>
      </c>
      <c r="J130" s="499" t="b">
        <f t="shared" si="32"/>
        <v>1</v>
      </c>
      <c r="K130" s="495"/>
      <c r="L130" s="495"/>
      <c r="M130" s="499" t="b">
        <f t="shared" si="28"/>
        <v>1</v>
      </c>
      <c r="N130" s="499" t="b">
        <f t="shared" si="28"/>
        <v>1</v>
      </c>
      <c r="O130" s="499" t="b">
        <f t="shared" si="28"/>
        <v>1</v>
      </c>
      <c r="P130" s="499" t="b">
        <f t="shared" si="28"/>
        <v>1</v>
      </c>
      <c r="Q130" s="495"/>
      <c r="R130" s="495"/>
      <c r="S130" s="499" t="b">
        <f t="shared" si="29"/>
        <v>1</v>
      </c>
      <c r="T130" s="499" t="b">
        <f t="shared" si="29"/>
        <v>1</v>
      </c>
      <c r="U130" s="499" t="b">
        <f t="shared" si="29"/>
        <v>1</v>
      </c>
      <c r="V130" s="499" t="b">
        <f t="shared" si="29"/>
        <v>1</v>
      </c>
      <c r="W130" s="495"/>
      <c r="X130" s="499" t="b">
        <f t="shared" si="30"/>
        <v>1</v>
      </c>
      <c r="Y130" s="499" t="b">
        <f t="shared" si="30"/>
        <v>1</v>
      </c>
      <c r="Z130" s="499" t="b">
        <f t="shared" si="30"/>
        <v>1</v>
      </c>
      <c r="AA130" s="499" t="b">
        <f t="shared" si="30"/>
        <v>1</v>
      </c>
      <c r="AB130" s="495"/>
      <c r="AC130" s="499" t="b">
        <f t="shared" si="31"/>
        <v>1</v>
      </c>
      <c r="AD130" s="499" t="b">
        <f t="shared" si="31"/>
        <v>1</v>
      </c>
      <c r="AE130" s="499" t="b">
        <f t="shared" si="31"/>
        <v>1</v>
      </c>
      <c r="AF130" s="499" t="b">
        <f t="shared" si="31"/>
        <v>1</v>
      </c>
      <c r="AG130" s="499" t="b">
        <f t="shared" si="31"/>
        <v>1</v>
      </c>
      <c r="AH130" s="495"/>
      <c r="AI130" s="495"/>
      <c r="AJ130" s="495"/>
      <c r="AK130" s="495"/>
      <c r="AL130" s="495"/>
      <c r="AM130" s="495"/>
      <c r="AN130" s="495"/>
      <c r="AO130" s="495"/>
    </row>
    <row r="131" spans="3:41" x14ac:dyDescent="0.25">
      <c r="C131" s="82"/>
      <c r="D131" s="293"/>
      <c r="E131" s="293"/>
      <c r="F131" s="293" t="s">
        <v>1041</v>
      </c>
      <c r="G131" s="293" t="s">
        <v>1026</v>
      </c>
      <c r="J131" s="499" t="b">
        <f t="shared" si="32"/>
        <v>1</v>
      </c>
      <c r="K131" s="495"/>
      <c r="L131" s="495"/>
      <c r="M131" s="499" t="b">
        <f t="shared" si="28"/>
        <v>1</v>
      </c>
      <c r="N131" s="499" t="b">
        <f t="shared" si="28"/>
        <v>1</v>
      </c>
      <c r="O131" s="499" t="b">
        <f t="shared" si="28"/>
        <v>1</v>
      </c>
      <c r="P131" s="499" t="b">
        <f t="shared" si="28"/>
        <v>1</v>
      </c>
      <c r="Q131" s="495"/>
      <c r="R131" s="495"/>
      <c r="S131" s="499" t="b">
        <f t="shared" si="29"/>
        <v>1</v>
      </c>
      <c r="T131" s="499" t="b">
        <f t="shared" si="29"/>
        <v>1</v>
      </c>
      <c r="U131" s="499" t="b">
        <f t="shared" si="29"/>
        <v>1</v>
      </c>
      <c r="V131" s="499" t="b">
        <f t="shared" si="29"/>
        <v>1</v>
      </c>
      <c r="W131" s="495"/>
      <c r="X131" s="499" t="b">
        <f t="shared" si="30"/>
        <v>1</v>
      </c>
      <c r="Y131" s="499" t="b">
        <f t="shared" si="30"/>
        <v>1</v>
      </c>
      <c r="Z131" s="499" t="b">
        <f t="shared" si="30"/>
        <v>1</v>
      </c>
      <c r="AA131" s="499" t="b">
        <f t="shared" si="30"/>
        <v>1</v>
      </c>
      <c r="AB131" s="495"/>
      <c r="AC131" s="499" t="b">
        <f t="shared" si="31"/>
        <v>1</v>
      </c>
      <c r="AD131" s="499" t="b">
        <f t="shared" si="31"/>
        <v>1</v>
      </c>
      <c r="AE131" s="499" t="b">
        <f t="shared" si="31"/>
        <v>1</v>
      </c>
      <c r="AF131" s="499" t="b">
        <f t="shared" si="31"/>
        <v>1</v>
      </c>
      <c r="AG131" s="499" t="b">
        <f t="shared" si="31"/>
        <v>1</v>
      </c>
      <c r="AH131" s="495"/>
      <c r="AI131" s="495"/>
      <c r="AJ131" s="495"/>
      <c r="AK131" s="495"/>
      <c r="AL131" s="495"/>
      <c r="AM131" s="495"/>
      <c r="AN131" s="495"/>
      <c r="AO131" s="495"/>
    </row>
    <row r="132" spans="3:41" x14ac:dyDescent="0.25">
      <c r="C132" s="82"/>
      <c r="D132" s="293"/>
      <c r="E132" s="293"/>
      <c r="F132" s="293" t="s">
        <v>1042</v>
      </c>
      <c r="G132" s="293" t="s">
        <v>1026</v>
      </c>
      <c r="J132" s="499" t="b">
        <f t="shared" si="32"/>
        <v>1</v>
      </c>
      <c r="K132" s="495"/>
      <c r="L132" s="495"/>
      <c r="M132" s="499" t="b">
        <f t="shared" si="28"/>
        <v>1</v>
      </c>
      <c r="N132" s="499" t="b">
        <f t="shared" si="28"/>
        <v>1</v>
      </c>
      <c r="O132" s="499" t="b">
        <f t="shared" si="28"/>
        <v>1</v>
      </c>
      <c r="P132" s="499" t="b">
        <f t="shared" si="28"/>
        <v>1</v>
      </c>
      <c r="Q132" s="495"/>
      <c r="R132" s="495"/>
      <c r="S132" s="499" t="b">
        <f t="shared" si="29"/>
        <v>1</v>
      </c>
      <c r="T132" s="499" t="b">
        <f t="shared" si="29"/>
        <v>1</v>
      </c>
      <c r="U132" s="499" t="b">
        <f t="shared" si="29"/>
        <v>1</v>
      </c>
      <c r="V132" s="499" t="b">
        <f t="shared" si="29"/>
        <v>1</v>
      </c>
      <c r="W132" s="495"/>
      <c r="X132" s="499" t="b">
        <f t="shared" si="30"/>
        <v>1</v>
      </c>
      <c r="Y132" s="499" t="b">
        <f t="shared" si="30"/>
        <v>1</v>
      </c>
      <c r="Z132" s="499" t="b">
        <f t="shared" si="30"/>
        <v>1</v>
      </c>
      <c r="AA132" s="499" t="b">
        <f t="shared" si="30"/>
        <v>1</v>
      </c>
      <c r="AB132" s="495"/>
      <c r="AC132" s="499" t="b">
        <f t="shared" si="31"/>
        <v>1</v>
      </c>
      <c r="AD132" s="499" t="b">
        <f t="shared" si="31"/>
        <v>1</v>
      </c>
      <c r="AE132" s="499" t="b">
        <f t="shared" si="31"/>
        <v>1</v>
      </c>
      <c r="AF132" s="499" t="b">
        <f t="shared" si="31"/>
        <v>1</v>
      </c>
      <c r="AG132" s="499" t="b">
        <f t="shared" si="31"/>
        <v>1</v>
      </c>
      <c r="AH132" s="495"/>
      <c r="AI132" s="495"/>
      <c r="AJ132" s="495"/>
      <c r="AK132" s="495"/>
      <c r="AL132" s="495"/>
      <c r="AM132" s="495"/>
      <c r="AN132" s="495"/>
      <c r="AO132" s="495"/>
    </row>
    <row r="133" spans="3:41" x14ac:dyDescent="0.25">
      <c r="C133" s="82"/>
      <c r="D133" s="293"/>
      <c r="E133" s="293"/>
      <c r="F133" s="93" t="s">
        <v>1043</v>
      </c>
      <c r="G133" s="93" t="s">
        <v>1026</v>
      </c>
      <c r="H133" s="93"/>
      <c r="I133" s="93"/>
      <c r="J133" s="500" t="b">
        <f t="shared" si="32"/>
        <v>1</v>
      </c>
      <c r="K133" s="497"/>
      <c r="L133" s="497"/>
      <c r="M133" s="500" t="b">
        <f t="shared" si="28"/>
        <v>1</v>
      </c>
      <c r="N133" s="500" t="b">
        <f t="shared" si="28"/>
        <v>1</v>
      </c>
      <c r="O133" s="500" t="b">
        <f t="shared" si="28"/>
        <v>1</v>
      </c>
      <c r="P133" s="500" t="b">
        <f t="shared" si="28"/>
        <v>1</v>
      </c>
      <c r="Q133" s="497"/>
      <c r="R133" s="497"/>
      <c r="S133" s="500" t="b">
        <f t="shared" si="29"/>
        <v>1</v>
      </c>
      <c r="T133" s="500" t="b">
        <f t="shared" si="29"/>
        <v>1</v>
      </c>
      <c r="U133" s="500" t="b">
        <f t="shared" si="29"/>
        <v>1</v>
      </c>
      <c r="V133" s="500" t="b">
        <f t="shared" si="29"/>
        <v>1</v>
      </c>
      <c r="W133" s="497"/>
      <c r="X133" s="500" t="b">
        <f t="shared" si="30"/>
        <v>1</v>
      </c>
      <c r="Y133" s="500" t="b">
        <f t="shared" si="30"/>
        <v>1</v>
      </c>
      <c r="Z133" s="500" t="b">
        <f t="shared" si="30"/>
        <v>1</v>
      </c>
      <c r="AA133" s="500" t="b">
        <f t="shared" si="30"/>
        <v>1</v>
      </c>
      <c r="AB133" s="497"/>
      <c r="AC133" s="500" t="b">
        <f t="shared" si="31"/>
        <v>1</v>
      </c>
      <c r="AD133" s="500" t="b">
        <f t="shared" si="31"/>
        <v>1</v>
      </c>
      <c r="AE133" s="500" t="b">
        <f t="shared" si="31"/>
        <v>1</v>
      </c>
      <c r="AF133" s="500" t="b">
        <f t="shared" si="31"/>
        <v>1</v>
      </c>
      <c r="AG133" s="500" t="b">
        <f t="shared" si="31"/>
        <v>1</v>
      </c>
      <c r="AH133" s="497"/>
      <c r="AI133" s="497"/>
      <c r="AJ133" s="497"/>
      <c r="AK133" s="497"/>
      <c r="AL133" s="497"/>
      <c r="AM133" s="497"/>
      <c r="AN133" s="497"/>
      <c r="AO133" s="497"/>
    </row>
    <row r="134" spans="3:41" x14ac:dyDescent="0.25">
      <c r="C134" s="82"/>
      <c r="D134" s="293"/>
      <c r="E134" s="293"/>
      <c r="J134" s="237"/>
      <c r="K134" s="237"/>
      <c r="L134" s="237"/>
      <c r="M134" s="499"/>
      <c r="N134" s="499"/>
      <c r="O134" s="499"/>
      <c r="P134" s="499"/>
      <c r="Q134" s="237"/>
      <c r="R134" s="237"/>
      <c r="S134" s="499"/>
      <c r="T134" s="499"/>
      <c r="U134" s="499"/>
      <c r="V134" s="499"/>
      <c r="W134" s="237"/>
      <c r="X134" s="499"/>
      <c r="Y134" s="499"/>
      <c r="Z134" s="499"/>
      <c r="AA134" s="499"/>
      <c r="AB134" s="237"/>
      <c r="AC134" s="499"/>
      <c r="AD134" s="499"/>
      <c r="AE134" s="499"/>
      <c r="AF134" s="499"/>
      <c r="AG134" s="237"/>
      <c r="AH134" s="237"/>
      <c r="AI134" s="237"/>
      <c r="AJ134" s="237"/>
      <c r="AK134" s="237"/>
      <c r="AL134" s="237"/>
      <c r="AM134" s="237"/>
      <c r="AN134" s="237"/>
      <c r="AO134" s="237"/>
    </row>
    <row r="135" spans="3:41" x14ac:dyDescent="0.25">
      <c r="C135" s="82"/>
      <c r="D135" s="293"/>
      <c r="E135" s="96" t="s">
        <v>1120</v>
      </c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25">
      <c r="C136" s="82"/>
      <c r="D136" s="293"/>
      <c r="E136" s="293"/>
      <c r="F136" s="91" t="s">
        <v>1036</v>
      </c>
      <c r="G136" s="91" t="s">
        <v>427</v>
      </c>
      <c r="H136" s="91"/>
      <c r="I136" s="91"/>
      <c r="J136" s="498">
        <f t="shared" ref="J136:J143" si="33">COUNTIFS($J126:$AO126,TRUE,$J$35:$AO$35,J$35)</f>
        <v>1</v>
      </c>
      <c r="K136" s="493"/>
      <c r="L136" s="493"/>
      <c r="M136" s="498">
        <f t="shared" ref="M136:P143" si="34">COUNTIFS($J126:$AO126,TRUE,$J$35:$AO$35,M$35)</f>
        <v>4</v>
      </c>
      <c r="N136" s="498">
        <f t="shared" si="34"/>
        <v>4</v>
      </c>
      <c r="O136" s="498">
        <f t="shared" si="34"/>
        <v>4</v>
      </c>
      <c r="P136" s="498">
        <f t="shared" si="34"/>
        <v>4</v>
      </c>
      <c r="Q136" s="493"/>
      <c r="R136" s="493"/>
      <c r="S136" s="498">
        <f t="shared" ref="S136:V143" si="35">COUNTIFS($J126:$AO126,TRUE,$J$35:$AO$35,S$35)</f>
        <v>8</v>
      </c>
      <c r="T136" s="498">
        <f t="shared" si="35"/>
        <v>8</v>
      </c>
      <c r="U136" s="498">
        <f t="shared" si="35"/>
        <v>8</v>
      </c>
      <c r="V136" s="498">
        <f t="shared" si="35"/>
        <v>8</v>
      </c>
      <c r="W136" s="493"/>
      <c r="X136" s="498">
        <f t="shared" ref="X136:AA143" si="36">COUNTIFS($J126:$AO126,TRUE,$J$35:$AO$35,X$35)</f>
        <v>8</v>
      </c>
      <c r="Y136" s="498">
        <f t="shared" si="36"/>
        <v>8</v>
      </c>
      <c r="Z136" s="498">
        <f t="shared" si="36"/>
        <v>8</v>
      </c>
      <c r="AA136" s="498">
        <f t="shared" si="36"/>
        <v>8</v>
      </c>
      <c r="AB136" s="493"/>
      <c r="AC136" s="498">
        <f t="shared" ref="AC136:AG143" si="37">COUNTIFS($J126:$AO126,TRUE,$J$35:$AO$35,AC$35)</f>
        <v>4</v>
      </c>
      <c r="AD136" s="498">
        <f t="shared" si="37"/>
        <v>4</v>
      </c>
      <c r="AE136" s="498">
        <f t="shared" si="37"/>
        <v>4</v>
      </c>
      <c r="AF136" s="498">
        <f t="shared" si="37"/>
        <v>4</v>
      </c>
      <c r="AG136" s="498">
        <f t="shared" si="37"/>
        <v>1</v>
      </c>
      <c r="AH136" s="493"/>
      <c r="AI136" s="493"/>
      <c r="AJ136" s="493"/>
      <c r="AK136" s="493"/>
      <c r="AL136" s="493"/>
      <c r="AM136" s="493"/>
      <c r="AN136" s="493"/>
      <c r="AO136" s="493"/>
    </row>
    <row r="137" spans="3:41" x14ac:dyDescent="0.25">
      <c r="C137" s="82"/>
      <c r="D137" s="293"/>
      <c r="E137" s="293"/>
      <c r="F137" s="293" t="s">
        <v>1037</v>
      </c>
      <c r="G137" s="293" t="s">
        <v>427</v>
      </c>
      <c r="J137" s="499">
        <f t="shared" si="33"/>
        <v>1</v>
      </c>
      <c r="K137" s="495"/>
      <c r="L137" s="495"/>
      <c r="M137" s="499">
        <f t="shared" si="34"/>
        <v>4</v>
      </c>
      <c r="N137" s="499">
        <f t="shared" si="34"/>
        <v>4</v>
      </c>
      <c r="O137" s="499">
        <f t="shared" si="34"/>
        <v>4</v>
      </c>
      <c r="P137" s="499">
        <f t="shared" si="34"/>
        <v>4</v>
      </c>
      <c r="Q137" s="495"/>
      <c r="R137" s="495"/>
      <c r="S137" s="499">
        <f t="shared" si="35"/>
        <v>8</v>
      </c>
      <c r="T137" s="499">
        <f t="shared" si="35"/>
        <v>8</v>
      </c>
      <c r="U137" s="499">
        <f t="shared" si="35"/>
        <v>8</v>
      </c>
      <c r="V137" s="499">
        <f t="shared" si="35"/>
        <v>8</v>
      </c>
      <c r="W137" s="495"/>
      <c r="X137" s="499">
        <f t="shared" si="36"/>
        <v>8</v>
      </c>
      <c r="Y137" s="499">
        <f t="shared" si="36"/>
        <v>8</v>
      </c>
      <c r="Z137" s="499">
        <f t="shared" si="36"/>
        <v>8</v>
      </c>
      <c r="AA137" s="499">
        <f t="shared" si="36"/>
        <v>8</v>
      </c>
      <c r="AB137" s="495"/>
      <c r="AC137" s="499">
        <f t="shared" si="37"/>
        <v>4</v>
      </c>
      <c r="AD137" s="499">
        <f t="shared" si="37"/>
        <v>4</v>
      </c>
      <c r="AE137" s="499">
        <f t="shared" si="37"/>
        <v>4</v>
      </c>
      <c r="AF137" s="499">
        <f t="shared" si="37"/>
        <v>4</v>
      </c>
      <c r="AG137" s="499">
        <f t="shared" si="37"/>
        <v>1</v>
      </c>
      <c r="AH137" s="495"/>
      <c r="AI137" s="495"/>
      <c r="AJ137" s="495"/>
      <c r="AK137" s="495"/>
      <c r="AL137" s="495"/>
      <c r="AM137" s="495"/>
      <c r="AN137" s="495"/>
      <c r="AO137" s="495"/>
    </row>
    <row r="138" spans="3:41" x14ac:dyDescent="0.25">
      <c r="C138" s="82"/>
      <c r="D138" s="293"/>
      <c r="E138" s="293"/>
      <c r="F138" s="293" t="s">
        <v>1038</v>
      </c>
      <c r="G138" s="293" t="s">
        <v>427</v>
      </c>
      <c r="J138" s="499">
        <f t="shared" si="33"/>
        <v>1</v>
      </c>
      <c r="K138" s="495"/>
      <c r="L138" s="495"/>
      <c r="M138" s="499">
        <f t="shared" si="34"/>
        <v>4</v>
      </c>
      <c r="N138" s="499">
        <f t="shared" si="34"/>
        <v>4</v>
      </c>
      <c r="O138" s="499">
        <f t="shared" si="34"/>
        <v>4</v>
      </c>
      <c r="P138" s="499">
        <f t="shared" si="34"/>
        <v>4</v>
      </c>
      <c r="Q138" s="495"/>
      <c r="R138" s="495"/>
      <c r="S138" s="499">
        <f t="shared" si="35"/>
        <v>8</v>
      </c>
      <c r="T138" s="499">
        <f t="shared" si="35"/>
        <v>8</v>
      </c>
      <c r="U138" s="499">
        <f t="shared" si="35"/>
        <v>8</v>
      </c>
      <c r="V138" s="499">
        <f t="shared" si="35"/>
        <v>8</v>
      </c>
      <c r="W138" s="495"/>
      <c r="X138" s="499">
        <f t="shared" si="36"/>
        <v>8</v>
      </c>
      <c r="Y138" s="499">
        <f t="shared" si="36"/>
        <v>8</v>
      </c>
      <c r="Z138" s="499">
        <f t="shared" si="36"/>
        <v>8</v>
      </c>
      <c r="AA138" s="499">
        <f t="shared" si="36"/>
        <v>8</v>
      </c>
      <c r="AB138" s="495"/>
      <c r="AC138" s="499">
        <f t="shared" si="37"/>
        <v>4</v>
      </c>
      <c r="AD138" s="499">
        <f t="shared" si="37"/>
        <v>4</v>
      </c>
      <c r="AE138" s="499">
        <f t="shared" si="37"/>
        <v>4</v>
      </c>
      <c r="AF138" s="499">
        <f t="shared" si="37"/>
        <v>4</v>
      </c>
      <c r="AG138" s="499">
        <f t="shared" si="37"/>
        <v>1</v>
      </c>
      <c r="AH138" s="495"/>
      <c r="AI138" s="495"/>
      <c r="AJ138" s="495"/>
      <c r="AK138" s="495"/>
      <c r="AL138" s="495"/>
      <c r="AM138" s="495"/>
      <c r="AN138" s="495"/>
      <c r="AO138" s="495"/>
    </row>
    <row r="139" spans="3:41" x14ac:dyDescent="0.25">
      <c r="C139" s="82"/>
      <c r="D139" s="293"/>
      <c r="E139" s="293"/>
      <c r="F139" s="293" t="s">
        <v>1039</v>
      </c>
      <c r="G139" s="293" t="s">
        <v>427</v>
      </c>
      <c r="J139" s="499">
        <f t="shared" si="33"/>
        <v>1</v>
      </c>
      <c r="K139" s="495"/>
      <c r="L139" s="495"/>
      <c r="M139" s="499">
        <f t="shared" si="34"/>
        <v>4</v>
      </c>
      <c r="N139" s="499">
        <f t="shared" si="34"/>
        <v>4</v>
      </c>
      <c r="O139" s="499">
        <f t="shared" si="34"/>
        <v>4</v>
      </c>
      <c r="P139" s="499">
        <f t="shared" si="34"/>
        <v>4</v>
      </c>
      <c r="Q139" s="495"/>
      <c r="R139" s="495"/>
      <c r="S139" s="499">
        <f t="shared" si="35"/>
        <v>8</v>
      </c>
      <c r="T139" s="499">
        <f t="shared" si="35"/>
        <v>8</v>
      </c>
      <c r="U139" s="499">
        <f t="shared" si="35"/>
        <v>8</v>
      </c>
      <c r="V139" s="499">
        <f t="shared" si="35"/>
        <v>8</v>
      </c>
      <c r="W139" s="495"/>
      <c r="X139" s="499">
        <f t="shared" si="36"/>
        <v>8</v>
      </c>
      <c r="Y139" s="499">
        <f t="shared" si="36"/>
        <v>8</v>
      </c>
      <c r="Z139" s="499">
        <f t="shared" si="36"/>
        <v>8</v>
      </c>
      <c r="AA139" s="499">
        <f t="shared" si="36"/>
        <v>8</v>
      </c>
      <c r="AB139" s="495"/>
      <c r="AC139" s="499">
        <f t="shared" si="37"/>
        <v>4</v>
      </c>
      <c r="AD139" s="499">
        <f t="shared" si="37"/>
        <v>4</v>
      </c>
      <c r="AE139" s="499">
        <f t="shared" si="37"/>
        <v>4</v>
      </c>
      <c r="AF139" s="499">
        <f t="shared" si="37"/>
        <v>4</v>
      </c>
      <c r="AG139" s="499">
        <f t="shared" si="37"/>
        <v>1</v>
      </c>
      <c r="AH139" s="495"/>
      <c r="AI139" s="495"/>
      <c r="AJ139" s="495"/>
      <c r="AK139" s="495"/>
      <c r="AL139" s="495"/>
      <c r="AM139" s="495"/>
      <c r="AN139" s="495"/>
      <c r="AO139" s="495"/>
    </row>
    <row r="140" spans="3:41" x14ac:dyDescent="0.25">
      <c r="C140" s="82"/>
      <c r="D140" s="293"/>
      <c r="E140" s="293"/>
      <c r="F140" s="293" t="s">
        <v>1040</v>
      </c>
      <c r="G140" s="293" t="s">
        <v>427</v>
      </c>
      <c r="J140" s="499">
        <f t="shared" si="33"/>
        <v>1</v>
      </c>
      <c r="K140" s="495"/>
      <c r="L140" s="495"/>
      <c r="M140" s="499">
        <f t="shared" si="34"/>
        <v>4</v>
      </c>
      <c r="N140" s="499">
        <f t="shared" si="34"/>
        <v>4</v>
      </c>
      <c r="O140" s="499">
        <f t="shared" si="34"/>
        <v>4</v>
      </c>
      <c r="P140" s="499">
        <f t="shared" si="34"/>
        <v>4</v>
      </c>
      <c r="Q140" s="495"/>
      <c r="R140" s="495"/>
      <c r="S140" s="499">
        <f t="shared" si="35"/>
        <v>8</v>
      </c>
      <c r="T140" s="499">
        <f t="shared" si="35"/>
        <v>8</v>
      </c>
      <c r="U140" s="499">
        <f t="shared" si="35"/>
        <v>8</v>
      </c>
      <c r="V140" s="499">
        <f t="shared" si="35"/>
        <v>8</v>
      </c>
      <c r="W140" s="495"/>
      <c r="X140" s="499">
        <f t="shared" si="36"/>
        <v>8</v>
      </c>
      <c r="Y140" s="499">
        <f t="shared" si="36"/>
        <v>8</v>
      </c>
      <c r="Z140" s="499">
        <f t="shared" si="36"/>
        <v>8</v>
      </c>
      <c r="AA140" s="499">
        <f t="shared" si="36"/>
        <v>8</v>
      </c>
      <c r="AB140" s="495"/>
      <c r="AC140" s="499">
        <f t="shared" si="37"/>
        <v>4</v>
      </c>
      <c r="AD140" s="499">
        <f t="shared" si="37"/>
        <v>4</v>
      </c>
      <c r="AE140" s="499">
        <f t="shared" si="37"/>
        <v>4</v>
      </c>
      <c r="AF140" s="499">
        <f t="shared" si="37"/>
        <v>4</v>
      </c>
      <c r="AG140" s="499">
        <f t="shared" si="37"/>
        <v>1</v>
      </c>
      <c r="AH140" s="495"/>
      <c r="AI140" s="495"/>
      <c r="AJ140" s="495"/>
      <c r="AK140" s="495"/>
      <c r="AL140" s="495"/>
      <c r="AM140" s="495"/>
      <c r="AN140" s="495"/>
      <c r="AO140" s="495"/>
    </row>
    <row r="141" spans="3:41" x14ac:dyDescent="0.25">
      <c r="C141" s="82"/>
      <c r="D141" s="293"/>
      <c r="E141" s="293"/>
      <c r="F141" s="293" t="s">
        <v>1041</v>
      </c>
      <c r="G141" s="293" t="s">
        <v>427</v>
      </c>
      <c r="J141" s="499">
        <f t="shared" si="33"/>
        <v>1</v>
      </c>
      <c r="K141" s="495"/>
      <c r="L141" s="495"/>
      <c r="M141" s="499">
        <f t="shared" si="34"/>
        <v>4</v>
      </c>
      <c r="N141" s="499">
        <f t="shared" si="34"/>
        <v>4</v>
      </c>
      <c r="O141" s="499">
        <f t="shared" si="34"/>
        <v>4</v>
      </c>
      <c r="P141" s="499">
        <f t="shared" si="34"/>
        <v>4</v>
      </c>
      <c r="Q141" s="495"/>
      <c r="R141" s="495"/>
      <c r="S141" s="499">
        <f t="shared" si="35"/>
        <v>8</v>
      </c>
      <c r="T141" s="499">
        <f t="shared" si="35"/>
        <v>8</v>
      </c>
      <c r="U141" s="499">
        <f t="shared" si="35"/>
        <v>8</v>
      </c>
      <c r="V141" s="499">
        <f t="shared" si="35"/>
        <v>8</v>
      </c>
      <c r="W141" s="495"/>
      <c r="X141" s="499">
        <f t="shared" si="36"/>
        <v>8</v>
      </c>
      <c r="Y141" s="499">
        <f t="shared" si="36"/>
        <v>8</v>
      </c>
      <c r="Z141" s="499">
        <f t="shared" si="36"/>
        <v>8</v>
      </c>
      <c r="AA141" s="499">
        <f t="shared" si="36"/>
        <v>8</v>
      </c>
      <c r="AB141" s="495"/>
      <c r="AC141" s="499">
        <f t="shared" si="37"/>
        <v>4</v>
      </c>
      <c r="AD141" s="499">
        <f t="shared" si="37"/>
        <v>4</v>
      </c>
      <c r="AE141" s="499">
        <f t="shared" si="37"/>
        <v>4</v>
      </c>
      <c r="AF141" s="499">
        <f t="shared" si="37"/>
        <v>4</v>
      </c>
      <c r="AG141" s="499">
        <f t="shared" si="37"/>
        <v>1</v>
      </c>
      <c r="AH141" s="495"/>
      <c r="AI141" s="495"/>
      <c r="AJ141" s="495"/>
      <c r="AK141" s="495"/>
      <c r="AL141" s="495"/>
      <c r="AM141" s="495"/>
      <c r="AN141" s="495"/>
      <c r="AO141" s="495"/>
    </row>
    <row r="142" spans="3:41" x14ac:dyDescent="0.25">
      <c r="C142" s="82"/>
      <c r="D142" s="293"/>
      <c r="E142" s="293"/>
      <c r="F142" s="293" t="s">
        <v>1042</v>
      </c>
      <c r="G142" s="293" t="s">
        <v>427</v>
      </c>
      <c r="J142" s="499">
        <f t="shared" si="33"/>
        <v>1</v>
      </c>
      <c r="K142" s="495"/>
      <c r="L142" s="495"/>
      <c r="M142" s="499">
        <f t="shared" si="34"/>
        <v>4</v>
      </c>
      <c r="N142" s="499">
        <f t="shared" si="34"/>
        <v>4</v>
      </c>
      <c r="O142" s="499">
        <f t="shared" si="34"/>
        <v>4</v>
      </c>
      <c r="P142" s="499">
        <f t="shared" si="34"/>
        <v>4</v>
      </c>
      <c r="Q142" s="495"/>
      <c r="R142" s="495"/>
      <c r="S142" s="499">
        <f t="shared" si="35"/>
        <v>8</v>
      </c>
      <c r="T142" s="499">
        <f t="shared" si="35"/>
        <v>8</v>
      </c>
      <c r="U142" s="499">
        <f t="shared" si="35"/>
        <v>8</v>
      </c>
      <c r="V142" s="499">
        <f t="shared" si="35"/>
        <v>8</v>
      </c>
      <c r="W142" s="495"/>
      <c r="X142" s="499">
        <f t="shared" si="36"/>
        <v>8</v>
      </c>
      <c r="Y142" s="499">
        <f t="shared" si="36"/>
        <v>8</v>
      </c>
      <c r="Z142" s="499">
        <f t="shared" si="36"/>
        <v>8</v>
      </c>
      <c r="AA142" s="499">
        <f t="shared" si="36"/>
        <v>8</v>
      </c>
      <c r="AB142" s="495"/>
      <c r="AC142" s="499">
        <f t="shared" si="37"/>
        <v>4</v>
      </c>
      <c r="AD142" s="499">
        <f t="shared" si="37"/>
        <v>4</v>
      </c>
      <c r="AE142" s="499">
        <f t="shared" si="37"/>
        <v>4</v>
      </c>
      <c r="AF142" s="499">
        <f t="shared" si="37"/>
        <v>4</v>
      </c>
      <c r="AG142" s="499">
        <f t="shared" si="37"/>
        <v>1</v>
      </c>
      <c r="AH142" s="495"/>
      <c r="AI142" s="495"/>
      <c r="AJ142" s="495"/>
      <c r="AK142" s="495"/>
      <c r="AL142" s="495"/>
      <c r="AM142" s="495"/>
      <c r="AN142" s="495"/>
      <c r="AO142" s="495"/>
    </row>
    <row r="143" spans="3:41" x14ac:dyDescent="0.25">
      <c r="C143" s="82"/>
      <c r="D143" s="293"/>
      <c r="E143" s="293"/>
      <c r="F143" s="93" t="s">
        <v>1043</v>
      </c>
      <c r="G143" s="93" t="s">
        <v>427</v>
      </c>
      <c r="H143" s="93"/>
      <c r="I143" s="93"/>
      <c r="J143" s="500">
        <f t="shared" si="33"/>
        <v>1</v>
      </c>
      <c r="K143" s="497"/>
      <c r="L143" s="497"/>
      <c r="M143" s="500">
        <f t="shared" si="34"/>
        <v>4</v>
      </c>
      <c r="N143" s="500">
        <f t="shared" si="34"/>
        <v>4</v>
      </c>
      <c r="O143" s="500">
        <f t="shared" si="34"/>
        <v>4</v>
      </c>
      <c r="P143" s="500">
        <f t="shared" si="34"/>
        <v>4</v>
      </c>
      <c r="Q143" s="497"/>
      <c r="R143" s="497"/>
      <c r="S143" s="500">
        <f t="shared" si="35"/>
        <v>8</v>
      </c>
      <c r="T143" s="500">
        <f t="shared" si="35"/>
        <v>8</v>
      </c>
      <c r="U143" s="500">
        <f t="shared" si="35"/>
        <v>8</v>
      </c>
      <c r="V143" s="500">
        <f t="shared" si="35"/>
        <v>8</v>
      </c>
      <c r="W143" s="497"/>
      <c r="X143" s="500">
        <f t="shared" si="36"/>
        <v>8</v>
      </c>
      <c r="Y143" s="500">
        <f t="shared" si="36"/>
        <v>8</v>
      </c>
      <c r="Z143" s="500">
        <f t="shared" si="36"/>
        <v>8</v>
      </c>
      <c r="AA143" s="500">
        <f t="shared" si="36"/>
        <v>8</v>
      </c>
      <c r="AB143" s="497"/>
      <c r="AC143" s="500">
        <f t="shared" si="37"/>
        <v>4</v>
      </c>
      <c r="AD143" s="500">
        <f t="shared" si="37"/>
        <v>4</v>
      </c>
      <c r="AE143" s="500">
        <f t="shared" si="37"/>
        <v>4</v>
      </c>
      <c r="AF143" s="500">
        <f t="shared" si="37"/>
        <v>4</v>
      </c>
      <c r="AG143" s="500">
        <f t="shared" si="37"/>
        <v>1</v>
      </c>
      <c r="AH143" s="497"/>
      <c r="AI143" s="497"/>
      <c r="AJ143" s="497"/>
      <c r="AK143" s="497"/>
      <c r="AL143" s="497"/>
      <c r="AM143" s="497"/>
      <c r="AN143" s="497"/>
      <c r="AO143" s="497"/>
    </row>
    <row r="144" spans="3:41" x14ac:dyDescent="0.25">
      <c r="C144" s="82"/>
      <c r="D144" s="293"/>
      <c r="E144" s="293"/>
      <c r="J144" s="237"/>
      <c r="K144" s="237"/>
      <c r="L144" s="237"/>
      <c r="M144" s="499"/>
      <c r="N144" s="237"/>
      <c r="O144" s="237"/>
      <c r="P144" s="237"/>
      <c r="Q144" s="237"/>
      <c r="R144" s="237"/>
      <c r="S144" s="499"/>
      <c r="T144" s="237"/>
      <c r="U144" s="237"/>
      <c r="V144" s="237"/>
      <c r="W144" s="237"/>
      <c r="X144" s="499"/>
      <c r="Y144" s="237"/>
      <c r="Z144" s="237"/>
      <c r="AA144" s="237"/>
      <c r="AB144" s="237"/>
      <c r="AC144" s="499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</row>
    <row r="145" spans="3:41" x14ac:dyDescent="0.25">
      <c r="C145" s="82"/>
      <c r="D145" s="293"/>
      <c r="E145" s="293" t="s">
        <v>1121</v>
      </c>
      <c r="J145" s="499">
        <f>MAX(J136:J143)</f>
        <v>1</v>
      </c>
      <c r="K145" s="495"/>
      <c r="L145" s="495"/>
      <c r="M145" s="499">
        <f t="shared" ref="M145:P145" si="38">MAX(M136:M143)</f>
        <v>4</v>
      </c>
      <c r="N145" s="499">
        <f t="shared" si="38"/>
        <v>4</v>
      </c>
      <c r="O145" s="499">
        <f t="shared" si="38"/>
        <v>4</v>
      </c>
      <c r="P145" s="499">
        <f t="shared" si="38"/>
        <v>4</v>
      </c>
      <c r="Q145" s="495"/>
      <c r="R145" s="495"/>
      <c r="S145" s="499">
        <f t="shared" ref="S145:V145" si="39">MAX(S136:S143)</f>
        <v>8</v>
      </c>
      <c r="T145" s="499">
        <f t="shared" si="39"/>
        <v>8</v>
      </c>
      <c r="U145" s="499">
        <f t="shared" si="39"/>
        <v>8</v>
      </c>
      <c r="V145" s="499">
        <f t="shared" si="39"/>
        <v>8</v>
      </c>
      <c r="W145" s="495"/>
      <c r="X145" s="499">
        <f t="shared" ref="X145:AA145" si="40">MAX(X136:X143)</f>
        <v>8</v>
      </c>
      <c r="Y145" s="499">
        <f t="shared" si="40"/>
        <v>8</v>
      </c>
      <c r="Z145" s="499">
        <f t="shared" si="40"/>
        <v>8</v>
      </c>
      <c r="AA145" s="499">
        <f t="shared" si="40"/>
        <v>8</v>
      </c>
      <c r="AB145" s="495"/>
      <c r="AC145" s="499">
        <f t="shared" ref="AC145:AG145" si="41">MAX(AC136:AC143)</f>
        <v>4</v>
      </c>
      <c r="AD145" s="499">
        <f t="shared" si="41"/>
        <v>4</v>
      </c>
      <c r="AE145" s="499">
        <f t="shared" si="41"/>
        <v>4</v>
      </c>
      <c r="AF145" s="499">
        <f t="shared" si="41"/>
        <v>4</v>
      </c>
      <c r="AG145" s="499">
        <f t="shared" si="41"/>
        <v>1</v>
      </c>
      <c r="AH145" s="495"/>
      <c r="AI145" s="495"/>
      <c r="AJ145" s="495"/>
      <c r="AK145" s="495"/>
      <c r="AL145" s="495"/>
      <c r="AM145" s="495"/>
      <c r="AN145" s="495"/>
      <c r="AO145" s="495"/>
    </row>
    <row r="146" spans="3:41" x14ac:dyDescent="0.25">
      <c r="C146" s="82"/>
      <c r="D146" s="293"/>
      <c r="E146" s="293"/>
      <c r="J146" s="237"/>
      <c r="K146" s="237"/>
      <c r="L146" s="237"/>
      <c r="M146" s="499"/>
      <c r="N146" s="237"/>
      <c r="O146" s="237"/>
      <c r="P146" s="237"/>
      <c r="Q146" s="237"/>
      <c r="R146" s="237"/>
      <c r="S146" s="499"/>
      <c r="T146" s="237"/>
      <c r="U146" s="237"/>
      <c r="V146" s="237"/>
      <c r="W146" s="237"/>
      <c r="X146" s="499"/>
      <c r="Y146" s="237"/>
      <c r="Z146" s="237"/>
      <c r="AA146" s="237"/>
      <c r="AB146" s="237"/>
      <c r="AC146" s="499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</row>
    <row r="147" spans="3:41" x14ac:dyDescent="0.25">
      <c r="C147" s="82"/>
      <c r="D147" s="293"/>
      <c r="E147" s="293" t="s">
        <v>1122</v>
      </c>
      <c r="G147" s="293" t="s">
        <v>427</v>
      </c>
      <c r="J147" s="499">
        <f t="array" ref="J147">MATCH(TRUE, J136:J143=J145, 0)</f>
        <v>1</v>
      </c>
      <c r="K147" s="499">
        <f t="array" ref="K147">MATCH(TRUE, K136:K143=K145, 0)</f>
        <v>1</v>
      </c>
      <c r="L147" s="499">
        <f t="array" ref="L147">MATCH(TRUE, L136:L143=L145, 0)</f>
        <v>1</v>
      </c>
      <c r="M147" s="499">
        <f t="array" ref="M147">MATCH(TRUE, M136:M143=M145, 0)</f>
        <v>1</v>
      </c>
      <c r="N147" s="499">
        <f t="array" ref="N147">MATCH(TRUE, N136:N143=N145, 0)</f>
        <v>1</v>
      </c>
      <c r="O147" s="499">
        <f t="array" ref="O147">MATCH(TRUE, O136:O143=O145, 0)</f>
        <v>1</v>
      </c>
      <c r="P147" s="499">
        <f t="array" ref="P147">MATCH(TRUE, P136:P143=P145, 0)</f>
        <v>1</v>
      </c>
      <c r="Q147" s="499">
        <f t="array" ref="Q147">MATCH(TRUE, Q136:Q143=Q145, 0)</f>
        <v>1</v>
      </c>
      <c r="R147" s="499">
        <f t="array" ref="R147">MATCH(TRUE, R136:R143=R145, 0)</f>
        <v>1</v>
      </c>
      <c r="S147" s="499">
        <f t="array" ref="S147">MATCH(TRUE, S136:S143=S145, 0)</f>
        <v>1</v>
      </c>
      <c r="T147" s="499">
        <f t="array" ref="T147">MATCH(TRUE, T136:T143=T145, 0)</f>
        <v>1</v>
      </c>
      <c r="U147" s="499">
        <f t="array" ref="U147">MATCH(TRUE, U136:U143=U145, 0)</f>
        <v>1</v>
      </c>
      <c r="V147" s="499">
        <f t="array" ref="V147">MATCH(TRUE, V136:V143=V145, 0)</f>
        <v>1</v>
      </c>
      <c r="W147" s="499">
        <f t="array" ref="W147">MATCH(TRUE, W136:W143=W145, 0)</f>
        <v>1</v>
      </c>
      <c r="X147" s="499">
        <f t="array" ref="X147">MATCH(TRUE, X136:X143=X145, 0)</f>
        <v>1</v>
      </c>
      <c r="Y147" s="499">
        <f t="array" ref="Y147">MATCH(TRUE, Y136:Y143=Y145, 0)</f>
        <v>1</v>
      </c>
      <c r="Z147" s="499">
        <f t="array" ref="Z147">MATCH(TRUE, Z136:Z143=Z145, 0)</f>
        <v>1</v>
      </c>
      <c r="AA147" s="499">
        <f t="array" ref="AA147">MATCH(TRUE, AA136:AA143=AA145, 0)</f>
        <v>1</v>
      </c>
      <c r="AB147" s="499">
        <f t="array" ref="AB147">MATCH(TRUE, AB136:AB143=AB145, 0)</f>
        <v>1</v>
      </c>
      <c r="AC147" s="499">
        <f t="array" ref="AC147">MATCH(TRUE, AC136:AC143=AC145, 0)</f>
        <v>1</v>
      </c>
      <c r="AD147" s="499">
        <f t="array" ref="AD147">MATCH(TRUE, AD136:AD143=AD145, 0)</f>
        <v>1</v>
      </c>
      <c r="AE147" s="499">
        <f t="array" ref="AE147">MATCH(TRUE, AE136:AE143=AE145, 0)</f>
        <v>1</v>
      </c>
      <c r="AF147" s="499">
        <f t="array" ref="AF147">MATCH(TRUE, AF136:AF143=AF145, 0)</f>
        <v>1</v>
      </c>
      <c r="AG147" s="499">
        <f t="array" ref="AG147">MATCH(TRUE, AG136:AG143=AG145, 0)</f>
        <v>1</v>
      </c>
      <c r="AH147" s="499">
        <f t="array" ref="AH147">MATCH(TRUE, AH136:AH143=AH145, 0)</f>
        <v>1</v>
      </c>
      <c r="AI147" s="499">
        <f t="array" ref="AI147">MATCH(TRUE, AI136:AI143=AI145, 0)</f>
        <v>1</v>
      </c>
      <c r="AJ147" s="499">
        <f t="array" ref="AJ147">MATCH(TRUE, AJ136:AJ143=AJ145, 0)</f>
        <v>1</v>
      </c>
      <c r="AK147" s="499">
        <f t="array" ref="AK147">MATCH(TRUE, AK136:AK143=AK145, 0)</f>
        <v>1</v>
      </c>
      <c r="AL147" s="499">
        <f t="array" ref="AL147">MATCH(TRUE, AL136:AL143=AL145, 0)</f>
        <v>1</v>
      </c>
      <c r="AM147" s="499">
        <f t="array" ref="AM147">MATCH(TRUE, AM136:AM143=AM145, 0)</f>
        <v>1</v>
      </c>
      <c r="AN147" s="499">
        <f t="array" ref="AN147">MATCH(TRUE, AN136:AN143=AN145, 0)</f>
        <v>1</v>
      </c>
      <c r="AO147" s="499">
        <f t="array" ref="AO147">MATCH(TRUE, AO136:AO143=AO145, 0)</f>
        <v>1</v>
      </c>
    </row>
    <row r="148" spans="3:41" x14ac:dyDescent="0.25">
      <c r="C148" s="82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</row>
    <row r="149" spans="3:41" x14ac:dyDescent="0.25">
      <c r="C149" s="82"/>
      <c r="E149" s="293" t="s">
        <v>1123</v>
      </c>
      <c r="G149" s="293" t="s">
        <v>427</v>
      </c>
      <c r="J149" s="501">
        <f>INDEX(J104:J111,J$147)</f>
        <v>1</v>
      </c>
      <c r="K149" s="501">
        <f t="shared" ref="K149:AO149" si="42">INDEX(K104:K111,K$147)</f>
        <v>0</v>
      </c>
      <c r="L149" s="501">
        <f t="shared" si="42"/>
        <v>0</v>
      </c>
      <c r="M149" s="501">
        <f t="shared" si="42"/>
        <v>5</v>
      </c>
      <c r="N149" s="501">
        <f t="shared" si="42"/>
        <v>6</v>
      </c>
      <c r="O149" s="501">
        <f t="shared" si="42"/>
        <v>7</v>
      </c>
      <c r="P149" s="501">
        <f t="shared" si="42"/>
        <v>8</v>
      </c>
      <c r="Q149" s="501">
        <f t="shared" si="42"/>
        <v>0</v>
      </c>
      <c r="R149" s="501">
        <f t="shared" si="42"/>
        <v>0</v>
      </c>
      <c r="S149" s="501">
        <f t="shared" si="42"/>
        <v>9</v>
      </c>
      <c r="T149" s="501">
        <f t="shared" si="42"/>
        <v>10</v>
      </c>
      <c r="U149" s="501">
        <f t="shared" si="42"/>
        <v>11</v>
      </c>
      <c r="V149" s="501">
        <f t="shared" si="42"/>
        <v>12</v>
      </c>
      <c r="W149" s="501">
        <f t="shared" si="42"/>
        <v>0</v>
      </c>
      <c r="X149" s="501">
        <f t="shared" si="42"/>
        <v>9</v>
      </c>
      <c r="Y149" s="501">
        <f t="shared" si="42"/>
        <v>10</v>
      </c>
      <c r="Z149" s="501">
        <f t="shared" si="42"/>
        <v>11</v>
      </c>
      <c r="AA149" s="501">
        <f t="shared" si="42"/>
        <v>12</v>
      </c>
      <c r="AB149" s="501">
        <f t="shared" si="42"/>
        <v>0</v>
      </c>
      <c r="AC149" s="501">
        <f t="shared" si="42"/>
        <v>13</v>
      </c>
      <c r="AD149" s="501">
        <f t="shared" si="42"/>
        <v>14</v>
      </c>
      <c r="AE149" s="501">
        <f t="shared" si="42"/>
        <v>15</v>
      </c>
      <c r="AF149" s="501">
        <f t="shared" si="42"/>
        <v>16</v>
      </c>
      <c r="AG149" s="501">
        <f t="shared" si="42"/>
        <v>17</v>
      </c>
      <c r="AH149" s="501">
        <f t="shared" si="42"/>
        <v>0</v>
      </c>
      <c r="AI149" s="501">
        <f t="shared" si="42"/>
        <v>0</v>
      </c>
      <c r="AJ149" s="501">
        <f t="shared" si="42"/>
        <v>0</v>
      </c>
      <c r="AK149" s="501">
        <f t="shared" si="42"/>
        <v>0</v>
      </c>
      <c r="AL149" s="501">
        <f t="shared" si="42"/>
        <v>0</v>
      </c>
      <c r="AM149" s="501">
        <f t="shared" si="42"/>
        <v>0</v>
      </c>
      <c r="AN149" s="501">
        <f t="shared" si="42"/>
        <v>0</v>
      </c>
      <c r="AO149" s="501">
        <f t="shared" si="42"/>
        <v>0</v>
      </c>
    </row>
    <row r="150" spans="3:41" x14ac:dyDescent="0.25">
      <c r="C150" s="82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</row>
    <row r="151" spans="3:41" x14ac:dyDescent="0.25">
      <c r="C151" s="7" t="str">
        <f ca="1">INDEX('Version control'!$H$34:$H$60,MATCH($A$1,'Version control'!$F$34:$F$60,0),1)&amp;"-D: Calculating MPANs for matching"</f>
        <v>Section 519-D: Calculating MPANs for matching</v>
      </c>
      <c r="D151" s="7"/>
      <c r="E151" s="7"/>
      <c r="F151" s="7"/>
      <c r="G151" s="7"/>
      <c r="H151" s="7"/>
      <c r="I151" s="7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</row>
    <row r="152" spans="3:41" x14ac:dyDescent="0.25">
      <c r="C152" s="82"/>
      <c r="D152" s="293"/>
      <c r="E152" s="293"/>
      <c r="J152" s="237"/>
      <c r="K152" s="237"/>
      <c r="L152" s="237"/>
      <c r="M152" s="237"/>
      <c r="N152" s="237"/>
      <c r="O152" s="237"/>
      <c r="P152" s="237"/>
      <c r="Q152" s="237"/>
      <c r="R152" s="237"/>
      <c r="S152" s="237"/>
      <c r="T152" s="237"/>
      <c r="U152" s="237"/>
      <c r="V152" s="237"/>
      <c r="W152" s="237"/>
      <c r="X152" s="237"/>
      <c r="Y152" s="237"/>
      <c r="Z152" s="237"/>
      <c r="AA152" s="237"/>
      <c r="AB152" s="237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</row>
    <row r="153" spans="3:41" x14ac:dyDescent="0.25">
      <c r="C153" s="82"/>
      <c r="D153" s="293"/>
      <c r="E153" s="293" t="s">
        <v>1124</v>
      </c>
      <c r="G153" s="293" t="s">
        <v>74</v>
      </c>
      <c r="J153" s="237">
        <f t="shared" ref="J153:AO153" si="43">IF(J32, J56, 0)</f>
        <v>1422018.8938824672</v>
      </c>
      <c r="K153" s="237">
        <f t="shared" si="43"/>
        <v>0</v>
      </c>
      <c r="L153" s="237">
        <f t="shared" si="43"/>
        <v>0</v>
      </c>
      <c r="M153" s="237">
        <f t="shared" si="43"/>
        <v>37937.366962498359</v>
      </c>
      <c r="N153" s="237">
        <f t="shared" si="43"/>
        <v>30923.869602955838</v>
      </c>
      <c r="O153" s="237">
        <f t="shared" si="43"/>
        <v>15807.281404870146</v>
      </c>
      <c r="P153" s="237">
        <f t="shared" si="43"/>
        <v>16734.457472861592</v>
      </c>
      <c r="Q153" s="237">
        <f t="shared" si="43"/>
        <v>0</v>
      </c>
      <c r="R153" s="237">
        <f t="shared" si="43"/>
        <v>0</v>
      </c>
      <c r="S153" s="237">
        <f t="shared" si="43"/>
        <v>2976.6829792595454</v>
      </c>
      <c r="T153" s="237">
        <f t="shared" si="43"/>
        <v>1848.5052832966296</v>
      </c>
      <c r="U153" s="237">
        <f t="shared" si="43"/>
        <v>430.86483968224104</v>
      </c>
      <c r="V153" s="237">
        <f t="shared" si="43"/>
        <v>285.93241984112052</v>
      </c>
      <c r="W153" s="237">
        <f t="shared" si="43"/>
        <v>0</v>
      </c>
      <c r="X153" s="237">
        <f t="shared" si="43"/>
        <v>1025.9148318717112</v>
      </c>
      <c r="Y153" s="237">
        <f t="shared" si="43"/>
        <v>816.65932748684475</v>
      </c>
      <c r="Z153" s="237">
        <f t="shared" si="43"/>
        <v>426.72870796792779</v>
      </c>
      <c r="AA153" s="237">
        <f t="shared" si="43"/>
        <v>821</v>
      </c>
      <c r="AB153" s="237">
        <f t="shared" si="43"/>
        <v>0</v>
      </c>
      <c r="AC153" s="237">
        <f t="shared" si="43"/>
        <v>301.29300806059575</v>
      </c>
      <c r="AD153" s="237">
        <f t="shared" si="43"/>
        <v>292.58601612119151</v>
      </c>
      <c r="AE153" s="237">
        <f t="shared" si="43"/>
        <v>129.46975604544681</v>
      </c>
      <c r="AF153" s="237">
        <f t="shared" si="43"/>
        <v>91.646504030297876</v>
      </c>
      <c r="AG153" s="237">
        <f t="shared" si="43"/>
        <v>609.29602287087573</v>
      </c>
      <c r="AH153" s="237">
        <f t="shared" si="43"/>
        <v>0</v>
      </c>
      <c r="AI153" s="237">
        <f t="shared" si="43"/>
        <v>0</v>
      </c>
      <c r="AJ153" s="237">
        <f t="shared" si="43"/>
        <v>0</v>
      </c>
      <c r="AK153" s="237">
        <f t="shared" si="43"/>
        <v>0</v>
      </c>
      <c r="AL153" s="237">
        <f t="shared" si="43"/>
        <v>0</v>
      </c>
      <c r="AM153" s="237">
        <f t="shared" si="43"/>
        <v>0</v>
      </c>
      <c r="AN153" s="237">
        <f t="shared" si="43"/>
        <v>0</v>
      </c>
      <c r="AO153" s="237">
        <f t="shared" si="43"/>
        <v>0</v>
      </c>
    </row>
    <row r="154" spans="3:41" x14ac:dyDescent="0.25">
      <c r="C154" s="82"/>
      <c r="D154" s="293"/>
      <c r="E154" s="293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</row>
    <row r="155" spans="3:41" x14ac:dyDescent="0.25">
      <c r="C155" s="82"/>
      <c r="D155" s="293"/>
      <c r="E155" s="293" t="s">
        <v>1125</v>
      </c>
      <c r="G155" s="293" t="s">
        <v>74</v>
      </c>
      <c r="J155" s="237">
        <f t="shared" ref="J155:AO155" si="44">SUMIF($J$149:$AO$149,J149,$J$153:$AO$153)</f>
        <v>1422018.8938824672</v>
      </c>
      <c r="K155" s="237">
        <f t="shared" si="44"/>
        <v>0</v>
      </c>
      <c r="L155" s="237">
        <f t="shared" si="44"/>
        <v>0</v>
      </c>
      <c r="M155" s="237">
        <f t="shared" si="44"/>
        <v>37937.366962498359</v>
      </c>
      <c r="N155" s="237">
        <f t="shared" si="44"/>
        <v>30923.869602955838</v>
      </c>
      <c r="O155" s="237">
        <f t="shared" si="44"/>
        <v>15807.281404870146</v>
      </c>
      <c r="P155" s="237">
        <f t="shared" si="44"/>
        <v>16734.457472861592</v>
      </c>
      <c r="Q155" s="237">
        <f t="shared" si="44"/>
        <v>0</v>
      </c>
      <c r="R155" s="237">
        <f t="shared" si="44"/>
        <v>0</v>
      </c>
      <c r="S155" s="237">
        <f t="shared" si="44"/>
        <v>4002.5978111312565</v>
      </c>
      <c r="T155" s="237">
        <f t="shared" si="44"/>
        <v>2665.1646107834745</v>
      </c>
      <c r="U155" s="237">
        <f t="shared" si="44"/>
        <v>857.59354765016883</v>
      </c>
      <c r="V155" s="237">
        <f t="shared" si="44"/>
        <v>1106.9324198411205</v>
      </c>
      <c r="W155" s="237">
        <f t="shared" si="44"/>
        <v>0</v>
      </c>
      <c r="X155" s="237">
        <f t="shared" si="44"/>
        <v>4002.5978111312565</v>
      </c>
      <c r="Y155" s="237">
        <f t="shared" si="44"/>
        <v>2665.1646107834745</v>
      </c>
      <c r="Z155" s="237">
        <f t="shared" si="44"/>
        <v>857.59354765016883</v>
      </c>
      <c r="AA155" s="237">
        <f t="shared" si="44"/>
        <v>1106.9324198411205</v>
      </c>
      <c r="AB155" s="237">
        <f t="shared" si="44"/>
        <v>0</v>
      </c>
      <c r="AC155" s="237">
        <f t="shared" si="44"/>
        <v>301.29300806059575</v>
      </c>
      <c r="AD155" s="237">
        <f t="shared" si="44"/>
        <v>292.58601612119151</v>
      </c>
      <c r="AE155" s="237">
        <f t="shared" si="44"/>
        <v>129.46975604544681</v>
      </c>
      <c r="AF155" s="237">
        <f t="shared" si="44"/>
        <v>91.646504030297876</v>
      </c>
      <c r="AG155" s="237">
        <f t="shared" si="44"/>
        <v>609.29602287087573</v>
      </c>
      <c r="AH155" s="237">
        <f t="shared" si="44"/>
        <v>0</v>
      </c>
      <c r="AI155" s="237">
        <f t="shared" si="44"/>
        <v>0</v>
      </c>
      <c r="AJ155" s="237">
        <f t="shared" si="44"/>
        <v>0</v>
      </c>
      <c r="AK155" s="237">
        <f t="shared" si="44"/>
        <v>0</v>
      </c>
      <c r="AL155" s="237">
        <f t="shared" si="44"/>
        <v>0</v>
      </c>
      <c r="AM155" s="237">
        <f t="shared" si="44"/>
        <v>0</v>
      </c>
      <c r="AN155" s="237">
        <f t="shared" si="44"/>
        <v>0</v>
      </c>
      <c r="AO155" s="237">
        <f t="shared" si="44"/>
        <v>0</v>
      </c>
    </row>
    <row r="156" spans="3:41" x14ac:dyDescent="0.25">
      <c r="C156" s="82"/>
      <c r="D156" s="293"/>
      <c r="E156" s="293"/>
      <c r="J156" s="237"/>
      <c r="K156" s="237"/>
      <c r="L156" s="237"/>
      <c r="M156" s="237"/>
      <c r="N156" s="237"/>
      <c r="O156" s="237"/>
      <c r="P156" s="237"/>
      <c r="Q156" s="237"/>
      <c r="R156" s="237"/>
      <c r="S156" s="237"/>
      <c r="T156" s="237"/>
      <c r="U156" s="237"/>
      <c r="V156" s="237"/>
      <c r="W156" s="237"/>
      <c r="X156" s="237"/>
      <c r="Y156" s="237"/>
      <c r="Z156" s="237"/>
      <c r="AA156" s="237"/>
      <c r="AB156" s="237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</row>
    <row r="157" spans="3:41" x14ac:dyDescent="0.25">
      <c r="C157" s="82"/>
      <c r="D157" s="293"/>
      <c r="E157" s="293" t="s">
        <v>1231</v>
      </c>
      <c r="G157" s="293" t="s">
        <v>94</v>
      </c>
      <c r="J157" s="502">
        <f>IF(J155&lt;&gt;0,J153/J155,0)</f>
        <v>1</v>
      </c>
      <c r="K157" s="502">
        <f t="shared" ref="K157:AO157" si="45">IF(K155&lt;&gt;0,K153/K155,0)</f>
        <v>0</v>
      </c>
      <c r="L157" s="502">
        <f t="shared" si="45"/>
        <v>0</v>
      </c>
      <c r="M157" s="502">
        <f t="shared" si="45"/>
        <v>1</v>
      </c>
      <c r="N157" s="502">
        <f t="shared" si="45"/>
        <v>1</v>
      </c>
      <c r="O157" s="502">
        <f t="shared" si="45"/>
        <v>1</v>
      </c>
      <c r="P157" s="502">
        <f t="shared" si="45"/>
        <v>1</v>
      </c>
      <c r="Q157" s="502">
        <f t="shared" si="45"/>
        <v>0</v>
      </c>
      <c r="R157" s="502">
        <f t="shared" si="45"/>
        <v>0</v>
      </c>
      <c r="S157" s="502">
        <f t="shared" si="45"/>
        <v>0.74368775473303017</v>
      </c>
      <c r="T157" s="502">
        <f t="shared" si="45"/>
        <v>0.69358015479322577</v>
      </c>
      <c r="U157" s="502">
        <f t="shared" si="45"/>
        <v>0.50241147553269638</v>
      </c>
      <c r="V157" s="502">
        <f t="shared" si="45"/>
        <v>0.25831063822501538</v>
      </c>
      <c r="W157" s="502">
        <f t="shared" si="45"/>
        <v>0</v>
      </c>
      <c r="X157" s="502">
        <f t="shared" si="45"/>
        <v>0.25631224526696983</v>
      </c>
      <c r="Y157" s="502">
        <f t="shared" si="45"/>
        <v>0.30641984520677418</v>
      </c>
      <c r="Z157" s="502">
        <f t="shared" si="45"/>
        <v>0.49758852446730367</v>
      </c>
      <c r="AA157" s="502">
        <f t="shared" si="45"/>
        <v>0.74168936177498468</v>
      </c>
      <c r="AB157" s="502">
        <f t="shared" si="45"/>
        <v>0</v>
      </c>
      <c r="AC157" s="502">
        <f t="shared" si="45"/>
        <v>1</v>
      </c>
      <c r="AD157" s="502">
        <f t="shared" si="45"/>
        <v>1</v>
      </c>
      <c r="AE157" s="502">
        <f t="shared" si="45"/>
        <v>1</v>
      </c>
      <c r="AF157" s="502">
        <f t="shared" si="45"/>
        <v>1</v>
      </c>
      <c r="AG157" s="502">
        <f t="shared" si="45"/>
        <v>1</v>
      </c>
      <c r="AH157" s="502">
        <f t="shared" si="45"/>
        <v>0</v>
      </c>
      <c r="AI157" s="502">
        <f t="shared" si="45"/>
        <v>0</v>
      </c>
      <c r="AJ157" s="502">
        <f t="shared" si="45"/>
        <v>0</v>
      </c>
      <c r="AK157" s="502">
        <f t="shared" si="45"/>
        <v>0</v>
      </c>
      <c r="AL157" s="502">
        <f t="shared" si="45"/>
        <v>0</v>
      </c>
      <c r="AM157" s="502">
        <f t="shared" si="45"/>
        <v>0</v>
      </c>
      <c r="AN157" s="502">
        <f t="shared" si="45"/>
        <v>0</v>
      </c>
      <c r="AO157" s="502">
        <f t="shared" si="45"/>
        <v>0</v>
      </c>
    </row>
    <row r="158" spans="3:41" x14ac:dyDescent="0.25">
      <c r="C158" s="82"/>
      <c r="D158" s="293"/>
      <c r="E158" s="293"/>
      <c r="J158" s="237"/>
      <c r="K158" s="237"/>
      <c r="L158" s="237"/>
      <c r="M158" s="237"/>
      <c r="N158" s="237"/>
      <c r="O158" s="237"/>
      <c r="P158" s="237"/>
      <c r="Q158" s="237"/>
      <c r="R158" s="237"/>
      <c r="S158" s="237"/>
      <c r="T158" s="237"/>
      <c r="U158" s="237"/>
      <c r="V158" s="237"/>
      <c r="W158" s="237"/>
      <c r="X158" s="237"/>
      <c r="Y158" s="237"/>
      <c r="Z158" s="237"/>
      <c r="AA158" s="237"/>
      <c r="AB158" s="237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</row>
    <row r="159" spans="3:41" x14ac:dyDescent="0.25">
      <c r="C159" s="7" t="str">
        <f ca="1">INDEX('Version control'!$H$34:$H$60,MATCH($A$1,'Version control'!$F$34:$F$60,0),1)&amp;"-E: Calculating unit volumes for matching"</f>
        <v>Section 519-E: Calculating unit volumes for matching</v>
      </c>
      <c r="D159" s="7"/>
      <c r="E159" s="7"/>
      <c r="F159" s="7"/>
      <c r="G159" s="7"/>
      <c r="H159" s="7"/>
      <c r="I159" s="7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</row>
    <row r="160" spans="3:41" x14ac:dyDescent="0.25">
      <c r="C160" s="82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</row>
    <row r="161" spans="3:43" x14ac:dyDescent="0.25">
      <c r="C161" s="82"/>
      <c r="D161" s="82" t="s">
        <v>1241</v>
      </c>
      <c r="I161" s="293" t="s">
        <v>359</v>
      </c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Q161" s="293" t="s">
        <v>1238</v>
      </c>
    </row>
    <row r="162" spans="3:43" x14ac:dyDescent="0.25">
      <c r="C162" s="82"/>
      <c r="D162" s="82" t="s">
        <v>1126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</row>
    <row r="163" spans="3:43" x14ac:dyDescent="0.25">
      <c r="C163" s="82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25">
      <c r="C164" s="82"/>
      <c r="D164" s="293"/>
      <c r="E164" s="293" t="s">
        <v>1127</v>
      </c>
      <c r="G164" s="293" t="s">
        <v>120</v>
      </c>
      <c r="J164" s="237">
        <f t="shared" ref="J164:AO164" si="46">SUM(J53:J55)</f>
        <v>5158941.2778570866</v>
      </c>
      <c r="K164" s="237">
        <f t="shared" si="46"/>
        <v>12720.448139457252</v>
      </c>
      <c r="L164" s="237">
        <f t="shared" si="46"/>
        <v>0</v>
      </c>
      <c r="M164" s="237">
        <f t="shared" si="46"/>
        <v>49018.385606041222</v>
      </c>
      <c r="N164" s="237">
        <f t="shared" si="46"/>
        <v>216090.14761677195</v>
      </c>
      <c r="O164" s="237">
        <f t="shared" si="46"/>
        <v>273742.71101635229</v>
      </c>
      <c r="P164" s="237">
        <f t="shared" si="46"/>
        <v>935145.15148520924</v>
      </c>
      <c r="Q164" s="237">
        <f t="shared" si="46"/>
        <v>4144.7487517799218</v>
      </c>
      <c r="R164" s="237">
        <f t="shared" si="46"/>
        <v>0</v>
      </c>
      <c r="S164" s="237">
        <f t="shared" si="46"/>
        <v>236723.20644819431</v>
      </c>
      <c r="T164" s="237">
        <f t="shared" si="46"/>
        <v>329377.98372430366</v>
      </c>
      <c r="U164" s="237">
        <f t="shared" si="46"/>
        <v>124327.6184609091</v>
      </c>
      <c r="V164" s="237">
        <f t="shared" si="46"/>
        <v>164752.44065170264</v>
      </c>
      <c r="W164" s="237">
        <f t="shared" si="46"/>
        <v>0</v>
      </c>
      <c r="X164" s="237">
        <f t="shared" si="46"/>
        <v>101974.91093127121</v>
      </c>
      <c r="Y164" s="237">
        <f t="shared" si="46"/>
        <v>189405.9145337354</v>
      </c>
      <c r="Z164" s="237">
        <f t="shared" si="46"/>
        <v>156865.23099736701</v>
      </c>
      <c r="AA164" s="237">
        <f t="shared" si="46"/>
        <v>626036.28836904035</v>
      </c>
      <c r="AB164" s="237">
        <f t="shared" si="46"/>
        <v>0</v>
      </c>
      <c r="AC164" s="237">
        <f t="shared" si="46"/>
        <v>145706.17553447271</v>
      </c>
      <c r="AD164" s="237">
        <f t="shared" si="46"/>
        <v>526325.57010069699</v>
      </c>
      <c r="AE164" s="237">
        <f t="shared" si="46"/>
        <v>471698.44168023602</v>
      </c>
      <c r="AF164" s="237">
        <f t="shared" si="46"/>
        <v>627415.48890642193</v>
      </c>
      <c r="AG164" s="237">
        <f t="shared" si="46"/>
        <v>148072.09292878056</v>
      </c>
      <c r="AH164" s="237">
        <f t="shared" si="46"/>
        <v>1548.2540705986667</v>
      </c>
      <c r="AI164" s="237">
        <f t="shared" si="46"/>
        <v>221.47204705766666</v>
      </c>
      <c r="AJ164" s="237">
        <f t="shared" si="46"/>
        <v>53039.33733869101</v>
      </c>
      <c r="AK164" s="237">
        <f t="shared" si="46"/>
        <v>0</v>
      </c>
      <c r="AL164" s="237">
        <f t="shared" si="46"/>
        <v>14732.789051421001</v>
      </c>
      <c r="AM164" s="237">
        <f t="shared" si="46"/>
        <v>0</v>
      </c>
      <c r="AN164" s="237">
        <f t="shared" si="46"/>
        <v>389242.80044582405</v>
      </c>
      <c r="AO164" s="237">
        <f t="shared" si="46"/>
        <v>0</v>
      </c>
    </row>
    <row r="165" spans="3:43" x14ac:dyDescent="0.25">
      <c r="C165" s="82"/>
      <c r="D165" s="293"/>
      <c r="E165" s="293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</row>
    <row r="166" spans="3:43" x14ac:dyDescent="0.25">
      <c r="C166" s="82"/>
      <c r="D166" s="293"/>
      <c r="E166" s="293" t="s">
        <v>1128</v>
      </c>
      <c r="G166" s="293" t="s">
        <v>120</v>
      </c>
      <c r="J166" s="237">
        <f t="shared" ref="J166:AO166" si="47">IF(J32,J164, 0)</f>
        <v>5158941.2778570866</v>
      </c>
      <c r="K166" s="237">
        <f t="shared" si="47"/>
        <v>0</v>
      </c>
      <c r="L166" s="237">
        <f t="shared" si="47"/>
        <v>0</v>
      </c>
      <c r="M166" s="237">
        <f t="shared" si="47"/>
        <v>49018.385606041222</v>
      </c>
      <c r="N166" s="237">
        <f t="shared" si="47"/>
        <v>216090.14761677195</v>
      </c>
      <c r="O166" s="237">
        <f t="shared" si="47"/>
        <v>273742.71101635229</v>
      </c>
      <c r="P166" s="237">
        <f t="shared" si="47"/>
        <v>935145.15148520924</v>
      </c>
      <c r="Q166" s="237">
        <f t="shared" si="47"/>
        <v>0</v>
      </c>
      <c r="R166" s="237">
        <f t="shared" si="47"/>
        <v>0</v>
      </c>
      <c r="S166" s="237">
        <f t="shared" si="47"/>
        <v>236723.20644819431</v>
      </c>
      <c r="T166" s="237">
        <f t="shared" si="47"/>
        <v>329377.98372430366</v>
      </c>
      <c r="U166" s="237">
        <f t="shared" si="47"/>
        <v>124327.6184609091</v>
      </c>
      <c r="V166" s="237">
        <f t="shared" si="47"/>
        <v>164752.44065170264</v>
      </c>
      <c r="W166" s="237">
        <f t="shared" si="47"/>
        <v>0</v>
      </c>
      <c r="X166" s="237">
        <f t="shared" si="47"/>
        <v>101974.91093127121</v>
      </c>
      <c r="Y166" s="237">
        <f t="shared" si="47"/>
        <v>189405.9145337354</v>
      </c>
      <c r="Z166" s="237">
        <f t="shared" si="47"/>
        <v>156865.23099736701</v>
      </c>
      <c r="AA166" s="237">
        <f t="shared" si="47"/>
        <v>626036.28836904035</v>
      </c>
      <c r="AB166" s="237">
        <f t="shared" si="47"/>
        <v>0</v>
      </c>
      <c r="AC166" s="237">
        <f t="shared" si="47"/>
        <v>145706.17553447271</v>
      </c>
      <c r="AD166" s="237">
        <f t="shared" si="47"/>
        <v>526325.57010069699</v>
      </c>
      <c r="AE166" s="237">
        <f t="shared" si="47"/>
        <v>471698.44168023602</v>
      </c>
      <c r="AF166" s="237">
        <f t="shared" si="47"/>
        <v>627415.48890642193</v>
      </c>
      <c r="AG166" s="237">
        <f t="shared" si="47"/>
        <v>148072.09292878056</v>
      </c>
      <c r="AH166" s="237">
        <f t="shared" si="47"/>
        <v>0</v>
      </c>
      <c r="AI166" s="237">
        <f t="shared" si="47"/>
        <v>0</v>
      </c>
      <c r="AJ166" s="237">
        <f t="shared" si="47"/>
        <v>0</v>
      </c>
      <c r="AK166" s="237">
        <f t="shared" si="47"/>
        <v>0</v>
      </c>
      <c r="AL166" s="237">
        <f t="shared" si="47"/>
        <v>0</v>
      </c>
      <c r="AM166" s="237">
        <f t="shared" si="47"/>
        <v>0</v>
      </c>
      <c r="AN166" s="237">
        <f t="shared" si="47"/>
        <v>0</v>
      </c>
      <c r="AO166" s="237">
        <f t="shared" si="47"/>
        <v>0</v>
      </c>
    </row>
    <row r="167" spans="3:43" x14ac:dyDescent="0.25">
      <c r="C167" s="82"/>
      <c r="D167" s="293"/>
      <c r="E167" s="293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</row>
    <row r="168" spans="3:43" x14ac:dyDescent="0.25">
      <c r="C168" s="82"/>
      <c r="D168" s="293"/>
      <c r="E168" s="82" t="s">
        <v>1129</v>
      </c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25">
      <c r="C169" s="82"/>
      <c r="D169" s="293"/>
      <c r="E169" s="293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25">
      <c r="C170" s="82"/>
      <c r="D170" s="293"/>
      <c r="E170" s="293" t="s">
        <v>1130</v>
      </c>
      <c r="G170" s="293" t="s">
        <v>94</v>
      </c>
      <c r="J170" s="503">
        <v>1</v>
      </c>
      <c r="K170" s="79"/>
      <c r="L170" s="279"/>
      <c r="M170" s="465">
        <f>'Volume adjustments'!K689</f>
        <v>4.7273629478738095E-2</v>
      </c>
      <c r="N170" s="465">
        <f>'Volume adjustments'!L689</f>
        <v>0.17423566478358937</v>
      </c>
      <c r="O170" s="465">
        <f>'Volume adjustments'!M689</f>
        <v>0.20274003571102514</v>
      </c>
      <c r="P170" s="465">
        <f>'Volume adjustments'!N689</f>
        <v>0.57575067002664737</v>
      </c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</row>
    <row r="171" spans="3:43" x14ac:dyDescent="0.25">
      <c r="C171" s="82"/>
      <c r="D171" s="293"/>
      <c r="E171" s="293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</row>
    <row r="172" spans="3:43" x14ac:dyDescent="0.25">
      <c r="C172" s="82"/>
      <c r="D172" s="293"/>
      <c r="E172" s="293" t="s">
        <v>1131</v>
      </c>
      <c r="G172" s="293" t="s">
        <v>120</v>
      </c>
      <c r="J172" s="237">
        <f>J170*$K164</f>
        <v>12720.448139457252</v>
      </c>
      <c r="K172" s="279"/>
      <c r="L172" s="279"/>
      <c r="M172" s="237">
        <f>M170*$Q164</f>
        <v>195.93731677410625</v>
      </c>
      <c r="N172" s="237">
        <f>N170*$Q164</f>
        <v>722.16305412732697</v>
      </c>
      <c r="O172" s="237">
        <f>O170*$Q164</f>
        <v>840.30650994908819</v>
      </c>
      <c r="P172" s="237">
        <f>P170*$Q164</f>
        <v>2386.3418709294001</v>
      </c>
      <c r="Q172" s="279"/>
      <c r="R172" s="279"/>
      <c r="S172" s="279"/>
      <c r="T172" s="279"/>
      <c r="U172" s="279"/>
      <c r="V172" s="279"/>
      <c r="W172" s="279"/>
      <c r="X172" s="279"/>
      <c r="Y172" s="279"/>
      <c r="Z172" s="279"/>
      <c r="AA172" s="279"/>
      <c r="AB172" s="279"/>
      <c r="AC172" s="279"/>
      <c r="AD172" s="279"/>
      <c r="AE172" s="279"/>
      <c r="AF172" s="279"/>
      <c r="AG172" s="279"/>
      <c r="AH172" s="279"/>
      <c r="AI172" s="279"/>
      <c r="AJ172" s="279"/>
      <c r="AK172" s="279"/>
      <c r="AL172" s="279"/>
      <c r="AM172" s="279"/>
      <c r="AN172" s="279"/>
      <c r="AO172" s="279"/>
    </row>
    <row r="173" spans="3:43" x14ac:dyDescent="0.25">
      <c r="C173" s="82"/>
      <c r="D173" s="293"/>
      <c r="E173" s="293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</row>
    <row r="174" spans="3:43" x14ac:dyDescent="0.25">
      <c r="C174" s="82"/>
      <c r="D174" s="293"/>
      <c r="E174" s="293" t="s">
        <v>1132</v>
      </c>
      <c r="G174" s="293" t="s">
        <v>120</v>
      </c>
      <c r="J174" s="237">
        <f t="shared" ref="J174:AO174" si="48">J166+J172</f>
        <v>5171661.7259965437</v>
      </c>
      <c r="K174" s="237">
        <f t="shared" si="48"/>
        <v>0</v>
      </c>
      <c r="L174" s="237">
        <f t="shared" si="48"/>
        <v>0</v>
      </c>
      <c r="M174" s="237">
        <f t="shared" si="48"/>
        <v>49214.322922815329</v>
      </c>
      <c r="N174" s="237">
        <f t="shared" si="48"/>
        <v>216812.31067089929</v>
      </c>
      <c r="O174" s="237">
        <f t="shared" si="48"/>
        <v>274583.01752630138</v>
      </c>
      <c r="P174" s="237">
        <f t="shared" si="48"/>
        <v>937531.49335613858</v>
      </c>
      <c r="Q174" s="237">
        <f t="shared" si="48"/>
        <v>0</v>
      </c>
      <c r="R174" s="237">
        <f t="shared" si="48"/>
        <v>0</v>
      </c>
      <c r="S174" s="237">
        <f t="shared" si="48"/>
        <v>236723.20644819431</v>
      </c>
      <c r="T174" s="237">
        <f t="shared" si="48"/>
        <v>329377.98372430366</v>
      </c>
      <c r="U174" s="237">
        <f t="shared" si="48"/>
        <v>124327.6184609091</v>
      </c>
      <c r="V174" s="237">
        <f t="shared" si="48"/>
        <v>164752.44065170264</v>
      </c>
      <c r="W174" s="237">
        <f t="shared" si="48"/>
        <v>0</v>
      </c>
      <c r="X174" s="237">
        <f t="shared" si="48"/>
        <v>101974.91093127121</v>
      </c>
      <c r="Y174" s="237">
        <f t="shared" si="48"/>
        <v>189405.9145337354</v>
      </c>
      <c r="Z174" s="237">
        <f t="shared" si="48"/>
        <v>156865.23099736701</v>
      </c>
      <c r="AA174" s="237">
        <f t="shared" si="48"/>
        <v>626036.28836904035</v>
      </c>
      <c r="AB174" s="237">
        <f t="shared" si="48"/>
        <v>0</v>
      </c>
      <c r="AC174" s="237">
        <f t="shared" si="48"/>
        <v>145706.17553447271</v>
      </c>
      <c r="AD174" s="237">
        <f t="shared" si="48"/>
        <v>526325.57010069699</v>
      </c>
      <c r="AE174" s="237">
        <f t="shared" si="48"/>
        <v>471698.44168023602</v>
      </c>
      <c r="AF174" s="237">
        <f t="shared" si="48"/>
        <v>627415.48890642193</v>
      </c>
      <c r="AG174" s="237">
        <f t="shared" si="48"/>
        <v>148072.09292878056</v>
      </c>
      <c r="AH174" s="237">
        <f t="shared" si="48"/>
        <v>0</v>
      </c>
      <c r="AI174" s="237">
        <f t="shared" si="48"/>
        <v>0</v>
      </c>
      <c r="AJ174" s="237">
        <f t="shared" si="48"/>
        <v>0</v>
      </c>
      <c r="AK174" s="237">
        <f t="shared" si="48"/>
        <v>0</v>
      </c>
      <c r="AL174" s="237">
        <f t="shared" si="48"/>
        <v>0</v>
      </c>
      <c r="AM174" s="237">
        <f t="shared" si="48"/>
        <v>0</v>
      </c>
      <c r="AN174" s="237">
        <f t="shared" si="48"/>
        <v>0</v>
      </c>
      <c r="AO174" s="237">
        <f t="shared" si="48"/>
        <v>0</v>
      </c>
    </row>
    <row r="175" spans="3:43" x14ac:dyDescent="0.25">
      <c r="C175" s="82"/>
      <c r="D175" s="293"/>
      <c r="E175" s="293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</row>
    <row r="176" spans="3:43" x14ac:dyDescent="0.25">
      <c r="C176" s="7" t="str">
        <f ca="1">INDEX('Version control'!$H$34:$H$60,MATCH($A$1,'Version control'!$F$34:$F$60,0),1)&amp;"-F: Allocating revenue to tariffs"</f>
        <v>Section 519-F: Allocating revenue to tariffs</v>
      </c>
      <c r="D176" s="7"/>
      <c r="E176" s="7"/>
      <c r="F176" s="7"/>
      <c r="G176" s="7"/>
      <c r="H176" s="7"/>
      <c r="I176" s="7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</row>
    <row r="177" spans="3:43" x14ac:dyDescent="0.25">
      <c r="C177" s="82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</row>
    <row r="178" spans="3:43" x14ac:dyDescent="0.25">
      <c r="C178" s="82"/>
      <c r="D178" s="82" t="s">
        <v>1133</v>
      </c>
      <c r="I178" s="293" t="s">
        <v>359</v>
      </c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Q178" s="293" t="s">
        <v>1238</v>
      </c>
    </row>
    <row r="179" spans="3:43" x14ac:dyDescent="0.25">
      <c r="C179" s="82"/>
      <c r="D179" s="82" t="s">
        <v>1134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</row>
    <row r="180" spans="3:43" x14ac:dyDescent="0.25">
      <c r="C180" s="82"/>
      <c r="D180" s="82" t="s">
        <v>1135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25">
      <c r="C181" s="82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25">
      <c r="C182" s="82"/>
      <c r="D182" s="293"/>
      <c r="E182" s="293" t="s">
        <v>1136</v>
      </c>
      <c r="G182" s="293" t="s">
        <v>120</v>
      </c>
      <c r="J182" s="237">
        <f t="shared" ref="J182:AO182" si="49">SUMIF($J$149:$AO$149,J149,$J$174:$AO$174)</f>
        <v>5171661.7259965437</v>
      </c>
      <c r="K182" s="237">
        <f t="shared" si="49"/>
        <v>0</v>
      </c>
      <c r="L182" s="237">
        <f t="shared" si="49"/>
        <v>0</v>
      </c>
      <c r="M182" s="237">
        <f t="shared" si="49"/>
        <v>49214.322922815329</v>
      </c>
      <c r="N182" s="237">
        <f t="shared" si="49"/>
        <v>216812.31067089929</v>
      </c>
      <c r="O182" s="237">
        <f t="shared" si="49"/>
        <v>274583.01752630138</v>
      </c>
      <c r="P182" s="237">
        <f t="shared" si="49"/>
        <v>937531.49335613858</v>
      </c>
      <c r="Q182" s="237">
        <f t="shared" si="49"/>
        <v>0</v>
      </c>
      <c r="R182" s="237">
        <f t="shared" si="49"/>
        <v>0</v>
      </c>
      <c r="S182" s="237">
        <f t="shared" si="49"/>
        <v>338698.11737946549</v>
      </c>
      <c r="T182" s="237">
        <f t="shared" si="49"/>
        <v>518783.89825803903</v>
      </c>
      <c r="U182" s="237">
        <f t="shared" si="49"/>
        <v>281192.84945827612</v>
      </c>
      <c r="V182" s="237">
        <f t="shared" si="49"/>
        <v>790788.72902074293</v>
      </c>
      <c r="W182" s="237">
        <f t="shared" si="49"/>
        <v>0</v>
      </c>
      <c r="X182" s="237">
        <f t="shared" si="49"/>
        <v>338698.11737946549</v>
      </c>
      <c r="Y182" s="237">
        <f t="shared" si="49"/>
        <v>518783.89825803903</v>
      </c>
      <c r="Z182" s="237">
        <f t="shared" si="49"/>
        <v>281192.84945827612</v>
      </c>
      <c r="AA182" s="237">
        <f t="shared" si="49"/>
        <v>790788.72902074293</v>
      </c>
      <c r="AB182" s="237">
        <f t="shared" si="49"/>
        <v>0</v>
      </c>
      <c r="AC182" s="237">
        <f t="shared" si="49"/>
        <v>145706.17553447271</v>
      </c>
      <c r="AD182" s="237">
        <f t="shared" si="49"/>
        <v>526325.57010069699</v>
      </c>
      <c r="AE182" s="237">
        <f t="shared" si="49"/>
        <v>471698.44168023602</v>
      </c>
      <c r="AF182" s="237">
        <f t="shared" si="49"/>
        <v>627415.48890642193</v>
      </c>
      <c r="AG182" s="237">
        <f t="shared" si="49"/>
        <v>148072.09292878056</v>
      </c>
      <c r="AH182" s="237">
        <f t="shared" si="49"/>
        <v>0</v>
      </c>
      <c r="AI182" s="237">
        <f t="shared" si="49"/>
        <v>0</v>
      </c>
      <c r="AJ182" s="237">
        <f t="shared" si="49"/>
        <v>0</v>
      </c>
      <c r="AK182" s="237">
        <f t="shared" si="49"/>
        <v>0</v>
      </c>
      <c r="AL182" s="237">
        <f t="shared" si="49"/>
        <v>0</v>
      </c>
      <c r="AM182" s="237">
        <f t="shared" si="49"/>
        <v>0</v>
      </c>
      <c r="AN182" s="237">
        <f t="shared" si="49"/>
        <v>0</v>
      </c>
      <c r="AO182" s="237">
        <f t="shared" si="49"/>
        <v>0</v>
      </c>
    </row>
    <row r="183" spans="3:43" x14ac:dyDescent="0.25">
      <c r="C183" s="82"/>
      <c r="D183" s="293"/>
      <c r="E183" s="293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</row>
    <row r="184" spans="3:43" x14ac:dyDescent="0.25">
      <c r="C184" s="82"/>
      <c r="D184" s="293"/>
      <c r="E184" s="293" t="s">
        <v>1137</v>
      </c>
      <c r="G184" s="293" t="s">
        <v>120</v>
      </c>
      <c r="J184" s="237">
        <f>J157*J182</f>
        <v>5171661.7259965437</v>
      </c>
      <c r="K184" s="237">
        <f t="shared" ref="K184:AO184" si="50">K157*K182</f>
        <v>0</v>
      </c>
      <c r="L184" s="237">
        <f t="shared" si="50"/>
        <v>0</v>
      </c>
      <c r="M184" s="237">
        <f t="shared" si="50"/>
        <v>49214.322922815329</v>
      </c>
      <c r="N184" s="237">
        <f t="shared" si="50"/>
        <v>216812.31067089929</v>
      </c>
      <c r="O184" s="237">
        <f t="shared" si="50"/>
        <v>274583.01752630138</v>
      </c>
      <c r="P184" s="237">
        <f t="shared" si="50"/>
        <v>937531.49335613858</v>
      </c>
      <c r="Q184" s="237">
        <f t="shared" si="50"/>
        <v>0</v>
      </c>
      <c r="R184" s="237">
        <f t="shared" si="50"/>
        <v>0</v>
      </c>
      <c r="S184" s="237">
        <f t="shared" si="50"/>
        <v>251885.64244623898</v>
      </c>
      <c r="T184" s="237">
        <f t="shared" si="50"/>
        <v>359818.21645804378</v>
      </c>
      <c r="U184" s="237">
        <f t="shared" si="50"/>
        <v>141274.51440557587</v>
      </c>
      <c r="V184" s="237">
        <f t="shared" si="50"/>
        <v>204269.14129449683</v>
      </c>
      <c r="W184" s="237">
        <f t="shared" si="50"/>
        <v>0</v>
      </c>
      <c r="X184" s="237">
        <f t="shared" si="50"/>
        <v>86812.474933226491</v>
      </c>
      <c r="Y184" s="237">
        <f t="shared" si="50"/>
        <v>158965.68179999519</v>
      </c>
      <c r="Z184" s="237">
        <f t="shared" si="50"/>
        <v>139918.33505270028</v>
      </c>
      <c r="AA184" s="237">
        <f t="shared" si="50"/>
        <v>586519.5877262461</v>
      </c>
      <c r="AB184" s="237">
        <f t="shared" si="50"/>
        <v>0</v>
      </c>
      <c r="AC184" s="237">
        <f t="shared" si="50"/>
        <v>145706.17553447271</v>
      </c>
      <c r="AD184" s="237">
        <f t="shared" si="50"/>
        <v>526325.57010069699</v>
      </c>
      <c r="AE184" s="237">
        <f t="shared" si="50"/>
        <v>471698.44168023602</v>
      </c>
      <c r="AF184" s="237">
        <f t="shared" si="50"/>
        <v>627415.48890642193</v>
      </c>
      <c r="AG184" s="237">
        <f t="shared" si="50"/>
        <v>148072.09292878056</v>
      </c>
      <c r="AH184" s="237">
        <f t="shared" si="50"/>
        <v>0</v>
      </c>
      <c r="AI184" s="237">
        <f t="shared" si="50"/>
        <v>0</v>
      </c>
      <c r="AJ184" s="237">
        <f t="shared" si="50"/>
        <v>0</v>
      </c>
      <c r="AK184" s="237">
        <f t="shared" si="50"/>
        <v>0</v>
      </c>
      <c r="AL184" s="237">
        <f t="shared" si="50"/>
        <v>0</v>
      </c>
      <c r="AM184" s="237">
        <f t="shared" si="50"/>
        <v>0</v>
      </c>
      <c r="AN184" s="237">
        <f t="shared" si="50"/>
        <v>0</v>
      </c>
      <c r="AO184" s="237">
        <f t="shared" si="50"/>
        <v>0</v>
      </c>
    </row>
    <row r="185" spans="3:43" x14ac:dyDescent="0.25">
      <c r="C185" s="82"/>
      <c r="D185" s="293"/>
      <c r="E185" s="293"/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  <c r="T185" s="237"/>
      <c r="U185" s="237"/>
      <c r="V185" s="237"/>
      <c r="W185" s="237"/>
      <c r="X185" s="237"/>
      <c r="Y185" s="237"/>
      <c r="Z185" s="237"/>
      <c r="AA185" s="237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</row>
    <row r="186" spans="3:43" x14ac:dyDescent="0.25">
      <c r="C186" s="82"/>
      <c r="D186" s="293"/>
      <c r="E186" s="293" t="s">
        <v>142</v>
      </c>
      <c r="G186" s="293" t="s">
        <v>120</v>
      </c>
      <c r="H186" s="237">
        <f>SUM($J$184:$AO$184)</f>
        <v>10498484.233739829</v>
      </c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25">
      <c r="C187" s="82"/>
      <c r="D187" s="293"/>
      <c r="E187" s="293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</row>
    <row r="188" spans="3:43" x14ac:dyDescent="0.25">
      <c r="C188" s="82"/>
      <c r="D188" s="293"/>
      <c r="E188" s="293" t="s">
        <v>1138</v>
      </c>
      <c r="G188" s="293" t="s">
        <v>94</v>
      </c>
      <c r="J188" s="504">
        <f>J184/$H186</f>
        <v>0.49261032458151965</v>
      </c>
      <c r="K188" s="504">
        <f t="shared" ref="K188:AO188" si="51">K184/$H186</f>
        <v>0</v>
      </c>
      <c r="L188" s="504">
        <f t="shared" si="51"/>
        <v>0</v>
      </c>
      <c r="M188" s="504">
        <f t="shared" si="51"/>
        <v>4.6877550917923255E-3</v>
      </c>
      <c r="N188" s="504">
        <f t="shared" si="51"/>
        <v>2.0651772755357581E-2</v>
      </c>
      <c r="O188" s="504">
        <f t="shared" si="51"/>
        <v>2.6154539208989018E-2</v>
      </c>
      <c r="P188" s="504">
        <f t="shared" si="51"/>
        <v>8.9301605115824023E-2</v>
      </c>
      <c r="Q188" s="504">
        <f t="shared" si="51"/>
        <v>0</v>
      </c>
      <c r="R188" s="504">
        <f t="shared" si="51"/>
        <v>0</v>
      </c>
      <c r="S188" s="504">
        <f t="shared" si="51"/>
        <v>2.3992572340751219E-2</v>
      </c>
      <c r="T188" s="504">
        <f t="shared" si="51"/>
        <v>3.427334922327805E-2</v>
      </c>
      <c r="U188" s="504">
        <f t="shared" si="51"/>
        <v>1.345665824324911E-2</v>
      </c>
      <c r="V188" s="504">
        <f t="shared" si="51"/>
        <v>1.9457012721705153E-2</v>
      </c>
      <c r="W188" s="504">
        <f t="shared" si="51"/>
        <v>0</v>
      </c>
      <c r="X188" s="504">
        <f t="shared" si="51"/>
        <v>8.2690484645612187E-3</v>
      </c>
      <c r="Y188" s="504">
        <f t="shared" si="51"/>
        <v>1.5141774589622596E-2</v>
      </c>
      <c r="Z188" s="504">
        <f t="shared" si="51"/>
        <v>1.3327479656828307E-2</v>
      </c>
      <c r="AA188" s="504">
        <f t="shared" si="51"/>
        <v>5.5867073252470166E-2</v>
      </c>
      <c r="AB188" s="504">
        <f t="shared" si="51"/>
        <v>0</v>
      </c>
      <c r="AC188" s="504">
        <f t="shared" si="51"/>
        <v>1.3878782145160059E-2</v>
      </c>
      <c r="AD188" s="504">
        <f t="shared" si="51"/>
        <v>5.0133481975350488E-2</v>
      </c>
      <c r="AE188" s="504">
        <f t="shared" si="51"/>
        <v>4.4930147169655266E-2</v>
      </c>
      <c r="AF188" s="504">
        <f t="shared" si="51"/>
        <v>5.9762483320215498E-2</v>
      </c>
      <c r="AG188" s="504">
        <f t="shared" si="51"/>
        <v>1.4104140143670387E-2</v>
      </c>
      <c r="AH188" s="504">
        <f t="shared" si="51"/>
        <v>0</v>
      </c>
      <c r="AI188" s="504">
        <f t="shared" si="51"/>
        <v>0</v>
      </c>
      <c r="AJ188" s="504">
        <f t="shared" si="51"/>
        <v>0</v>
      </c>
      <c r="AK188" s="504">
        <f t="shared" si="51"/>
        <v>0</v>
      </c>
      <c r="AL188" s="504">
        <f t="shared" si="51"/>
        <v>0</v>
      </c>
      <c r="AM188" s="504">
        <f t="shared" si="51"/>
        <v>0</v>
      </c>
      <c r="AN188" s="504">
        <f t="shared" si="51"/>
        <v>0</v>
      </c>
      <c r="AO188" s="504">
        <f t="shared" si="51"/>
        <v>0</v>
      </c>
    </row>
    <row r="189" spans="3:43" x14ac:dyDescent="0.25">
      <c r="C189" s="82"/>
      <c r="D189" s="293"/>
      <c r="E189" s="293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</row>
    <row r="190" spans="3:43" x14ac:dyDescent="0.25">
      <c r="C190" s="82"/>
      <c r="D190" s="293"/>
      <c r="E190" s="293" t="s">
        <v>1139</v>
      </c>
      <c r="G190" s="293" t="s">
        <v>107</v>
      </c>
      <c r="J190" s="237">
        <f>$H$84 * J188</f>
        <v>59317420.862935305</v>
      </c>
      <c r="K190" s="237">
        <f t="shared" ref="K190:AO190" si="52">$H$84 * K188</f>
        <v>0</v>
      </c>
      <c r="L190" s="237">
        <f t="shared" si="52"/>
        <v>0</v>
      </c>
      <c r="M190" s="237">
        <f t="shared" si="52"/>
        <v>564473.63728812302</v>
      </c>
      <c r="N190" s="237">
        <f t="shared" si="52"/>
        <v>2486772.6780511797</v>
      </c>
      <c r="O190" s="237">
        <f t="shared" si="52"/>
        <v>3149385.4925872707</v>
      </c>
      <c r="P190" s="237">
        <f t="shared" si="52"/>
        <v>10753207.210772522</v>
      </c>
      <c r="Q190" s="237">
        <f t="shared" si="52"/>
        <v>0</v>
      </c>
      <c r="R190" s="237">
        <f t="shared" si="52"/>
        <v>0</v>
      </c>
      <c r="S190" s="237">
        <f t="shared" si="52"/>
        <v>2889053.3553671921</v>
      </c>
      <c r="T190" s="237">
        <f t="shared" si="52"/>
        <v>4127007.8575527472</v>
      </c>
      <c r="U190" s="237">
        <f t="shared" si="52"/>
        <v>1620376.6356330246</v>
      </c>
      <c r="V190" s="237">
        <f t="shared" si="52"/>
        <v>2342906.2582667773</v>
      </c>
      <c r="W190" s="237">
        <f t="shared" si="52"/>
        <v>0</v>
      </c>
      <c r="X190" s="237">
        <f t="shared" si="52"/>
        <v>995713.2512906082</v>
      </c>
      <c r="Y190" s="237">
        <f t="shared" si="52"/>
        <v>1823289.0605923731</v>
      </c>
      <c r="Z190" s="237">
        <f t="shared" si="52"/>
        <v>1604821.6620670294</v>
      </c>
      <c r="AA190" s="237">
        <f t="shared" si="52"/>
        <v>6727205.1175793195</v>
      </c>
      <c r="AB190" s="237">
        <f t="shared" si="52"/>
        <v>0</v>
      </c>
      <c r="AC190" s="237">
        <f t="shared" si="52"/>
        <v>1671206.4698782314</v>
      </c>
      <c r="AD190" s="237">
        <f t="shared" si="52"/>
        <v>6036797.6497092852</v>
      </c>
      <c r="AE190" s="237">
        <f t="shared" si="52"/>
        <v>5410240.7442640224</v>
      </c>
      <c r="AF190" s="237">
        <f t="shared" si="52"/>
        <v>7196268.9331184253</v>
      </c>
      <c r="AG190" s="237">
        <f t="shared" si="52"/>
        <v>1698342.8382720973</v>
      </c>
      <c r="AH190" s="237">
        <f t="shared" si="52"/>
        <v>0</v>
      </c>
      <c r="AI190" s="237">
        <f t="shared" si="52"/>
        <v>0</v>
      </c>
      <c r="AJ190" s="237">
        <f t="shared" si="52"/>
        <v>0</v>
      </c>
      <c r="AK190" s="237">
        <f t="shared" si="52"/>
        <v>0</v>
      </c>
      <c r="AL190" s="237">
        <f t="shared" si="52"/>
        <v>0</v>
      </c>
      <c r="AM190" s="237">
        <f t="shared" si="52"/>
        <v>0</v>
      </c>
      <c r="AN190" s="237">
        <f t="shared" si="52"/>
        <v>0</v>
      </c>
      <c r="AO190" s="237">
        <f t="shared" si="52"/>
        <v>0</v>
      </c>
    </row>
    <row r="191" spans="3:43" x14ac:dyDescent="0.25">
      <c r="C191" s="82"/>
      <c r="D191" s="293"/>
      <c r="E191" s="293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</row>
    <row r="192" spans="3:43" x14ac:dyDescent="0.25">
      <c r="C192" s="7" t="str">
        <f ca="1">INDEX('Version control'!$H$34:$H$60,MATCH($A$1,'Version control'!$F$34:$F$60,0),1)&amp;"-G: Calculating the residual fixed charge"</f>
        <v>Section 519-G: Calculating the residual fixed charge</v>
      </c>
      <c r="D192" s="7"/>
      <c r="E192" s="7"/>
      <c r="F192" s="7"/>
      <c r="G192" s="7"/>
      <c r="H192" s="7"/>
      <c r="I192" s="7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</row>
    <row r="193" spans="3:43" x14ac:dyDescent="0.25">
      <c r="C193" s="82"/>
      <c r="D193" s="293"/>
      <c r="E193" s="293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</row>
    <row r="194" spans="3:43" x14ac:dyDescent="0.25">
      <c r="C194" s="82"/>
      <c r="D194" s="82" t="s">
        <v>1140</v>
      </c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25">
      <c r="C195" s="82"/>
      <c r="D195" s="293"/>
      <c r="E195" s="293"/>
      <c r="J195" s="237"/>
      <c r="K195" s="237"/>
      <c r="L195" s="237"/>
      <c r="M195" s="237"/>
      <c r="N195" s="237"/>
      <c r="O195" s="237"/>
      <c r="P195" s="237"/>
      <c r="Q195" s="237"/>
      <c r="R195" s="237"/>
      <c r="S195" s="237"/>
      <c r="T195" s="237"/>
      <c r="U195" s="237"/>
      <c r="V195" s="237"/>
      <c r="W195" s="237"/>
      <c r="X195" s="237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</row>
    <row r="196" spans="3:43" x14ac:dyDescent="0.25">
      <c r="C196" s="82"/>
      <c r="D196" s="293"/>
      <c r="E196" s="293" t="s">
        <v>1027</v>
      </c>
      <c r="G196" s="293" t="s">
        <v>1232</v>
      </c>
      <c r="I196" s="293" t="s">
        <v>359</v>
      </c>
      <c r="J196" s="237">
        <f t="shared" ref="J196:AO196" si="53">IF(J33, J190/J153, 0)</f>
        <v>41.713525128336315</v>
      </c>
      <c r="K196" s="237">
        <f t="shared" si="53"/>
        <v>0</v>
      </c>
      <c r="L196" s="237">
        <f t="shared" si="53"/>
        <v>0</v>
      </c>
      <c r="M196" s="237">
        <f t="shared" si="53"/>
        <v>14.879093687395686</v>
      </c>
      <c r="N196" s="237">
        <f t="shared" si="53"/>
        <v>80.415960550211452</v>
      </c>
      <c r="O196" s="237">
        <f t="shared" si="53"/>
        <v>199.23637796547106</v>
      </c>
      <c r="P196" s="237">
        <f t="shared" si="53"/>
        <v>642.57877664758996</v>
      </c>
      <c r="Q196" s="237">
        <f t="shared" si="53"/>
        <v>0</v>
      </c>
      <c r="R196" s="237">
        <f t="shared" si="53"/>
        <v>0</v>
      </c>
      <c r="S196" s="237">
        <f t="shared" si="53"/>
        <v>970.56131791563803</v>
      </c>
      <c r="T196" s="237">
        <f t="shared" si="53"/>
        <v>2232.618913694761</v>
      </c>
      <c r="U196" s="237">
        <f t="shared" si="53"/>
        <v>3760.7539218749848</v>
      </c>
      <c r="V196" s="237">
        <f t="shared" si="53"/>
        <v>8193.9160993657952</v>
      </c>
      <c r="W196" s="237">
        <f t="shared" si="53"/>
        <v>0</v>
      </c>
      <c r="X196" s="237">
        <f t="shared" si="53"/>
        <v>970.56131791563803</v>
      </c>
      <c r="Y196" s="237">
        <f t="shared" si="53"/>
        <v>2232.6189136947605</v>
      </c>
      <c r="Z196" s="237">
        <f t="shared" si="53"/>
        <v>3760.7539218749844</v>
      </c>
      <c r="AA196" s="237">
        <f t="shared" si="53"/>
        <v>8193.916099365797</v>
      </c>
      <c r="AB196" s="237">
        <f t="shared" si="53"/>
        <v>0</v>
      </c>
      <c r="AC196" s="237">
        <f t="shared" si="53"/>
        <v>5546.7814558183172</v>
      </c>
      <c r="AD196" s="237">
        <f t="shared" si="53"/>
        <v>20632.556981837417</v>
      </c>
      <c r="AE196" s="237">
        <f t="shared" si="53"/>
        <v>41787.680069196278</v>
      </c>
      <c r="AF196" s="237">
        <f t="shared" si="53"/>
        <v>78522.023390432601</v>
      </c>
      <c r="AG196" s="237">
        <f t="shared" si="53"/>
        <v>0</v>
      </c>
      <c r="AH196" s="237">
        <f t="shared" si="53"/>
        <v>0</v>
      </c>
      <c r="AI196" s="237">
        <f t="shared" si="53"/>
        <v>0</v>
      </c>
      <c r="AJ196" s="237">
        <f t="shared" si="53"/>
        <v>0</v>
      </c>
      <c r="AK196" s="237">
        <f t="shared" si="53"/>
        <v>0</v>
      </c>
      <c r="AL196" s="237">
        <f t="shared" si="53"/>
        <v>0</v>
      </c>
      <c r="AM196" s="237">
        <f t="shared" si="53"/>
        <v>0</v>
      </c>
      <c r="AN196" s="237">
        <f t="shared" si="53"/>
        <v>0</v>
      </c>
      <c r="AO196" s="237">
        <f t="shared" si="53"/>
        <v>0</v>
      </c>
      <c r="AQ196" s="293" t="s">
        <v>1247</v>
      </c>
    </row>
    <row r="197" spans="3:43" x14ac:dyDescent="0.25">
      <c r="C197" s="82"/>
      <c r="D197" s="293"/>
      <c r="E197" s="293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</row>
    <row r="198" spans="3:43" x14ac:dyDescent="0.25">
      <c r="C198" s="82"/>
      <c r="D198" s="293"/>
      <c r="E198" s="293" t="s">
        <v>1027</v>
      </c>
      <c r="G198" s="293" t="s">
        <v>252</v>
      </c>
      <c r="I198" s="293" t="s">
        <v>359</v>
      </c>
      <c r="J198" s="237">
        <f t="shared" ref="J198:AO198" si="54">J196 * hundred / days_in_year</f>
        <v>11.428363048859264</v>
      </c>
      <c r="K198" s="237">
        <f t="shared" si="54"/>
        <v>0</v>
      </c>
      <c r="L198" s="237">
        <f t="shared" si="54"/>
        <v>0</v>
      </c>
      <c r="M198" s="237">
        <f t="shared" si="54"/>
        <v>4.0764640239440233</v>
      </c>
      <c r="N198" s="237">
        <f t="shared" si="54"/>
        <v>22.03177001375656</v>
      </c>
      <c r="O198" s="237">
        <f t="shared" si="54"/>
        <v>54.585309031635909</v>
      </c>
      <c r="P198" s="237">
        <f t="shared" si="54"/>
        <v>176.04897990344932</v>
      </c>
      <c r="Q198" s="237">
        <f t="shared" si="54"/>
        <v>0</v>
      </c>
      <c r="R198" s="237">
        <f t="shared" si="54"/>
        <v>0</v>
      </c>
      <c r="S198" s="237">
        <f t="shared" si="54"/>
        <v>265.90721038784602</v>
      </c>
      <c r="T198" s="237">
        <f t="shared" si="54"/>
        <v>611.67641471089337</v>
      </c>
      <c r="U198" s="237">
        <f t="shared" si="54"/>
        <v>1030.343540239722</v>
      </c>
      <c r="V198" s="237">
        <f t="shared" si="54"/>
        <v>2244.9085203741902</v>
      </c>
      <c r="W198" s="237">
        <f t="shared" si="54"/>
        <v>0</v>
      </c>
      <c r="X198" s="237">
        <f t="shared" si="54"/>
        <v>265.90721038784602</v>
      </c>
      <c r="Y198" s="237">
        <f t="shared" si="54"/>
        <v>611.67641471089325</v>
      </c>
      <c r="Z198" s="237">
        <f t="shared" si="54"/>
        <v>1030.3435402397217</v>
      </c>
      <c r="AA198" s="237">
        <f t="shared" si="54"/>
        <v>2244.9085203741911</v>
      </c>
      <c r="AB198" s="237">
        <f t="shared" si="54"/>
        <v>0</v>
      </c>
      <c r="AC198" s="237">
        <f t="shared" si="54"/>
        <v>1519.6661522789909</v>
      </c>
      <c r="AD198" s="237">
        <f t="shared" si="54"/>
        <v>5652.7553374897034</v>
      </c>
      <c r="AE198" s="237">
        <f t="shared" si="54"/>
        <v>11448.67947101268</v>
      </c>
      <c r="AF198" s="237">
        <f t="shared" si="54"/>
        <v>21512.883120666469</v>
      </c>
      <c r="AG198" s="237">
        <f t="shared" si="54"/>
        <v>0</v>
      </c>
      <c r="AH198" s="237">
        <f t="shared" si="54"/>
        <v>0</v>
      </c>
      <c r="AI198" s="237">
        <f t="shared" si="54"/>
        <v>0</v>
      </c>
      <c r="AJ198" s="237">
        <f t="shared" si="54"/>
        <v>0</v>
      </c>
      <c r="AK198" s="237">
        <f t="shared" si="54"/>
        <v>0</v>
      </c>
      <c r="AL198" s="237">
        <f t="shared" si="54"/>
        <v>0</v>
      </c>
      <c r="AM198" s="237">
        <f t="shared" si="54"/>
        <v>0</v>
      </c>
      <c r="AN198" s="237">
        <f t="shared" si="54"/>
        <v>0</v>
      </c>
      <c r="AO198" s="237">
        <f t="shared" si="54"/>
        <v>0</v>
      </c>
      <c r="AQ198" s="293" t="s">
        <v>1248</v>
      </c>
    </row>
    <row r="199" spans="3:43" x14ac:dyDescent="0.25">
      <c r="C199" s="82"/>
      <c r="D199" s="293"/>
      <c r="E199" s="293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</row>
    <row r="200" spans="3:43" x14ac:dyDescent="0.25">
      <c r="C200" s="7" t="str">
        <f ca="1">INDEX('Version control'!$H$34:$H$60,MATCH($A$1,'Version control'!$F$34:$F$60,0),1)&amp;"-H: Calculating the initial residual unit rate"</f>
        <v>Section 519-H: Calculating the initial residual unit rate</v>
      </c>
      <c r="D200" s="7"/>
      <c r="E200" s="7"/>
      <c r="F200" s="7"/>
      <c r="G200" s="7"/>
      <c r="H200" s="7"/>
      <c r="I200" s="7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</row>
    <row r="201" spans="3:43" x14ac:dyDescent="0.25">
      <c r="C201" s="82"/>
      <c r="D201" s="293"/>
      <c r="E201" s="293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</row>
    <row r="202" spans="3:43" x14ac:dyDescent="0.25">
      <c r="C202" s="82"/>
      <c r="D202" s="82" t="s">
        <v>1142</v>
      </c>
      <c r="E202" s="293"/>
      <c r="I202" s="293" t="s">
        <v>359</v>
      </c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Q202" s="293" t="s">
        <v>1240</v>
      </c>
    </row>
    <row r="203" spans="3:43" x14ac:dyDescent="0.25">
      <c r="C203" s="82"/>
      <c r="D203" s="82" t="s">
        <v>1143</v>
      </c>
      <c r="E203" s="293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</row>
    <row r="204" spans="3:43" x14ac:dyDescent="0.25">
      <c r="C204" s="82"/>
      <c r="D204" s="293"/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25">
      <c r="C205" s="82"/>
      <c r="D205" s="293"/>
      <c r="E205" s="293" t="s">
        <v>1144</v>
      </c>
      <c r="G205" s="293" t="s">
        <v>1145</v>
      </c>
      <c r="J205" s="440">
        <f t="shared" ref="J205:AO205" si="55">IF(J34, J190/J184, 0)</f>
        <v>0</v>
      </c>
      <c r="K205" s="440">
        <f t="shared" si="55"/>
        <v>0</v>
      </c>
      <c r="L205" s="440">
        <f t="shared" si="55"/>
        <v>0</v>
      </c>
      <c r="M205" s="440">
        <f t="shared" si="55"/>
        <v>0</v>
      </c>
      <c r="N205" s="440">
        <f t="shared" si="55"/>
        <v>0</v>
      </c>
      <c r="O205" s="440">
        <f t="shared" si="55"/>
        <v>0</v>
      </c>
      <c r="P205" s="440">
        <f t="shared" si="55"/>
        <v>0</v>
      </c>
      <c r="Q205" s="440">
        <f t="shared" si="55"/>
        <v>0</v>
      </c>
      <c r="R205" s="440">
        <f t="shared" si="55"/>
        <v>0</v>
      </c>
      <c r="S205" s="440">
        <f t="shared" si="55"/>
        <v>0</v>
      </c>
      <c r="T205" s="440">
        <f t="shared" si="55"/>
        <v>0</v>
      </c>
      <c r="U205" s="440">
        <f t="shared" si="55"/>
        <v>0</v>
      </c>
      <c r="V205" s="440">
        <f t="shared" si="55"/>
        <v>0</v>
      </c>
      <c r="W205" s="440">
        <f t="shared" si="55"/>
        <v>0</v>
      </c>
      <c r="X205" s="440">
        <f t="shared" si="55"/>
        <v>0</v>
      </c>
      <c r="Y205" s="440">
        <f t="shared" si="55"/>
        <v>0</v>
      </c>
      <c r="Z205" s="440">
        <f t="shared" si="55"/>
        <v>0</v>
      </c>
      <c r="AA205" s="440">
        <f t="shared" si="55"/>
        <v>0</v>
      </c>
      <c r="AB205" s="440">
        <f t="shared" si="55"/>
        <v>0</v>
      </c>
      <c r="AC205" s="440">
        <f t="shared" si="55"/>
        <v>0</v>
      </c>
      <c r="AD205" s="440">
        <f t="shared" si="55"/>
        <v>0</v>
      </c>
      <c r="AE205" s="440">
        <f t="shared" si="55"/>
        <v>0</v>
      </c>
      <c r="AF205" s="440">
        <f t="shared" si="55"/>
        <v>0</v>
      </c>
      <c r="AG205" s="440">
        <f t="shared" si="55"/>
        <v>11.469702390773682</v>
      </c>
      <c r="AH205" s="440">
        <f t="shared" si="55"/>
        <v>0</v>
      </c>
      <c r="AI205" s="440">
        <f t="shared" si="55"/>
        <v>0</v>
      </c>
      <c r="AJ205" s="440">
        <f t="shared" si="55"/>
        <v>0</v>
      </c>
      <c r="AK205" s="440">
        <f t="shared" si="55"/>
        <v>0</v>
      </c>
      <c r="AL205" s="440">
        <f t="shared" si="55"/>
        <v>0</v>
      </c>
      <c r="AM205" s="440">
        <f t="shared" si="55"/>
        <v>0</v>
      </c>
      <c r="AN205" s="440">
        <f t="shared" si="55"/>
        <v>0</v>
      </c>
      <c r="AO205" s="440">
        <f t="shared" si="55"/>
        <v>0</v>
      </c>
    </row>
    <row r="206" spans="3:43" x14ac:dyDescent="0.25">
      <c r="C206" s="82"/>
      <c r="D206" s="293"/>
      <c r="E206" s="293"/>
      <c r="J206" s="440"/>
      <c r="K206" s="440"/>
      <c r="L206" s="440"/>
      <c r="M206" s="440"/>
      <c r="N206" s="440"/>
      <c r="O206" s="440"/>
      <c r="P206" s="440"/>
      <c r="Q206" s="440"/>
      <c r="R206" s="440"/>
      <c r="S206" s="440"/>
      <c r="T206" s="440"/>
      <c r="U206" s="440"/>
      <c r="V206" s="440"/>
      <c r="W206" s="440"/>
      <c r="X206" s="440"/>
      <c r="Y206" s="440"/>
      <c r="Z206" s="440"/>
      <c r="AA206" s="440"/>
      <c r="AB206" s="440"/>
      <c r="AC206" s="440"/>
      <c r="AD206" s="440"/>
      <c r="AE206" s="440"/>
      <c r="AF206" s="440"/>
      <c r="AG206" s="440"/>
      <c r="AH206" s="440"/>
      <c r="AI206" s="440"/>
      <c r="AJ206" s="440"/>
      <c r="AK206" s="440"/>
      <c r="AL206" s="440"/>
      <c r="AM206" s="440"/>
      <c r="AN206" s="440"/>
      <c r="AO206" s="440"/>
    </row>
    <row r="207" spans="3:43" x14ac:dyDescent="0.25">
      <c r="C207" s="82"/>
      <c r="E207" s="293" t="s">
        <v>1144</v>
      </c>
      <c r="G207" s="293" t="s">
        <v>183</v>
      </c>
      <c r="J207" s="440">
        <f t="shared" ref="J207:AO207" si="56">J205*hundred/thousand</f>
        <v>0</v>
      </c>
      <c r="K207" s="440">
        <f t="shared" si="56"/>
        <v>0</v>
      </c>
      <c r="L207" s="440">
        <f t="shared" si="56"/>
        <v>0</v>
      </c>
      <c r="M207" s="440">
        <f t="shared" si="56"/>
        <v>0</v>
      </c>
      <c r="N207" s="440">
        <f t="shared" si="56"/>
        <v>0</v>
      </c>
      <c r="O207" s="440">
        <f t="shared" si="56"/>
        <v>0</v>
      </c>
      <c r="P207" s="440">
        <f t="shared" si="56"/>
        <v>0</v>
      </c>
      <c r="Q207" s="440">
        <f t="shared" si="56"/>
        <v>0</v>
      </c>
      <c r="R207" s="440">
        <f t="shared" si="56"/>
        <v>0</v>
      </c>
      <c r="S207" s="440">
        <f t="shared" si="56"/>
        <v>0</v>
      </c>
      <c r="T207" s="440">
        <f t="shared" si="56"/>
        <v>0</v>
      </c>
      <c r="U207" s="440">
        <f t="shared" si="56"/>
        <v>0</v>
      </c>
      <c r="V207" s="440">
        <f t="shared" si="56"/>
        <v>0</v>
      </c>
      <c r="W207" s="440">
        <f t="shared" si="56"/>
        <v>0</v>
      </c>
      <c r="X207" s="440">
        <f t="shared" si="56"/>
        <v>0</v>
      </c>
      <c r="Y207" s="440">
        <f t="shared" si="56"/>
        <v>0</v>
      </c>
      <c r="Z207" s="440">
        <f t="shared" si="56"/>
        <v>0</v>
      </c>
      <c r="AA207" s="440">
        <f t="shared" si="56"/>
        <v>0</v>
      </c>
      <c r="AB207" s="440">
        <f t="shared" si="56"/>
        <v>0</v>
      </c>
      <c r="AC207" s="440">
        <f t="shared" si="56"/>
        <v>0</v>
      </c>
      <c r="AD207" s="440">
        <f t="shared" si="56"/>
        <v>0</v>
      </c>
      <c r="AE207" s="440">
        <f t="shared" si="56"/>
        <v>0</v>
      </c>
      <c r="AF207" s="440">
        <f t="shared" si="56"/>
        <v>0</v>
      </c>
      <c r="AG207" s="440">
        <f t="shared" si="56"/>
        <v>1.1469702390773682</v>
      </c>
      <c r="AH207" s="440">
        <f t="shared" si="56"/>
        <v>0</v>
      </c>
      <c r="AI207" s="440">
        <f t="shared" si="56"/>
        <v>0</v>
      </c>
      <c r="AJ207" s="440">
        <f t="shared" si="56"/>
        <v>0</v>
      </c>
      <c r="AK207" s="440">
        <f t="shared" si="56"/>
        <v>0</v>
      </c>
      <c r="AL207" s="440">
        <f t="shared" si="56"/>
        <v>0</v>
      </c>
      <c r="AM207" s="440">
        <f t="shared" si="56"/>
        <v>0</v>
      </c>
      <c r="AN207" s="440">
        <f t="shared" si="56"/>
        <v>0</v>
      </c>
      <c r="AO207" s="440">
        <f t="shared" si="56"/>
        <v>0</v>
      </c>
    </row>
    <row r="208" spans="3:43" x14ac:dyDescent="0.25">
      <c r="C208" s="82"/>
      <c r="D208" s="293"/>
      <c r="E208" s="293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</row>
    <row r="209" spans="2:43" x14ac:dyDescent="0.25">
      <c r="B209" s="95" t="s">
        <v>1146</v>
      </c>
      <c r="C209" s="95"/>
      <c r="D209" s="95"/>
      <c r="E209" s="95"/>
      <c r="F209" s="95"/>
      <c r="G209" s="95"/>
      <c r="H209" s="95"/>
      <c r="I209" s="95"/>
      <c r="J209" s="160"/>
      <c r="K209" s="160"/>
      <c r="L209" s="160"/>
      <c r="M209" s="160"/>
      <c r="N209" s="160"/>
      <c r="O209" s="160"/>
      <c r="P209" s="160"/>
      <c r="Q209" s="160"/>
      <c r="R209" s="160"/>
      <c r="S209" s="160"/>
      <c r="T209" s="160"/>
      <c r="U209" s="160"/>
      <c r="V209" s="160"/>
      <c r="W209" s="160"/>
      <c r="X209" s="160"/>
      <c r="Y209" s="160"/>
      <c r="Z209" s="160"/>
      <c r="AA209" s="160"/>
      <c r="AB209" s="160"/>
      <c r="AC209" s="160"/>
      <c r="AD209" s="160"/>
      <c r="AE209" s="160"/>
      <c r="AF209" s="160"/>
      <c r="AG209" s="160"/>
      <c r="AH209" s="160"/>
      <c r="AI209" s="160"/>
      <c r="AJ209" s="160"/>
      <c r="AK209" s="160"/>
      <c r="AL209" s="160"/>
      <c r="AM209" s="160"/>
      <c r="AN209" s="160"/>
      <c r="AO209" s="160"/>
      <c r="AP209" s="72"/>
      <c r="AQ209" s="72"/>
    </row>
    <row r="210" spans="2:43" x14ac:dyDescent="0.25">
      <c r="C210" s="82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</row>
    <row r="211" spans="2:43" x14ac:dyDescent="0.25">
      <c r="C211" s="82" t="s">
        <v>1147</v>
      </c>
      <c r="I211" s="293" t="s">
        <v>359</v>
      </c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Q211" s="293" t="s">
        <v>745</v>
      </c>
    </row>
    <row r="212" spans="2:43" x14ac:dyDescent="0.25">
      <c r="C212" s="82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</row>
    <row r="213" spans="2:43" x14ac:dyDescent="0.25">
      <c r="C213" s="7" t="str">
        <f ca="1">INDEX('Version control'!$H$34:$H$60,MATCH($A$1,'Version control'!$F$34:$F$60,0),1)&amp;"-I: Floor on negative residual fixed charges"</f>
        <v>Section 519-I: Floor on negative residual fixed charges</v>
      </c>
      <c r="D213" s="7"/>
      <c r="E213" s="7"/>
      <c r="F213" s="7"/>
      <c r="G213" s="7"/>
      <c r="H213" s="7"/>
      <c r="I213" s="7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</row>
    <row r="214" spans="2:43" x14ac:dyDescent="0.25">
      <c r="C214" s="82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</row>
    <row r="215" spans="2:43" x14ac:dyDescent="0.25">
      <c r="C215" s="82"/>
      <c r="D215" s="82" t="s">
        <v>1148</v>
      </c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25">
      <c r="C216" s="82"/>
      <c r="D216" s="82" t="s">
        <v>1149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25">
      <c r="C217" s="82"/>
      <c r="D217" s="82" t="s">
        <v>1150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25">
      <c r="C218" s="82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25">
      <c r="C219" s="82"/>
      <c r="E219" s="82" t="s">
        <v>1244</v>
      </c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25">
      <c r="C220" s="82"/>
      <c r="E220" s="82" t="s">
        <v>1151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25">
      <c r="C221" s="82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25">
      <c r="C222" s="82"/>
      <c r="E222" s="293" t="s">
        <v>1152</v>
      </c>
      <c r="G222" s="293" t="s">
        <v>252</v>
      </c>
      <c r="J222" s="237">
        <f t="array" ref="J222">MIN(IF($J149:$AO149=J149,$J43:$AO43+$J48:$AO48))</f>
        <v>4.2142492782663252</v>
      </c>
      <c r="K222" s="237">
        <f t="array" ref="K222">MIN(IF($J149:$AO149=K149,$J43:$AO43+$J48:$AO48))</f>
        <v>0</v>
      </c>
      <c r="L222" s="237">
        <f t="array" ref="L222">MIN(IF($J149:$AO149=L149,$J43:$AO43+$J48:$AO48))</f>
        <v>0</v>
      </c>
      <c r="M222" s="237">
        <f t="array" ref="M222">MIN(IF($J149:$AO149=M149,$J43:$AO43+$J48:$AO48))</f>
        <v>5.276442469487546</v>
      </c>
      <c r="N222" s="237">
        <f t="array" ref="N222">MIN(IF($J149:$AO149=N149,$J43:$AO43+$J48:$AO48))</f>
        <v>5.276442469487546</v>
      </c>
      <c r="O222" s="237">
        <f t="array" ref="O222">MIN(IF($J149:$AO149=O149,$J43:$AO43+$J48:$AO48))</f>
        <v>5.276442469487546</v>
      </c>
      <c r="P222" s="237">
        <f t="array" ref="P222">MIN(IF($J149:$AO149=P149,$J43:$AO43+$J48:$AO48))</f>
        <v>5.276442469487546</v>
      </c>
      <c r="Q222" s="237">
        <f t="array" ref="Q222">MIN(IF($J149:$AO149=Q149,$J43:$AO43+$J48:$AO48))</f>
        <v>0</v>
      </c>
      <c r="R222" s="237">
        <f t="array" ref="R222">MIN(IF($J149:$AO149=R149,$J43:$AO43+$J48:$AO48))</f>
        <v>0</v>
      </c>
      <c r="S222" s="237">
        <f t="array" ref="S222">MIN(IF($J149:$AO149=S149,$J43:$AO43+$J48:$AO48))</f>
        <v>7.3986242654376309</v>
      </c>
      <c r="T222" s="237">
        <f t="array" ref="T222">MIN(IF($J149:$AO149=T149,$J43:$AO43+$J48:$AO48))</f>
        <v>7.3986242654376309</v>
      </c>
      <c r="U222" s="237">
        <f t="array" ref="U222">MIN(IF($J149:$AO149=U149,$J43:$AO43+$J48:$AO48))</f>
        <v>7.3986242654376309</v>
      </c>
      <c r="V222" s="237">
        <f t="array" ref="V222">MIN(IF($J149:$AO149=V149,$J43:$AO43+$J48:$AO48))</f>
        <v>7.3986242654376309</v>
      </c>
      <c r="W222" s="237">
        <f t="array" ref="W222">MIN(IF($J149:$AO149=W149,$J43:$AO43+$J48:$AO48))</f>
        <v>0</v>
      </c>
      <c r="X222" s="237">
        <f t="array" ref="X222">MIN(IF($J149:$AO149=X149,$J43:$AO43+$J48:$AO48))</f>
        <v>7.3986242654376309</v>
      </c>
      <c r="Y222" s="237">
        <f t="array" ref="Y222">MIN(IF($J149:$AO149=Y149,$J43:$AO43+$J48:$AO48))</f>
        <v>7.3986242654376309</v>
      </c>
      <c r="Z222" s="237">
        <f t="array" ref="Z222">MIN(IF($J149:$AO149=Z149,$J43:$AO43+$J48:$AO48))</f>
        <v>7.3986242654376309</v>
      </c>
      <c r="AA222" s="237">
        <f t="array" ref="AA222">MIN(IF($J149:$AO149=AA149,$J43:$AO43+$J48:$AO48))</f>
        <v>7.3986242654376309</v>
      </c>
      <c r="AB222" s="237">
        <f t="array" ref="AB222">MIN(IF($J149:$AO149=AB149,$J43:$AO43+$J48:$AO48))</f>
        <v>0</v>
      </c>
      <c r="AC222" s="237">
        <f t="array" ref="AC222">MIN(IF($J149:$AO149=AC149,$J43:$AO43+$J48:$AO48))</f>
        <v>111.07607107613265</v>
      </c>
      <c r="AD222" s="237">
        <f t="array" ref="AD222">MIN(IF($J149:$AO149=AD149,$J43:$AO43+$J48:$AO48))</f>
        <v>111.07607107613265</v>
      </c>
      <c r="AE222" s="237">
        <f t="array" ref="AE222">MIN(IF($J149:$AO149=AE149,$J43:$AO43+$J48:$AO48))</f>
        <v>111.07607107613265</v>
      </c>
      <c r="AF222" s="237">
        <f t="array" ref="AF222">MIN(IF($J149:$AO149=AF149,$J43:$AO43+$J48:$AO48))</f>
        <v>111.07607107613265</v>
      </c>
      <c r="AG222" s="237">
        <f t="array" ref="AG222">MIN(IF($J149:$AO149=AG149,$J43:$AO43+$J48:$AO48))</f>
        <v>0</v>
      </c>
      <c r="AH222" s="237">
        <f t="array" ref="AH222">MIN(IF($J149:$AO149=AH149,$J43:$AO43+$J48:$AO48))</f>
        <v>0</v>
      </c>
      <c r="AI222" s="237">
        <f t="array" ref="AI222">MIN(IF($J149:$AO149=AI149,$J43:$AO43+$J48:$AO48))</f>
        <v>0</v>
      </c>
      <c r="AJ222" s="237">
        <f t="array" ref="AJ222">MIN(IF($J149:$AO149=AJ149,$J43:$AO43+$J48:$AO48))</f>
        <v>0</v>
      </c>
      <c r="AK222" s="237">
        <f t="array" ref="AK222">MIN(IF($J149:$AO149=AK149,$J43:$AO43+$J48:$AO48))</f>
        <v>0</v>
      </c>
      <c r="AL222" s="237">
        <f t="array" ref="AL222">MIN(IF($J149:$AO149=AL149,$J43:$AO43+$J48:$AO48))</f>
        <v>0</v>
      </c>
      <c r="AM222" s="237">
        <f t="array" ref="AM222">MIN(IF($J149:$AO149=AM149,$J43:$AO43+$J48:$AO48))</f>
        <v>0</v>
      </c>
      <c r="AN222" s="237">
        <f t="array" ref="AN222">MIN(IF($J149:$AO149=AN149,$J43:$AO43+$J48:$AO48))</f>
        <v>0</v>
      </c>
      <c r="AO222" s="237">
        <f t="array" ref="AO222">MIN(IF($J149:$AO149=AO149,$J43:$AO43+$J48:$AO48))</f>
        <v>0</v>
      </c>
    </row>
    <row r="223" spans="2:43" x14ac:dyDescent="0.25">
      <c r="C223" s="82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</row>
    <row r="224" spans="2:43" x14ac:dyDescent="0.25">
      <c r="C224" s="82"/>
      <c r="E224" s="293" t="s">
        <v>1153</v>
      </c>
      <c r="G224" s="293" t="s">
        <v>252</v>
      </c>
      <c r="J224" s="237">
        <f>MAX(-J222,J198)</f>
        <v>11.428363048859264</v>
      </c>
      <c r="K224" s="237">
        <f t="shared" ref="K224:AO224" si="57">MAX(-K222,K198)</f>
        <v>0</v>
      </c>
      <c r="L224" s="237">
        <f t="shared" si="57"/>
        <v>0</v>
      </c>
      <c r="M224" s="237">
        <f t="shared" si="57"/>
        <v>4.0764640239440233</v>
      </c>
      <c r="N224" s="237">
        <f t="shared" si="57"/>
        <v>22.03177001375656</v>
      </c>
      <c r="O224" s="237">
        <f t="shared" si="57"/>
        <v>54.585309031635909</v>
      </c>
      <c r="P224" s="237">
        <f t="shared" si="57"/>
        <v>176.04897990344932</v>
      </c>
      <c r="Q224" s="237">
        <f t="shared" si="57"/>
        <v>0</v>
      </c>
      <c r="R224" s="237">
        <f t="shared" si="57"/>
        <v>0</v>
      </c>
      <c r="S224" s="237">
        <f t="shared" si="57"/>
        <v>265.90721038784602</v>
      </c>
      <c r="T224" s="237">
        <f t="shared" si="57"/>
        <v>611.67641471089337</v>
      </c>
      <c r="U224" s="237">
        <f t="shared" si="57"/>
        <v>1030.343540239722</v>
      </c>
      <c r="V224" s="237">
        <f t="shared" si="57"/>
        <v>2244.9085203741902</v>
      </c>
      <c r="W224" s="237">
        <f t="shared" si="57"/>
        <v>0</v>
      </c>
      <c r="X224" s="237">
        <f t="shared" si="57"/>
        <v>265.90721038784602</v>
      </c>
      <c r="Y224" s="237">
        <f t="shared" si="57"/>
        <v>611.67641471089325</v>
      </c>
      <c r="Z224" s="237">
        <f t="shared" si="57"/>
        <v>1030.3435402397217</v>
      </c>
      <c r="AA224" s="237">
        <f t="shared" si="57"/>
        <v>2244.9085203741911</v>
      </c>
      <c r="AB224" s="237">
        <f t="shared" si="57"/>
        <v>0</v>
      </c>
      <c r="AC224" s="237">
        <f t="shared" si="57"/>
        <v>1519.6661522789909</v>
      </c>
      <c r="AD224" s="237">
        <f t="shared" si="57"/>
        <v>5652.7553374897034</v>
      </c>
      <c r="AE224" s="237">
        <f t="shared" si="57"/>
        <v>11448.67947101268</v>
      </c>
      <c r="AF224" s="237">
        <f t="shared" si="57"/>
        <v>21512.883120666469</v>
      </c>
      <c r="AG224" s="237">
        <f t="shared" si="57"/>
        <v>0</v>
      </c>
      <c r="AH224" s="237">
        <f t="shared" si="57"/>
        <v>0</v>
      </c>
      <c r="AI224" s="237">
        <f t="shared" si="57"/>
        <v>0</v>
      </c>
      <c r="AJ224" s="237">
        <f t="shared" si="57"/>
        <v>0</v>
      </c>
      <c r="AK224" s="237">
        <f t="shared" si="57"/>
        <v>0</v>
      </c>
      <c r="AL224" s="237">
        <f t="shared" si="57"/>
        <v>0</v>
      </c>
      <c r="AM224" s="237">
        <f t="shared" si="57"/>
        <v>0</v>
      </c>
      <c r="AN224" s="237">
        <f t="shared" si="57"/>
        <v>0</v>
      </c>
      <c r="AO224" s="237">
        <f t="shared" si="57"/>
        <v>0</v>
      </c>
    </row>
    <row r="225" spans="3:43" x14ac:dyDescent="0.25">
      <c r="C225" s="82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</row>
    <row r="226" spans="3:43" x14ac:dyDescent="0.25">
      <c r="C226" s="82"/>
      <c r="E226" s="293" t="s">
        <v>1154</v>
      </c>
      <c r="G226" s="293" t="s">
        <v>252</v>
      </c>
      <c r="J226" s="237">
        <f xml:space="preserve"> J198 - J224</f>
        <v>0</v>
      </c>
      <c r="K226" s="237">
        <f t="shared" ref="K226:AO226" si="58" xml:space="preserve"> K198 - K224</f>
        <v>0</v>
      </c>
      <c r="L226" s="237">
        <f t="shared" si="58"/>
        <v>0</v>
      </c>
      <c r="M226" s="237">
        <f t="shared" si="58"/>
        <v>0</v>
      </c>
      <c r="N226" s="237">
        <f t="shared" si="58"/>
        <v>0</v>
      </c>
      <c r="O226" s="237">
        <f t="shared" si="58"/>
        <v>0</v>
      </c>
      <c r="P226" s="237">
        <f t="shared" si="58"/>
        <v>0</v>
      </c>
      <c r="Q226" s="237">
        <f t="shared" si="58"/>
        <v>0</v>
      </c>
      <c r="R226" s="237">
        <f t="shared" si="58"/>
        <v>0</v>
      </c>
      <c r="S226" s="237">
        <f t="shared" si="58"/>
        <v>0</v>
      </c>
      <c r="T226" s="237">
        <f t="shared" si="58"/>
        <v>0</v>
      </c>
      <c r="U226" s="237">
        <f t="shared" si="58"/>
        <v>0</v>
      </c>
      <c r="V226" s="237">
        <f t="shared" si="58"/>
        <v>0</v>
      </c>
      <c r="W226" s="237">
        <f t="shared" si="58"/>
        <v>0</v>
      </c>
      <c r="X226" s="237">
        <f t="shared" si="58"/>
        <v>0</v>
      </c>
      <c r="Y226" s="237">
        <f t="shared" si="58"/>
        <v>0</v>
      </c>
      <c r="Z226" s="237">
        <f t="shared" si="58"/>
        <v>0</v>
      </c>
      <c r="AA226" s="237">
        <f t="shared" si="58"/>
        <v>0</v>
      </c>
      <c r="AB226" s="237">
        <f t="shared" si="58"/>
        <v>0</v>
      </c>
      <c r="AC226" s="237">
        <f t="shared" si="58"/>
        <v>0</v>
      </c>
      <c r="AD226" s="237">
        <f t="shared" si="58"/>
        <v>0</v>
      </c>
      <c r="AE226" s="237">
        <f t="shared" si="58"/>
        <v>0</v>
      </c>
      <c r="AF226" s="237">
        <f t="shared" si="58"/>
        <v>0</v>
      </c>
      <c r="AG226" s="237">
        <f t="shared" si="58"/>
        <v>0</v>
      </c>
      <c r="AH226" s="237">
        <f t="shared" si="58"/>
        <v>0</v>
      </c>
      <c r="AI226" s="237">
        <f t="shared" si="58"/>
        <v>0</v>
      </c>
      <c r="AJ226" s="237">
        <f t="shared" si="58"/>
        <v>0</v>
      </c>
      <c r="AK226" s="237">
        <f t="shared" si="58"/>
        <v>0</v>
      </c>
      <c r="AL226" s="237">
        <f t="shared" si="58"/>
        <v>0</v>
      </c>
      <c r="AM226" s="237">
        <f t="shared" si="58"/>
        <v>0</v>
      </c>
      <c r="AN226" s="237">
        <f t="shared" si="58"/>
        <v>0</v>
      </c>
      <c r="AO226" s="237">
        <f t="shared" si="58"/>
        <v>0</v>
      </c>
    </row>
    <row r="227" spans="3:43" x14ac:dyDescent="0.25">
      <c r="C227" s="82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</row>
    <row r="228" spans="3:43" x14ac:dyDescent="0.25">
      <c r="C228" s="82"/>
      <c r="E228" s="293" t="s">
        <v>1155</v>
      </c>
      <c r="G228" s="293" t="s">
        <v>1141</v>
      </c>
      <c r="J228" s="237">
        <f t="shared" ref="J228:AO228" si="59">J226 * days_in_year / hundred * J153</f>
        <v>0</v>
      </c>
      <c r="K228" s="237">
        <f t="shared" si="59"/>
        <v>0</v>
      </c>
      <c r="L228" s="237">
        <f t="shared" si="59"/>
        <v>0</v>
      </c>
      <c r="M228" s="237">
        <f t="shared" si="59"/>
        <v>0</v>
      </c>
      <c r="N228" s="237">
        <f t="shared" si="59"/>
        <v>0</v>
      </c>
      <c r="O228" s="237">
        <f t="shared" si="59"/>
        <v>0</v>
      </c>
      <c r="P228" s="237">
        <f t="shared" si="59"/>
        <v>0</v>
      </c>
      <c r="Q228" s="237">
        <f t="shared" si="59"/>
        <v>0</v>
      </c>
      <c r="R228" s="237">
        <f t="shared" si="59"/>
        <v>0</v>
      </c>
      <c r="S228" s="237">
        <f t="shared" si="59"/>
        <v>0</v>
      </c>
      <c r="T228" s="237">
        <f t="shared" si="59"/>
        <v>0</v>
      </c>
      <c r="U228" s="237">
        <f t="shared" si="59"/>
        <v>0</v>
      </c>
      <c r="V228" s="237">
        <f t="shared" si="59"/>
        <v>0</v>
      </c>
      <c r="W228" s="237">
        <f t="shared" si="59"/>
        <v>0</v>
      </c>
      <c r="X228" s="237">
        <f t="shared" si="59"/>
        <v>0</v>
      </c>
      <c r="Y228" s="237">
        <f t="shared" si="59"/>
        <v>0</v>
      </c>
      <c r="Z228" s="237">
        <f t="shared" si="59"/>
        <v>0</v>
      </c>
      <c r="AA228" s="237">
        <f t="shared" si="59"/>
        <v>0</v>
      </c>
      <c r="AB228" s="237">
        <f t="shared" si="59"/>
        <v>0</v>
      </c>
      <c r="AC228" s="237">
        <f t="shared" si="59"/>
        <v>0</v>
      </c>
      <c r="AD228" s="237">
        <f t="shared" si="59"/>
        <v>0</v>
      </c>
      <c r="AE228" s="237">
        <f t="shared" si="59"/>
        <v>0</v>
      </c>
      <c r="AF228" s="237">
        <f t="shared" si="59"/>
        <v>0</v>
      </c>
      <c r="AG228" s="237">
        <f t="shared" si="59"/>
        <v>0</v>
      </c>
      <c r="AH228" s="237">
        <f t="shared" si="59"/>
        <v>0</v>
      </c>
      <c r="AI228" s="237">
        <f t="shared" si="59"/>
        <v>0</v>
      </c>
      <c r="AJ228" s="237">
        <f t="shared" si="59"/>
        <v>0</v>
      </c>
      <c r="AK228" s="237">
        <f t="shared" si="59"/>
        <v>0</v>
      </c>
      <c r="AL228" s="237">
        <f t="shared" si="59"/>
        <v>0</v>
      </c>
      <c r="AM228" s="237">
        <f t="shared" si="59"/>
        <v>0</v>
      </c>
      <c r="AN228" s="237">
        <f t="shared" si="59"/>
        <v>0</v>
      </c>
      <c r="AO228" s="237">
        <f t="shared" si="59"/>
        <v>0</v>
      </c>
    </row>
    <row r="229" spans="3:43" x14ac:dyDescent="0.25">
      <c r="C229" s="82"/>
      <c r="D229" s="293"/>
      <c r="E229" s="293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</row>
    <row r="230" spans="3:43" x14ac:dyDescent="0.25">
      <c r="C230" s="82"/>
      <c r="D230" s="293"/>
      <c r="E230" s="293" t="s">
        <v>1156</v>
      </c>
      <c r="G230" s="293" t="s">
        <v>1141</v>
      </c>
      <c r="H230" s="252">
        <f>SUM(J228:AO228)</f>
        <v>0</v>
      </c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25">
      <c r="C231" s="82"/>
      <c r="D231" s="293"/>
      <c r="E231" s="293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25">
      <c r="C232" s="7" t="str">
        <f ca="1">INDEX('Version control'!$H$34:$H$60,MATCH($A$1,'Version control'!$F$34:$F$60,0),1)&amp;"-J: Ranking unit rate volumes and tariffs"</f>
        <v>Section 519-J: Ranking unit rate volumes and tariffs</v>
      </c>
      <c r="D232" s="7"/>
      <c r="E232" s="7"/>
      <c r="F232" s="7"/>
      <c r="G232" s="7"/>
      <c r="H232" s="7"/>
      <c r="I232" s="7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</row>
    <row r="233" spans="3:43" x14ac:dyDescent="0.25">
      <c r="C233" s="82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</row>
    <row r="234" spans="3:43" x14ac:dyDescent="0.25">
      <c r="C234" s="82"/>
      <c r="D234" s="82" t="s">
        <v>1157</v>
      </c>
      <c r="I234" s="293" t="s">
        <v>359</v>
      </c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Q234" s="293" t="s">
        <v>745</v>
      </c>
    </row>
    <row r="235" spans="3:43" x14ac:dyDescent="0.25">
      <c r="C235" s="82"/>
      <c r="D235" s="82" t="s">
        <v>1158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</row>
    <row r="236" spans="3:43" x14ac:dyDescent="0.25">
      <c r="C236" s="82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25">
      <c r="C237" s="82"/>
      <c r="E237" s="505" t="s">
        <v>1159</v>
      </c>
      <c r="G237" s="293" t="s">
        <v>1026</v>
      </c>
      <c r="J237" s="111" t="b">
        <f>J228&lt;0</f>
        <v>0</v>
      </c>
      <c r="K237" s="111" t="b">
        <f t="shared" ref="K237:AO237" si="60">K228&lt;0</f>
        <v>0</v>
      </c>
      <c r="L237" s="111" t="b">
        <f t="shared" si="60"/>
        <v>0</v>
      </c>
      <c r="M237" s="111" t="b">
        <f t="shared" si="60"/>
        <v>0</v>
      </c>
      <c r="N237" s="111" t="b">
        <f t="shared" si="60"/>
        <v>0</v>
      </c>
      <c r="O237" s="111" t="b">
        <f t="shared" si="60"/>
        <v>0</v>
      </c>
      <c r="P237" s="111" t="b">
        <f t="shared" si="60"/>
        <v>0</v>
      </c>
      <c r="Q237" s="111" t="b">
        <f t="shared" si="60"/>
        <v>0</v>
      </c>
      <c r="R237" s="111" t="b">
        <f t="shared" si="60"/>
        <v>0</v>
      </c>
      <c r="S237" s="111" t="b">
        <f t="shared" si="60"/>
        <v>0</v>
      </c>
      <c r="T237" s="111" t="b">
        <f t="shared" si="60"/>
        <v>0</v>
      </c>
      <c r="U237" s="111" t="b">
        <f t="shared" si="60"/>
        <v>0</v>
      </c>
      <c r="V237" s="111" t="b">
        <f t="shared" si="60"/>
        <v>0</v>
      </c>
      <c r="W237" s="111" t="b">
        <f t="shared" si="60"/>
        <v>0</v>
      </c>
      <c r="X237" s="111" t="b">
        <f t="shared" si="60"/>
        <v>0</v>
      </c>
      <c r="Y237" s="111" t="b">
        <f t="shared" si="60"/>
        <v>0</v>
      </c>
      <c r="Z237" s="111" t="b">
        <f t="shared" si="60"/>
        <v>0</v>
      </c>
      <c r="AA237" s="111" t="b">
        <f t="shared" si="60"/>
        <v>0</v>
      </c>
      <c r="AB237" s="111" t="b">
        <f t="shared" si="60"/>
        <v>0</v>
      </c>
      <c r="AC237" s="111" t="b">
        <f t="shared" si="60"/>
        <v>0</v>
      </c>
      <c r="AD237" s="111" t="b">
        <f t="shared" si="60"/>
        <v>0</v>
      </c>
      <c r="AE237" s="111" t="b">
        <f t="shared" si="60"/>
        <v>0</v>
      </c>
      <c r="AF237" s="111" t="b">
        <f t="shared" si="60"/>
        <v>0</v>
      </c>
      <c r="AG237" s="111" t="b">
        <f t="shared" si="60"/>
        <v>0</v>
      </c>
      <c r="AH237" s="111" t="b">
        <f t="shared" si="60"/>
        <v>0</v>
      </c>
      <c r="AI237" s="111" t="b">
        <f t="shared" si="60"/>
        <v>0</v>
      </c>
      <c r="AJ237" s="111" t="b">
        <f t="shared" si="60"/>
        <v>0</v>
      </c>
      <c r="AK237" s="111" t="b">
        <f t="shared" si="60"/>
        <v>0</v>
      </c>
      <c r="AL237" s="111" t="b">
        <f t="shared" si="60"/>
        <v>0</v>
      </c>
      <c r="AM237" s="111" t="b">
        <f t="shared" si="60"/>
        <v>0</v>
      </c>
      <c r="AN237" s="111" t="b">
        <f t="shared" si="60"/>
        <v>0</v>
      </c>
      <c r="AO237" s="111" t="b">
        <f t="shared" si="60"/>
        <v>0</v>
      </c>
    </row>
    <row r="238" spans="3:43" x14ac:dyDescent="0.25">
      <c r="C238" s="82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</row>
    <row r="239" spans="3:43" x14ac:dyDescent="0.25">
      <c r="C239" s="82"/>
      <c r="E239" s="82" t="s">
        <v>1160</v>
      </c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25">
      <c r="C240" s="82"/>
      <c r="E240" s="82" t="s">
        <v>1161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25">
      <c r="C241" s="82"/>
      <c r="E241" s="82" t="s">
        <v>1162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25">
      <c r="C242" s="82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25">
      <c r="C243" s="82"/>
      <c r="E243" s="96" t="s">
        <v>1163</v>
      </c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25">
      <c r="C244" s="82"/>
      <c r="F244" s="91" t="s">
        <v>1164</v>
      </c>
      <c r="G244" s="91" t="s">
        <v>427</v>
      </c>
      <c r="H244" s="455">
        <v>1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25">
      <c r="C245" s="82"/>
      <c r="F245" s="293" t="s">
        <v>1165</v>
      </c>
      <c r="G245" s="293" t="s">
        <v>427</v>
      </c>
      <c r="H245" s="469">
        <v>2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25">
      <c r="C246" s="82"/>
      <c r="F246" s="93" t="s">
        <v>1166</v>
      </c>
      <c r="G246" s="93" t="s">
        <v>427</v>
      </c>
      <c r="H246" s="456">
        <v>3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25">
      <c r="C247" s="82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25">
      <c r="C248" s="82"/>
      <c r="E248" s="96" t="s">
        <v>1167</v>
      </c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25">
      <c r="C249" s="82"/>
      <c r="F249" s="91" t="s">
        <v>1164</v>
      </c>
      <c r="G249" s="91" t="s">
        <v>183</v>
      </c>
      <c r="H249" s="91"/>
      <c r="I249" s="91"/>
      <c r="J249" s="506">
        <f t="shared" ref="J249:AO251" si="61">IF(J$237, SMALL(J$40:J$42,$H244), 0)</f>
        <v>0</v>
      </c>
      <c r="K249" s="506">
        <f t="shared" si="61"/>
        <v>0</v>
      </c>
      <c r="L249" s="506">
        <f t="shared" si="61"/>
        <v>0</v>
      </c>
      <c r="M249" s="506">
        <f t="shared" si="61"/>
        <v>0</v>
      </c>
      <c r="N249" s="506">
        <f t="shared" si="61"/>
        <v>0</v>
      </c>
      <c r="O249" s="506">
        <f t="shared" si="61"/>
        <v>0</v>
      </c>
      <c r="P249" s="506">
        <f t="shared" si="61"/>
        <v>0</v>
      </c>
      <c r="Q249" s="506">
        <f t="shared" si="61"/>
        <v>0</v>
      </c>
      <c r="R249" s="506">
        <f t="shared" si="61"/>
        <v>0</v>
      </c>
      <c r="S249" s="506">
        <f t="shared" si="61"/>
        <v>0</v>
      </c>
      <c r="T249" s="506">
        <f t="shared" si="61"/>
        <v>0</v>
      </c>
      <c r="U249" s="506">
        <f t="shared" si="61"/>
        <v>0</v>
      </c>
      <c r="V249" s="506">
        <f t="shared" si="61"/>
        <v>0</v>
      </c>
      <c r="W249" s="506">
        <f t="shared" si="61"/>
        <v>0</v>
      </c>
      <c r="X249" s="506">
        <f t="shared" si="61"/>
        <v>0</v>
      </c>
      <c r="Y249" s="506">
        <f t="shared" si="61"/>
        <v>0</v>
      </c>
      <c r="Z249" s="506">
        <f t="shared" si="61"/>
        <v>0</v>
      </c>
      <c r="AA249" s="506">
        <f t="shared" si="61"/>
        <v>0</v>
      </c>
      <c r="AB249" s="506">
        <f t="shared" si="61"/>
        <v>0</v>
      </c>
      <c r="AC249" s="506">
        <f t="shared" si="61"/>
        <v>0</v>
      </c>
      <c r="AD249" s="506">
        <f t="shared" si="61"/>
        <v>0</v>
      </c>
      <c r="AE249" s="506">
        <f t="shared" si="61"/>
        <v>0</v>
      </c>
      <c r="AF249" s="506">
        <f t="shared" si="61"/>
        <v>0</v>
      </c>
      <c r="AG249" s="506">
        <f t="shared" si="61"/>
        <v>0</v>
      </c>
      <c r="AH249" s="506">
        <f t="shared" si="61"/>
        <v>0</v>
      </c>
      <c r="AI249" s="506">
        <f t="shared" si="61"/>
        <v>0</v>
      </c>
      <c r="AJ249" s="506">
        <f t="shared" si="61"/>
        <v>0</v>
      </c>
      <c r="AK249" s="506">
        <f t="shared" si="61"/>
        <v>0</v>
      </c>
      <c r="AL249" s="506">
        <f t="shared" si="61"/>
        <v>0</v>
      </c>
      <c r="AM249" s="506">
        <f t="shared" si="61"/>
        <v>0</v>
      </c>
      <c r="AN249" s="506">
        <f t="shared" si="61"/>
        <v>0</v>
      </c>
      <c r="AO249" s="506">
        <f t="shared" si="61"/>
        <v>0</v>
      </c>
    </row>
    <row r="250" spans="3:43" x14ac:dyDescent="0.25">
      <c r="C250" s="82"/>
      <c r="F250" s="293" t="s">
        <v>1165</v>
      </c>
      <c r="G250" s="293" t="s">
        <v>183</v>
      </c>
      <c r="J250" s="440">
        <f t="shared" si="61"/>
        <v>0</v>
      </c>
      <c r="K250" s="440">
        <f t="shared" si="61"/>
        <v>0</v>
      </c>
      <c r="L250" s="440">
        <f t="shared" si="61"/>
        <v>0</v>
      </c>
      <c r="M250" s="440">
        <f t="shared" si="61"/>
        <v>0</v>
      </c>
      <c r="N250" s="440">
        <f t="shared" si="61"/>
        <v>0</v>
      </c>
      <c r="O250" s="440">
        <f t="shared" si="61"/>
        <v>0</v>
      </c>
      <c r="P250" s="440">
        <f t="shared" si="61"/>
        <v>0</v>
      </c>
      <c r="Q250" s="440">
        <f t="shared" si="61"/>
        <v>0</v>
      </c>
      <c r="R250" s="440">
        <f t="shared" si="61"/>
        <v>0</v>
      </c>
      <c r="S250" s="440">
        <f t="shared" si="61"/>
        <v>0</v>
      </c>
      <c r="T250" s="440">
        <f t="shared" si="61"/>
        <v>0</v>
      </c>
      <c r="U250" s="440">
        <f t="shared" si="61"/>
        <v>0</v>
      </c>
      <c r="V250" s="440">
        <f t="shared" si="61"/>
        <v>0</v>
      </c>
      <c r="W250" s="440">
        <f t="shared" si="61"/>
        <v>0</v>
      </c>
      <c r="X250" s="440">
        <f t="shared" si="61"/>
        <v>0</v>
      </c>
      <c r="Y250" s="440">
        <f t="shared" si="61"/>
        <v>0</v>
      </c>
      <c r="Z250" s="440">
        <f t="shared" si="61"/>
        <v>0</v>
      </c>
      <c r="AA250" s="440">
        <f t="shared" si="61"/>
        <v>0</v>
      </c>
      <c r="AB250" s="440">
        <f t="shared" si="61"/>
        <v>0</v>
      </c>
      <c r="AC250" s="440">
        <f t="shared" si="61"/>
        <v>0</v>
      </c>
      <c r="AD250" s="440">
        <f t="shared" si="61"/>
        <v>0</v>
      </c>
      <c r="AE250" s="440">
        <f t="shared" si="61"/>
        <v>0</v>
      </c>
      <c r="AF250" s="440">
        <f t="shared" si="61"/>
        <v>0</v>
      </c>
      <c r="AG250" s="440">
        <f t="shared" si="61"/>
        <v>0</v>
      </c>
      <c r="AH250" s="440">
        <f t="shared" si="61"/>
        <v>0</v>
      </c>
      <c r="AI250" s="440">
        <f t="shared" si="61"/>
        <v>0</v>
      </c>
      <c r="AJ250" s="440">
        <f t="shared" si="61"/>
        <v>0</v>
      </c>
      <c r="AK250" s="440">
        <f t="shared" si="61"/>
        <v>0</v>
      </c>
      <c r="AL250" s="440">
        <f t="shared" si="61"/>
        <v>0</v>
      </c>
      <c r="AM250" s="440">
        <f t="shared" si="61"/>
        <v>0</v>
      </c>
      <c r="AN250" s="440">
        <f t="shared" si="61"/>
        <v>0</v>
      </c>
      <c r="AO250" s="440">
        <f t="shared" si="61"/>
        <v>0</v>
      </c>
    </row>
    <row r="251" spans="3:43" x14ac:dyDescent="0.25">
      <c r="C251" s="82"/>
      <c r="F251" s="93" t="s">
        <v>1166</v>
      </c>
      <c r="G251" s="93" t="s">
        <v>183</v>
      </c>
      <c r="H251" s="93"/>
      <c r="I251" s="93"/>
      <c r="J251" s="507">
        <f t="shared" si="61"/>
        <v>0</v>
      </c>
      <c r="K251" s="507">
        <f t="shared" si="61"/>
        <v>0</v>
      </c>
      <c r="L251" s="507">
        <f t="shared" si="61"/>
        <v>0</v>
      </c>
      <c r="M251" s="507">
        <f t="shared" si="61"/>
        <v>0</v>
      </c>
      <c r="N251" s="507">
        <f t="shared" si="61"/>
        <v>0</v>
      </c>
      <c r="O251" s="507">
        <f t="shared" si="61"/>
        <v>0</v>
      </c>
      <c r="P251" s="507">
        <f t="shared" si="61"/>
        <v>0</v>
      </c>
      <c r="Q251" s="507">
        <f t="shared" si="61"/>
        <v>0</v>
      </c>
      <c r="R251" s="507">
        <f t="shared" si="61"/>
        <v>0</v>
      </c>
      <c r="S251" s="507">
        <f t="shared" si="61"/>
        <v>0</v>
      </c>
      <c r="T251" s="507">
        <f t="shared" si="61"/>
        <v>0</v>
      </c>
      <c r="U251" s="507">
        <f t="shared" si="61"/>
        <v>0</v>
      </c>
      <c r="V251" s="507">
        <f t="shared" si="61"/>
        <v>0</v>
      </c>
      <c r="W251" s="507">
        <f t="shared" si="61"/>
        <v>0</v>
      </c>
      <c r="X251" s="507">
        <f t="shared" si="61"/>
        <v>0</v>
      </c>
      <c r="Y251" s="507">
        <f t="shared" si="61"/>
        <v>0</v>
      </c>
      <c r="Z251" s="507">
        <f t="shared" si="61"/>
        <v>0</v>
      </c>
      <c r="AA251" s="507">
        <f t="shared" si="61"/>
        <v>0</v>
      </c>
      <c r="AB251" s="507">
        <f t="shared" si="61"/>
        <v>0</v>
      </c>
      <c r="AC251" s="507">
        <f t="shared" si="61"/>
        <v>0</v>
      </c>
      <c r="AD251" s="507">
        <f t="shared" si="61"/>
        <v>0</v>
      </c>
      <c r="AE251" s="507">
        <f t="shared" si="61"/>
        <v>0</v>
      </c>
      <c r="AF251" s="507">
        <f t="shared" si="61"/>
        <v>0</v>
      </c>
      <c r="AG251" s="507">
        <f t="shared" si="61"/>
        <v>0</v>
      </c>
      <c r="AH251" s="507">
        <f t="shared" si="61"/>
        <v>0</v>
      </c>
      <c r="AI251" s="507">
        <f t="shared" si="61"/>
        <v>0</v>
      </c>
      <c r="AJ251" s="507">
        <f t="shared" si="61"/>
        <v>0</v>
      </c>
      <c r="AK251" s="507">
        <f t="shared" si="61"/>
        <v>0</v>
      </c>
      <c r="AL251" s="507">
        <f t="shared" si="61"/>
        <v>0</v>
      </c>
      <c r="AM251" s="507">
        <f t="shared" si="61"/>
        <v>0</v>
      </c>
      <c r="AN251" s="507">
        <f t="shared" si="61"/>
        <v>0</v>
      </c>
      <c r="AO251" s="507">
        <f t="shared" si="61"/>
        <v>0</v>
      </c>
    </row>
    <row r="252" spans="3:43" x14ac:dyDescent="0.25">
      <c r="C252" s="82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</row>
    <row r="253" spans="3:43" x14ac:dyDescent="0.25">
      <c r="C253" s="82"/>
      <c r="E253" s="98" t="s">
        <v>1168</v>
      </c>
      <c r="I253" s="293" t="s">
        <v>359</v>
      </c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Q253" s="293" t="s">
        <v>1249</v>
      </c>
    </row>
    <row r="254" spans="3:43" x14ac:dyDescent="0.25">
      <c r="C254" s="82"/>
      <c r="E254" s="98" t="s">
        <v>1169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</row>
    <row r="255" spans="3:43" x14ac:dyDescent="0.25">
      <c r="C255" s="82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25">
      <c r="C256" s="82"/>
      <c r="E256" s="96" t="s">
        <v>1170</v>
      </c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25">
      <c r="C257" s="82"/>
      <c r="F257" s="91" t="s">
        <v>1164</v>
      </c>
      <c r="G257" s="91" t="s">
        <v>183</v>
      </c>
      <c r="H257" s="91"/>
      <c r="I257" s="91"/>
      <c r="J257" s="506">
        <f t="array" ref="J257">MIN(IF($J$149:$AO$149=J$149,$J249:$AO249))</f>
        <v>0</v>
      </c>
      <c r="K257" s="506">
        <f t="array" ref="K257">MIN(IF($J$149:$AO$149=K$149,$J249:$AO249))</f>
        <v>0</v>
      </c>
      <c r="L257" s="506">
        <f t="array" ref="L257">MIN(IF($J$149:$AO$149=L$149,$J249:$AO249))</f>
        <v>0</v>
      </c>
      <c r="M257" s="506">
        <f t="array" ref="M257">MIN(IF($J$149:$AO$149=M$149,$J249:$AO249))</f>
        <v>0</v>
      </c>
      <c r="N257" s="506">
        <f t="array" ref="N257">MIN(IF($J$149:$AO$149=N$149,$J249:$AO249))</f>
        <v>0</v>
      </c>
      <c r="O257" s="506">
        <f t="array" ref="O257">MIN(IF($J$149:$AO$149=O$149,$J249:$AO249))</f>
        <v>0</v>
      </c>
      <c r="P257" s="506">
        <f t="array" ref="P257">MIN(IF($J$149:$AO$149=P$149,$J249:$AO249))</f>
        <v>0</v>
      </c>
      <c r="Q257" s="506">
        <f t="array" ref="Q257">MIN(IF($J$149:$AO$149=Q$149,$J249:$AO249))</f>
        <v>0</v>
      </c>
      <c r="R257" s="506">
        <f t="array" ref="R257">MIN(IF($J$149:$AO$149=R$149,$J249:$AO249))</f>
        <v>0</v>
      </c>
      <c r="S257" s="506">
        <f t="array" ref="S257">MIN(IF($J$149:$AO$149=S$149,$J249:$AO249))</f>
        <v>0</v>
      </c>
      <c r="T257" s="506">
        <f t="array" ref="T257">MIN(IF($J$149:$AO$149=T$149,$J249:$AO249))</f>
        <v>0</v>
      </c>
      <c r="U257" s="506">
        <f t="array" ref="U257">MIN(IF($J$149:$AO$149=U$149,$J249:$AO249))</f>
        <v>0</v>
      </c>
      <c r="V257" s="506">
        <f t="array" ref="V257">MIN(IF($J$149:$AO$149=V$149,$J249:$AO249))</f>
        <v>0</v>
      </c>
      <c r="W257" s="506">
        <f t="array" ref="W257">MIN(IF($J$149:$AO$149=W$149,$J249:$AO249))</f>
        <v>0</v>
      </c>
      <c r="X257" s="506">
        <f t="array" ref="X257">MIN(IF($J$149:$AO$149=X$149,$J249:$AO249))</f>
        <v>0</v>
      </c>
      <c r="Y257" s="506">
        <f t="array" ref="Y257">MIN(IF($J$149:$AO$149=Y$149,$J249:$AO249))</f>
        <v>0</v>
      </c>
      <c r="Z257" s="506">
        <f t="array" ref="Z257">MIN(IF($J$149:$AO$149=Z$149,$J249:$AO249))</f>
        <v>0</v>
      </c>
      <c r="AA257" s="506">
        <f t="array" ref="AA257">MIN(IF($J$149:$AO$149=AA$149,$J249:$AO249))</f>
        <v>0</v>
      </c>
      <c r="AB257" s="506">
        <f t="array" ref="AB257">MIN(IF($J$149:$AO$149=AB$149,$J249:$AO249))</f>
        <v>0</v>
      </c>
      <c r="AC257" s="506">
        <f t="array" ref="AC257">MIN(IF($J$149:$AO$149=AC$149,$J249:$AO249))</f>
        <v>0</v>
      </c>
      <c r="AD257" s="506">
        <f t="array" ref="AD257">MIN(IF($J$149:$AO$149=AD$149,$J249:$AO249))</f>
        <v>0</v>
      </c>
      <c r="AE257" s="506">
        <f t="array" ref="AE257">MIN(IF($J$149:$AO$149=AE$149,$J249:$AO249))</f>
        <v>0</v>
      </c>
      <c r="AF257" s="506">
        <f t="array" ref="AF257">MIN(IF($J$149:$AO$149=AF$149,$J249:$AO249))</f>
        <v>0</v>
      </c>
      <c r="AG257" s="506">
        <f t="array" ref="AG257">MIN(IF($J$149:$AO$149=AG$149,$J249:$AO249))</f>
        <v>0</v>
      </c>
      <c r="AH257" s="506">
        <f t="array" ref="AH257">MIN(IF($J$149:$AO$149=AH$149,$J249:$AO249))</f>
        <v>0</v>
      </c>
      <c r="AI257" s="506">
        <f t="array" ref="AI257">MIN(IF($J$149:$AO$149=AI$149,$J249:$AO249))</f>
        <v>0</v>
      </c>
      <c r="AJ257" s="506">
        <f t="array" ref="AJ257">MIN(IF($J$149:$AO$149=AJ$149,$J249:$AO249))</f>
        <v>0</v>
      </c>
      <c r="AK257" s="506">
        <f t="array" ref="AK257">MIN(IF($J$149:$AO$149=AK$149,$J249:$AO249))</f>
        <v>0</v>
      </c>
      <c r="AL257" s="506">
        <f t="array" ref="AL257">MIN(IF($J$149:$AO$149=AL$149,$J249:$AO249))</f>
        <v>0</v>
      </c>
      <c r="AM257" s="506">
        <f t="array" ref="AM257">MIN(IF($J$149:$AO$149=AM$149,$J249:$AO249))</f>
        <v>0</v>
      </c>
      <c r="AN257" s="506">
        <f t="array" ref="AN257">MIN(IF($J$149:$AO$149=AN$149,$J249:$AO249))</f>
        <v>0</v>
      </c>
      <c r="AO257" s="506">
        <f t="array" ref="AO257">MIN(IF($J$149:$AO$149=AO$149,$J249:$AO249))</f>
        <v>0</v>
      </c>
    </row>
    <row r="258" spans="3:41" x14ac:dyDescent="0.25">
      <c r="C258" s="82"/>
      <c r="F258" s="293" t="s">
        <v>1165</v>
      </c>
      <c r="G258" s="293" t="s">
        <v>183</v>
      </c>
      <c r="J258" s="440">
        <f t="array" ref="J258">MIN(IF($J$149:$AO$149=J$149,$J250:$AO250))</f>
        <v>0</v>
      </c>
      <c r="K258" s="440">
        <f t="array" ref="K258">MIN(IF($J$149:$AO$149=K$149,$J250:$AO250))</f>
        <v>0</v>
      </c>
      <c r="L258" s="440">
        <f t="array" ref="L258">MIN(IF($J$149:$AO$149=L$149,$J250:$AO250))</f>
        <v>0</v>
      </c>
      <c r="M258" s="440">
        <f t="array" ref="M258">MIN(IF($J$149:$AO$149=M$149,$J250:$AO250))</f>
        <v>0</v>
      </c>
      <c r="N258" s="440">
        <f t="array" ref="N258">MIN(IF($J$149:$AO$149=N$149,$J250:$AO250))</f>
        <v>0</v>
      </c>
      <c r="O258" s="440">
        <f t="array" ref="O258">MIN(IF($J$149:$AO$149=O$149,$J250:$AO250))</f>
        <v>0</v>
      </c>
      <c r="P258" s="440">
        <f t="array" ref="P258">MIN(IF($J$149:$AO$149=P$149,$J250:$AO250))</f>
        <v>0</v>
      </c>
      <c r="Q258" s="440">
        <f t="array" ref="Q258">MIN(IF($J$149:$AO$149=Q$149,$J250:$AO250))</f>
        <v>0</v>
      </c>
      <c r="R258" s="440">
        <f t="array" ref="R258">MIN(IF($J$149:$AO$149=R$149,$J250:$AO250))</f>
        <v>0</v>
      </c>
      <c r="S258" s="440">
        <f t="array" ref="S258">MIN(IF($J$149:$AO$149=S$149,$J250:$AO250))</f>
        <v>0</v>
      </c>
      <c r="T258" s="440">
        <f t="array" ref="T258">MIN(IF($J$149:$AO$149=T$149,$J250:$AO250))</f>
        <v>0</v>
      </c>
      <c r="U258" s="440">
        <f t="array" ref="U258">MIN(IF($J$149:$AO$149=U$149,$J250:$AO250))</f>
        <v>0</v>
      </c>
      <c r="V258" s="440">
        <f t="array" ref="V258">MIN(IF($J$149:$AO$149=V$149,$J250:$AO250))</f>
        <v>0</v>
      </c>
      <c r="W258" s="440">
        <f t="array" ref="W258">MIN(IF($J$149:$AO$149=W$149,$J250:$AO250))</f>
        <v>0</v>
      </c>
      <c r="X258" s="440">
        <f t="array" ref="X258">MIN(IF($J$149:$AO$149=X$149,$J250:$AO250))</f>
        <v>0</v>
      </c>
      <c r="Y258" s="440">
        <f t="array" ref="Y258">MIN(IF($J$149:$AO$149=Y$149,$J250:$AO250))</f>
        <v>0</v>
      </c>
      <c r="Z258" s="440">
        <f t="array" ref="Z258">MIN(IF($J$149:$AO$149=Z$149,$J250:$AO250))</f>
        <v>0</v>
      </c>
      <c r="AA258" s="440">
        <f t="array" ref="AA258">MIN(IF($J$149:$AO$149=AA$149,$J250:$AO250))</f>
        <v>0</v>
      </c>
      <c r="AB258" s="440">
        <f t="array" ref="AB258">MIN(IF($J$149:$AO$149=AB$149,$J250:$AO250))</f>
        <v>0</v>
      </c>
      <c r="AC258" s="440">
        <f t="array" ref="AC258">MIN(IF($J$149:$AO$149=AC$149,$J250:$AO250))</f>
        <v>0</v>
      </c>
      <c r="AD258" s="440">
        <f t="array" ref="AD258">MIN(IF($J$149:$AO$149=AD$149,$J250:$AO250))</f>
        <v>0</v>
      </c>
      <c r="AE258" s="440">
        <f t="array" ref="AE258">MIN(IF($J$149:$AO$149=AE$149,$J250:$AO250))</f>
        <v>0</v>
      </c>
      <c r="AF258" s="440">
        <f t="array" ref="AF258">MIN(IF($J$149:$AO$149=AF$149,$J250:$AO250))</f>
        <v>0</v>
      </c>
      <c r="AG258" s="440">
        <f t="array" ref="AG258">MIN(IF($J$149:$AO$149=AG$149,$J250:$AO250))</f>
        <v>0</v>
      </c>
      <c r="AH258" s="440">
        <f t="array" ref="AH258">MIN(IF($J$149:$AO$149=AH$149,$J250:$AO250))</f>
        <v>0</v>
      </c>
      <c r="AI258" s="440">
        <f t="array" ref="AI258">MIN(IF($J$149:$AO$149=AI$149,$J250:$AO250))</f>
        <v>0</v>
      </c>
      <c r="AJ258" s="440">
        <f t="array" ref="AJ258">MIN(IF($J$149:$AO$149=AJ$149,$J250:$AO250))</f>
        <v>0</v>
      </c>
      <c r="AK258" s="440">
        <f t="array" ref="AK258">MIN(IF($J$149:$AO$149=AK$149,$J250:$AO250))</f>
        <v>0</v>
      </c>
      <c r="AL258" s="440">
        <f t="array" ref="AL258">MIN(IF($J$149:$AO$149=AL$149,$J250:$AO250))</f>
        <v>0</v>
      </c>
      <c r="AM258" s="440">
        <f t="array" ref="AM258">MIN(IF($J$149:$AO$149=AM$149,$J250:$AO250))</f>
        <v>0</v>
      </c>
      <c r="AN258" s="440">
        <f t="array" ref="AN258">MIN(IF($J$149:$AO$149=AN$149,$J250:$AO250))</f>
        <v>0</v>
      </c>
      <c r="AO258" s="440">
        <f t="array" ref="AO258">MIN(IF($J$149:$AO$149=AO$149,$J250:$AO250))</f>
        <v>0</v>
      </c>
    </row>
    <row r="259" spans="3:41" x14ac:dyDescent="0.25">
      <c r="C259" s="82"/>
      <c r="F259" s="93" t="s">
        <v>1166</v>
      </c>
      <c r="G259" s="93" t="s">
        <v>183</v>
      </c>
      <c r="H259" s="93"/>
      <c r="I259" s="93"/>
      <c r="J259" s="507">
        <f t="array" ref="J259">MIN(IF($J$149:$AO$149=J$149,$J251:$AO251))</f>
        <v>0</v>
      </c>
      <c r="K259" s="507">
        <f t="array" ref="K259">MIN(IF($J$149:$AO$149=K$149,$J251:$AO251))</f>
        <v>0</v>
      </c>
      <c r="L259" s="507">
        <f t="array" ref="L259">MIN(IF($J$149:$AO$149=L$149,$J251:$AO251))</f>
        <v>0</v>
      </c>
      <c r="M259" s="507">
        <f t="array" ref="M259">MIN(IF($J$149:$AO$149=M$149,$J251:$AO251))</f>
        <v>0</v>
      </c>
      <c r="N259" s="507">
        <f t="array" ref="N259">MIN(IF($J$149:$AO$149=N$149,$J251:$AO251))</f>
        <v>0</v>
      </c>
      <c r="O259" s="507">
        <f t="array" ref="O259">MIN(IF($J$149:$AO$149=O$149,$J251:$AO251))</f>
        <v>0</v>
      </c>
      <c r="P259" s="507">
        <f t="array" ref="P259">MIN(IF($J$149:$AO$149=P$149,$J251:$AO251))</f>
        <v>0</v>
      </c>
      <c r="Q259" s="507">
        <f t="array" ref="Q259">MIN(IF($J$149:$AO$149=Q$149,$J251:$AO251))</f>
        <v>0</v>
      </c>
      <c r="R259" s="507">
        <f t="array" ref="R259">MIN(IF($J$149:$AO$149=R$149,$J251:$AO251))</f>
        <v>0</v>
      </c>
      <c r="S259" s="507">
        <f t="array" ref="S259">MIN(IF($J$149:$AO$149=S$149,$J251:$AO251))</f>
        <v>0</v>
      </c>
      <c r="T259" s="507">
        <f t="array" ref="T259">MIN(IF($J$149:$AO$149=T$149,$J251:$AO251))</f>
        <v>0</v>
      </c>
      <c r="U259" s="507">
        <f t="array" ref="U259">MIN(IF($J$149:$AO$149=U$149,$J251:$AO251))</f>
        <v>0</v>
      </c>
      <c r="V259" s="507">
        <f t="array" ref="V259">MIN(IF($J$149:$AO$149=V$149,$J251:$AO251))</f>
        <v>0</v>
      </c>
      <c r="W259" s="507">
        <f t="array" ref="W259">MIN(IF($J$149:$AO$149=W$149,$J251:$AO251))</f>
        <v>0</v>
      </c>
      <c r="X259" s="507">
        <f t="array" ref="X259">MIN(IF($J$149:$AO$149=X$149,$J251:$AO251))</f>
        <v>0</v>
      </c>
      <c r="Y259" s="507">
        <f t="array" ref="Y259">MIN(IF($J$149:$AO$149=Y$149,$J251:$AO251))</f>
        <v>0</v>
      </c>
      <c r="Z259" s="507">
        <f t="array" ref="Z259">MIN(IF($J$149:$AO$149=Z$149,$J251:$AO251))</f>
        <v>0</v>
      </c>
      <c r="AA259" s="507">
        <f t="array" ref="AA259">MIN(IF($J$149:$AO$149=AA$149,$J251:$AO251))</f>
        <v>0</v>
      </c>
      <c r="AB259" s="507">
        <f t="array" ref="AB259">MIN(IF($J$149:$AO$149=AB$149,$J251:$AO251))</f>
        <v>0</v>
      </c>
      <c r="AC259" s="507">
        <f t="array" ref="AC259">MIN(IF($J$149:$AO$149=AC$149,$J251:$AO251))</f>
        <v>0</v>
      </c>
      <c r="AD259" s="507">
        <f t="array" ref="AD259">MIN(IF($J$149:$AO$149=AD$149,$J251:$AO251))</f>
        <v>0</v>
      </c>
      <c r="AE259" s="507">
        <f t="array" ref="AE259">MIN(IF($J$149:$AO$149=AE$149,$J251:$AO251))</f>
        <v>0</v>
      </c>
      <c r="AF259" s="507">
        <f t="array" ref="AF259">MIN(IF($J$149:$AO$149=AF$149,$J251:$AO251))</f>
        <v>0</v>
      </c>
      <c r="AG259" s="507">
        <f t="array" ref="AG259">MIN(IF($J$149:$AO$149=AG$149,$J251:$AO251))</f>
        <v>0</v>
      </c>
      <c r="AH259" s="507">
        <f t="array" ref="AH259">MIN(IF($J$149:$AO$149=AH$149,$J251:$AO251))</f>
        <v>0</v>
      </c>
      <c r="AI259" s="507">
        <f t="array" ref="AI259">MIN(IF($J$149:$AO$149=AI$149,$J251:$AO251))</f>
        <v>0</v>
      </c>
      <c r="AJ259" s="507">
        <f t="array" ref="AJ259">MIN(IF($J$149:$AO$149=AJ$149,$J251:$AO251))</f>
        <v>0</v>
      </c>
      <c r="AK259" s="507">
        <f t="array" ref="AK259">MIN(IF($J$149:$AO$149=AK$149,$J251:$AO251))</f>
        <v>0</v>
      </c>
      <c r="AL259" s="507">
        <f t="array" ref="AL259">MIN(IF($J$149:$AO$149=AL$149,$J251:$AO251))</f>
        <v>0</v>
      </c>
      <c r="AM259" s="507">
        <f t="array" ref="AM259">MIN(IF($J$149:$AO$149=AM$149,$J251:$AO251))</f>
        <v>0</v>
      </c>
      <c r="AN259" s="507">
        <f t="array" ref="AN259">MIN(IF($J$149:$AO$149=AN$149,$J251:$AO251))</f>
        <v>0</v>
      </c>
      <c r="AO259" s="507">
        <f t="array" ref="AO259">MIN(IF($J$149:$AO$149=AO$149,$J251:$AO251))</f>
        <v>0</v>
      </c>
    </row>
    <row r="260" spans="3:41" x14ac:dyDescent="0.25">
      <c r="C260" s="82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</row>
    <row r="261" spans="3:41" x14ac:dyDescent="0.25">
      <c r="C261" s="82"/>
      <c r="E261" s="96" t="s">
        <v>1171</v>
      </c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25">
      <c r="C262" s="82"/>
      <c r="F262" s="91" t="s">
        <v>1164</v>
      </c>
      <c r="G262" s="91" t="s">
        <v>183</v>
      </c>
      <c r="H262" s="91"/>
      <c r="I262" s="91"/>
      <c r="J262" s="506">
        <f xml:space="preserve"> - J257</f>
        <v>0</v>
      </c>
      <c r="K262" s="506">
        <f t="shared" ref="K262:AO262" si="62" xml:space="preserve"> - K257</f>
        <v>0</v>
      </c>
      <c r="L262" s="506">
        <f t="shared" si="62"/>
        <v>0</v>
      </c>
      <c r="M262" s="506">
        <f t="shared" si="62"/>
        <v>0</v>
      </c>
      <c r="N262" s="506">
        <f t="shared" si="62"/>
        <v>0</v>
      </c>
      <c r="O262" s="506">
        <f t="shared" si="62"/>
        <v>0</v>
      </c>
      <c r="P262" s="506">
        <f t="shared" si="62"/>
        <v>0</v>
      </c>
      <c r="Q262" s="506">
        <f t="shared" si="62"/>
        <v>0</v>
      </c>
      <c r="R262" s="506">
        <f t="shared" si="62"/>
        <v>0</v>
      </c>
      <c r="S262" s="506">
        <f t="shared" si="62"/>
        <v>0</v>
      </c>
      <c r="T262" s="506">
        <f t="shared" si="62"/>
        <v>0</v>
      </c>
      <c r="U262" s="506">
        <f t="shared" si="62"/>
        <v>0</v>
      </c>
      <c r="V262" s="506">
        <f t="shared" si="62"/>
        <v>0</v>
      </c>
      <c r="W262" s="506">
        <f t="shared" si="62"/>
        <v>0</v>
      </c>
      <c r="X262" s="506">
        <f t="shared" si="62"/>
        <v>0</v>
      </c>
      <c r="Y262" s="506">
        <f t="shared" si="62"/>
        <v>0</v>
      </c>
      <c r="Z262" s="506">
        <f t="shared" si="62"/>
        <v>0</v>
      </c>
      <c r="AA262" s="506">
        <f t="shared" si="62"/>
        <v>0</v>
      </c>
      <c r="AB262" s="506">
        <f t="shared" si="62"/>
        <v>0</v>
      </c>
      <c r="AC262" s="506">
        <f t="shared" si="62"/>
        <v>0</v>
      </c>
      <c r="AD262" s="506">
        <f t="shared" si="62"/>
        <v>0</v>
      </c>
      <c r="AE262" s="506">
        <f t="shared" si="62"/>
        <v>0</v>
      </c>
      <c r="AF262" s="506">
        <f t="shared" si="62"/>
        <v>0</v>
      </c>
      <c r="AG262" s="506">
        <f t="shared" si="62"/>
        <v>0</v>
      </c>
      <c r="AH262" s="506">
        <f t="shared" si="62"/>
        <v>0</v>
      </c>
      <c r="AI262" s="506">
        <f t="shared" si="62"/>
        <v>0</v>
      </c>
      <c r="AJ262" s="506">
        <f t="shared" si="62"/>
        <v>0</v>
      </c>
      <c r="AK262" s="506">
        <f t="shared" si="62"/>
        <v>0</v>
      </c>
      <c r="AL262" s="506">
        <f t="shared" si="62"/>
        <v>0</v>
      </c>
      <c r="AM262" s="506">
        <f t="shared" si="62"/>
        <v>0</v>
      </c>
      <c r="AN262" s="506">
        <f t="shared" si="62"/>
        <v>0</v>
      </c>
      <c r="AO262" s="506">
        <f t="shared" si="62"/>
        <v>0</v>
      </c>
    </row>
    <row r="263" spans="3:41" x14ac:dyDescent="0.25">
      <c r="C263" s="82"/>
      <c r="F263" s="293" t="s">
        <v>1165</v>
      </c>
      <c r="G263" s="293" t="s">
        <v>183</v>
      </c>
      <c r="J263" s="440">
        <f t="shared" ref="J263:AO264" si="63" xml:space="preserve"> - J258</f>
        <v>0</v>
      </c>
      <c r="K263" s="440">
        <f t="shared" si="63"/>
        <v>0</v>
      </c>
      <c r="L263" s="440">
        <f t="shared" si="63"/>
        <v>0</v>
      </c>
      <c r="M263" s="440">
        <f t="shared" si="63"/>
        <v>0</v>
      </c>
      <c r="N263" s="440">
        <f t="shared" si="63"/>
        <v>0</v>
      </c>
      <c r="O263" s="440">
        <f t="shared" si="63"/>
        <v>0</v>
      </c>
      <c r="P263" s="440">
        <f t="shared" si="63"/>
        <v>0</v>
      </c>
      <c r="Q263" s="440">
        <f t="shared" si="63"/>
        <v>0</v>
      </c>
      <c r="R263" s="440">
        <f t="shared" si="63"/>
        <v>0</v>
      </c>
      <c r="S263" s="440">
        <f t="shared" si="63"/>
        <v>0</v>
      </c>
      <c r="T263" s="440">
        <f t="shared" si="63"/>
        <v>0</v>
      </c>
      <c r="U263" s="440">
        <f t="shared" si="63"/>
        <v>0</v>
      </c>
      <c r="V263" s="440">
        <f t="shared" si="63"/>
        <v>0</v>
      </c>
      <c r="W263" s="440">
        <f t="shared" si="63"/>
        <v>0</v>
      </c>
      <c r="X263" s="440">
        <f t="shared" si="63"/>
        <v>0</v>
      </c>
      <c r="Y263" s="440">
        <f t="shared" si="63"/>
        <v>0</v>
      </c>
      <c r="Z263" s="440">
        <f t="shared" si="63"/>
        <v>0</v>
      </c>
      <c r="AA263" s="440">
        <f t="shared" si="63"/>
        <v>0</v>
      </c>
      <c r="AB263" s="440">
        <f t="shared" si="63"/>
        <v>0</v>
      </c>
      <c r="AC263" s="440">
        <f t="shared" si="63"/>
        <v>0</v>
      </c>
      <c r="AD263" s="440">
        <f t="shared" si="63"/>
        <v>0</v>
      </c>
      <c r="AE263" s="440">
        <f t="shared" si="63"/>
        <v>0</v>
      </c>
      <c r="AF263" s="440">
        <f t="shared" si="63"/>
        <v>0</v>
      </c>
      <c r="AG263" s="440">
        <f t="shared" si="63"/>
        <v>0</v>
      </c>
      <c r="AH263" s="440">
        <f t="shared" si="63"/>
        <v>0</v>
      </c>
      <c r="AI263" s="440">
        <f t="shared" si="63"/>
        <v>0</v>
      </c>
      <c r="AJ263" s="440">
        <f t="shared" si="63"/>
        <v>0</v>
      </c>
      <c r="AK263" s="440">
        <f t="shared" si="63"/>
        <v>0</v>
      </c>
      <c r="AL263" s="440">
        <f t="shared" si="63"/>
        <v>0</v>
      </c>
      <c r="AM263" s="440">
        <f t="shared" si="63"/>
        <v>0</v>
      </c>
      <c r="AN263" s="440">
        <f t="shared" si="63"/>
        <v>0</v>
      </c>
      <c r="AO263" s="440">
        <f t="shared" si="63"/>
        <v>0</v>
      </c>
    </row>
    <row r="264" spans="3:41" x14ac:dyDescent="0.25">
      <c r="C264" s="82"/>
      <c r="F264" s="93" t="s">
        <v>1166</v>
      </c>
      <c r="G264" s="93" t="s">
        <v>183</v>
      </c>
      <c r="H264" s="93"/>
      <c r="I264" s="93"/>
      <c r="J264" s="507">
        <f t="shared" si="63"/>
        <v>0</v>
      </c>
      <c r="K264" s="507">
        <f t="shared" si="63"/>
        <v>0</v>
      </c>
      <c r="L264" s="507">
        <f t="shared" si="63"/>
        <v>0</v>
      </c>
      <c r="M264" s="507">
        <f t="shared" si="63"/>
        <v>0</v>
      </c>
      <c r="N264" s="507">
        <f t="shared" si="63"/>
        <v>0</v>
      </c>
      <c r="O264" s="507">
        <f t="shared" si="63"/>
        <v>0</v>
      </c>
      <c r="P264" s="507">
        <f t="shared" si="63"/>
        <v>0</v>
      </c>
      <c r="Q264" s="507">
        <f t="shared" si="63"/>
        <v>0</v>
      </c>
      <c r="R264" s="507">
        <f t="shared" si="63"/>
        <v>0</v>
      </c>
      <c r="S264" s="507">
        <f t="shared" si="63"/>
        <v>0</v>
      </c>
      <c r="T264" s="507">
        <f t="shared" si="63"/>
        <v>0</v>
      </c>
      <c r="U264" s="507">
        <f t="shared" si="63"/>
        <v>0</v>
      </c>
      <c r="V264" s="507">
        <f t="shared" si="63"/>
        <v>0</v>
      </c>
      <c r="W264" s="507">
        <f t="shared" si="63"/>
        <v>0</v>
      </c>
      <c r="X264" s="507">
        <f t="shared" si="63"/>
        <v>0</v>
      </c>
      <c r="Y264" s="507">
        <f t="shared" si="63"/>
        <v>0</v>
      </c>
      <c r="Z264" s="507">
        <f t="shared" si="63"/>
        <v>0</v>
      </c>
      <c r="AA264" s="507">
        <f t="shared" si="63"/>
        <v>0</v>
      </c>
      <c r="AB264" s="507">
        <f t="shared" si="63"/>
        <v>0</v>
      </c>
      <c r="AC264" s="507">
        <f t="shared" si="63"/>
        <v>0</v>
      </c>
      <c r="AD264" s="507">
        <f t="shared" si="63"/>
        <v>0</v>
      </c>
      <c r="AE264" s="507">
        <f t="shared" si="63"/>
        <v>0</v>
      </c>
      <c r="AF264" s="507">
        <f t="shared" si="63"/>
        <v>0</v>
      </c>
      <c r="AG264" s="507">
        <f t="shared" si="63"/>
        <v>0</v>
      </c>
      <c r="AH264" s="507">
        <f t="shared" si="63"/>
        <v>0</v>
      </c>
      <c r="AI264" s="507">
        <f t="shared" si="63"/>
        <v>0</v>
      </c>
      <c r="AJ264" s="507">
        <f t="shared" si="63"/>
        <v>0</v>
      </c>
      <c r="AK264" s="507">
        <f t="shared" si="63"/>
        <v>0</v>
      </c>
      <c r="AL264" s="507">
        <f t="shared" si="63"/>
        <v>0</v>
      </c>
      <c r="AM264" s="507">
        <f t="shared" si="63"/>
        <v>0</v>
      </c>
      <c r="AN264" s="507">
        <f t="shared" si="63"/>
        <v>0</v>
      </c>
      <c r="AO264" s="507">
        <f t="shared" si="63"/>
        <v>0</v>
      </c>
    </row>
    <row r="265" spans="3:41" x14ac:dyDescent="0.25">
      <c r="C265" s="82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</row>
    <row r="266" spans="3:41" x14ac:dyDescent="0.25">
      <c r="C266" s="82"/>
      <c r="E266" s="96" t="s">
        <v>1172</v>
      </c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25">
      <c r="C267" s="82"/>
      <c r="F267" s="91" t="s">
        <v>1164</v>
      </c>
      <c r="G267" s="91" t="s">
        <v>427</v>
      </c>
      <c r="H267" s="91"/>
      <c r="I267" s="91"/>
      <c r="J267" s="498">
        <f t="shared" ref="J267:AO269" si="64">IF(J$237,MATCH(J249,J$40:J$42,0), 0)</f>
        <v>0</v>
      </c>
      <c r="K267" s="498">
        <f t="shared" si="64"/>
        <v>0</v>
      </c>
      <c r="L267" s="498">
        <f t="shared" si="64"/>
        <v>0</v>
      </c>
      <c r="M267" s="498">
        <f t="shared" si="64"/>
        <v>0</v>
      </c>
      <c r="N267" s="498">
        <f t="shared" si="64"/>
        <v>0</v>
      </c>
      <c r="O267" s="498">
        <f t="shared" si="64"/>
        <v>0</v>
      </c>
      <c r="P267" s="498">
        <f t="shared" si="64"/>
        <v>0</v>
      </c>
      <c r="Q267" s="498">
        <f t="shared" si="64"/>
        <v>0</v>
      </c>
      <c r="R267" s="498">
        <f t="shared" si="64"/>
        <v>0</v>
      </c>
      <c r="S267" s="498">
        <f t="shared" si="64"/>
        <v>0</v>
      </c>
      <c r="T267" s="498">
        <f t="shared" si="64"/>
        <v>0</v>
      </c>
      <c r="U267" s="498">
        <f t="shared" si="64"/>
        <v>0</v>
      </c>
      <c r="V267" s="498">
        <f t="shared" si="64"/>
        <v>0</v>
      </c>
      <c r="W267" s="498">
        <f t="shared" si="64"/>
        <v>0</v>
      </c>
      <c r="X267" s="498">
        <f t="shared" si="64"/>
        <v>0</v>
      </c>
      <c r="Y267" s="498">
        <f t="shared" si="64"/>
        <v>0</v>
      </c>
      <c r="Z267" s="498">
        <f t="shared" si="64"/>
        <v>0</v>
      </c>
      <c r="AA267" s="498">
        <f t="shared" si="64"/>
        <v>0</v>
      </c>
      <c r="AB267" s="498">
        <f t="shared" si="64"/>
        <v>0</v>
      </c>
      <c r="AC267" s="498">
        <f t="shared" si="64"/>
        <v>0</v>
      </c>
      <c r="AD267" s="498">
        <f t="shared" si="64"/>
        <v>0</v>
      </c>
      <c r="AE267" s="498">
        <f t="shared" si="64"/>
        <v>0</v>
      </c>
      <c r="AF267" s="498">
        <f t="shared" si="64"/>
        <v>0</v>
      </c>
      <c r="AG267" s="498">
        <f t="shared" si="64"/>
        <v>0</v>
      </c>
      <c r="AH267" s="498">
        <f t="shared" si="64"/>
        <v>0</v>
      </c>
      <c r="AI267" s="498">
        <f t="shared" si="64"/>
        <v>0</v>
      </c>
      <c r="AJ267" s="498">
        <f t="shared" si="64"/>
        <v>0</v>
      </c>
      <c r="AK267" s="498">
        <f t="shared" si="64"/>
        <v>0</v>
      </c>
      <c r="AL267" s="498">
        <f t="shared" si="64"/>
        <v>0</v>
      </c>
      <c r="AM267" s="498">
        <f t="shared" si="64"/>
        <v>0</v>
      </c>
      <c r="AN267" s="498">
        <f t="shared" si="64"/>
        <v>0</v>
      </c>
      <c r="AO267" s="498">
        <f t="shared" si="64"/>
        <v>0</v>
      </c>
    </row>
    <row r="268" spans="3:41" x14ac:dyDescent="0.25">
      <c r="C268" s="82"/>
      <c r="F268" s="293" t="s">
        <v>1165</v>
      </c>
      <c r="G268" s="293" t="s">
        <v>427</v>
      </c>
      <c r="J268" s="499">
        <f t="shared" si="64"/>
        <v>0</v>
      </c>
      <c r="K268" s="499">
        <f t="shared" si="64"/>
        <v>0</v>
      </c>
      <c r="L268" s="499">
        <f t="shared" si="64"/>
        <v>0</v>
      </c>
      <c r="M268" s="499">
        <f t="shared" si="64"/>
        <v>0</v>
      </c>
      <c r="N268" s="499">
        <f t="shared" si="64"/>
        <v>0</v>
      </c>
      <c r="O268" s="499">
        <f t="shared" si="64"/>
        <v>0</v>
      </c>
      <c r="P268" s="499">
        <f t="shared" si="64"/>
        <v>0</v>
      </c>
      <c r="Q268" s="499">
        <f t="shared" si="64"/>
        <v>0</v>
      </c>
      <c r="R268" s="499">
        <f t="shared" si="64"/>
        <v>0</v>
      </c>
      <c r="S268" s="499">
        <f t="shared" si="64"/>
        <v>0</v>
      </c>
      <c r="T268" s="499">
        <f t="shared" si="64"/>
        <v>0</v>
      </c>
      <c r="U268" s="499">
        <f t="shared" si="64"/>
        <v>0</v>
      </c>
      <c r="V268" s="499">
        <f t="shared" si="64"/>
        <v>0</v>
      </c>
      <c r="W268" s="499">
        <f t="shared" si="64"/>
        <v>0</v>
      </c>
      <c r="X268" s="499">
        <f t="shared" si="64"/>
        <v>0</v>
      </c>
      <c r="Y268" s="499">
        <f t="shared" si="64"/>
        <v>0</v>
      </c>
      <c r="Z268" s="499">
        <f t="shared" si="64"/>
        <v>0</v>
      </c>
      <c r="AA268" s="499">
        <f t="shared" si="64"/>
        <v>0</v>
      </c>
      <c r="AB268" s="499">
        <f t="shared" si="64"/>
        <v>0</v>
      </c>
      <c r="AC268" s="499">
        <f t="shared" si="64"/>
        <v>0</v>
      </c>
      <c r="AD268" s="499">
        <f t="shared" si="64"/>
        <v>0</v>
      </c>
      <c r="AE268" s="499">
        <f t="shared" si="64"/>
        <v>0</v>
      </c>
      <c r="AF268" s="499">
        <f t="shared" si="64"/>
        <v>0</v>
      </c>
      <c r="AG268" s="499">
        <f t="shared" si="64"/>
        <v>0</v>
      </c>
      <c r="AH268" s="499">
        <f t="shared" si="64"/>
        <v>0</v>
      </c>
      <c r="AI268" s="499">
        <f t="shared" si="64"/>
        <v>0</v>
      </c>
      <c r="AJ268" s="499">
        <f t="shared" si="64"/>
        <v>0</v>
      </c>
      <c r="AK268" s="499">
        <f t="shared" si="64"/>
        <v>0</v>
      </c>
      <c r="AL268" s="499">
        <f t="shared" si="64"/>
        <v>0</v>
      </c>
      <c r="AM268" s="499">
        <f t="shared" si="64"/>
        <v>0</v>
      </c>
      <c r="AN268" s="499">
        <f t="shared" si="64"/>
        <v>0</v>
      </c>
      <c r="AO268" s="499">
        <f t="shared" si="64"/>
        <v>0</v>
      </c>
    </row>
    <row r="269" spans="3:41" x14ac:dyDescent="0.25">
      <c r="C269" s="82"/>
      <c r="F269" s="93" t="s">
        <v>1166</v>
      </c>
      <c r="G269" s="93" t="s">
        <v>427</v>
      </c>
      <c r="H269" s="93"/>
      <c r="I269" s="93"/>
      <c r="J269" s="500">
        <f t="shared" si="64"/>
        <v>0</v>
      </c>
      <c r="K269" s="500">
        <f t="shared" si="64"/>
        <v>0</v>
      </c>
      <c r="L269" s="500">
        <f t="shared" si="64"/>
        <v>0</v>
      </c>
      <c r="M269" s="500">
        <f t="shared" si="64"/>
        <v>0</v>
      </c>
      <c r="N269" s="500">
        <f t="shared" si="64"/>
        <v>0</v>
      </c>
      <c r="O269" s="500">
        <f t="shared" si="64"/>
        <v>0</v>
      </c>
      <c r="P269" s="500">
        <f t="shared" si="64"/>
        <v>0</v>
      </c>
      <c r="Q269" s="500">
        <f t="shared" si="64"/>
        <v>0</v>
      </c>
      <c r="R269" s="500">
        <f t="shared" si="64"/>
        <v>0</v>
      </c>
      <c r="S269" s="500">
        <f t="shared" si="64"/>
        <v>0</v>
      </c>
      <c r="T269" s="500">
        <f t="shared" si="64"/>
        <v>0</v>
      </c>
      <c r="U269" s="500">
        <f t="shared" si="64"/>
        <v>0</v>
      </c>
      <c r="V269" s="500">
        <f t="shared" si="64"/>
        <v>0</v>
      </c>
      <c r="W269" s="500">
        <f t="shared" si="64"/>
        <v>0</v>
      </c>
      <c r="X269" s="500">
        <f t="shared" si="64"/>
        <v>0</v>
      </c>
      <c r="Y269" s="500">
        <f t="shared" si="64"/>
        <v>0</v>
      </c>
      <c r="Z269" s="500">
        <f t="shared" si="64"/>
        <v>0</v>
      </c>
      <c r="AA269" s="500">
        <f t="shared" si="64"/>
        <v>0</v>
      </c>
      <c r="AB269" s="500">
        <f t="shared" si="64"/>
        <v>0</v>
      </c>
      <c r="AC269" s="500">
        <f t="shared" si="64"/>
        <v>0</v>
      </c>
      <c r="AD269" s="500">
        <f t="shared" si="64"/>
        <v>0</v>
      </c>
      <c r="AE269" s="500">
        <f t="shared" si="64"/>
        <v>0</v>
      </c>
      <c r="AF269" s="500">
        <f t="shared" si="64"/>
        <v>0</v>
      </c>
      <c r="AG269" s="500">
        <f t="shared" si="64"/>
        <v>0</v>
      </c>
      <c r="AH269" s="500">
        <f t="shared" si="64"/>
        <v>0</v>
      </c>
      <c r="AI269" s="500">
        <f t="shared" si="64"/>
        <v>0</v>
      </c>
      <c r="AJ269" s="500">
        <f t="shared" si="64"/>
        <v>0</v>
      </c>
      <c r="AK269" s="500">
        <f t="shared" si="64"/>
        <v>0</v>
      </c>
      <c r="AL269" s="500">
        <f t="shared" si="64"/>
        <v>0</v>
      </c>
      <c r="AM269" s="500">
        <f t="shared" si="64"/>
        <v>0</v>
      </c>
      <c r="AN269" s="500">
        <f t="shared" si="64"/>
        <v>0</v>
      </c>
      <c r="AO269" s="500">
        <f t="shared" si="64"/>
        <v>0</v>
      </c>
    </row>
    <row r="270" spans="3:41" x14ac:dyDescent="0.25">
      <c r="C270" s="82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</row>
    <row r="271" spans="3:41" x14ac:dyDescent="0.25">
      <c r="C271" s="82"/>
      <c r="E271" s="96" t="s">
        <v>1173</v>
      </c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25">
      <c r="C272" s="82"/>
      <c r="F272" s="91" t="s">
        <v>1164</v>
      </c>
      <c r="G272" s="91" t="s">
        <v>120</v>
      </c>
      <c r="H272" s="91"/>
      <c r="I272" s="91"/>
      <c r="J272" s="245">
        <f t="shared" ref="J272:AO274" si="65">IF(J$237, INDEX(J$53:J$55,J267), 0)</f>
        <v>0</v>
      </c>
      <c r="K272" s="245">
        <f t="shared" si="65"/>
        <v>0</v>
      </c>
      <c r="L272" s="245">
        <f t="shared" si="65"/>
        <v>0</v>
      </c>
      <c r="M272" s="245">
        <f t="shared" si="65"/>
        <v>0</v>
      </c>
      <c r="N272" s="245">
        <f t="shared" si="65"/>
        <v>0</v>
      </c>
      <c r="O272" s="245">
        <f t="shared" si="65"/>
        <v>0</v>
      </c>
      <c r="P272" s="245">
        <f t="shared" si="65"/>
        <v>0</v>
      </c>
      <c r="Q272" s="245">
        <f t="shared" si="65"/>
        <v>0</v>
      </c>
      <c r="R272" s="245">
        <f t="shared" si="65"/>
        <v>0</v>
      </c>
      <c r="S272" s="245">
        <f t="shared" si="65"/>
        <v>0</v>
      </c>
      <c r="T272" s="245">
        <f t="shared" si="65"/>
        <v>0</v>
      </c>
      <c r="U272" s="245">
        <f t="shared" si="65"/>
        <v>0</v>
      </c>
      <c r="V272" s="245">
        <f t="shared" si="65"/>
        <v>0</v>
      </c>
      <c r="W272" s="245">
        <f t="shared" si="65"/>
        <v>0</v>
      </c>
      <c r="X272" s="245">
        <f t="shared" si="65"/>
        <v>0</v>
      </c>
      <c r="Y272" s="245">
        <f t="shared" si="65"/>
        <v>0</v>
      </c>
      <c r="Z272" s="245">
        <f t="shared" si="65"/>
        <v>0</v>
      </c>
      <c r="AA272" s="245">
        <f t="shared" si="65"/>
        <v>0</v>
      </c>
      <c r="AB272" s="245">
        <f t="shared" si="65"/>
        <v>0</v>
      </c>
      <c r="AC272" s="245">
        <f t="shared" si="65"/>
        <v>0</v>
      </c>
      <c r="AD272" s="245">
        <f t="shared" si="65"/>
        <v>0</v>
      </c>
      <c r="AE272" s="245">
        <f t="shared" si="65"/>
        <v>0</v>
      </c>
      <c r="AF272" s="245">
        <f t="shared" si="65"/>
        <v>0</v>
      </c>
      <c r="AG272" s="245">
        <f t="shared" si="65"/>
        <v>0</v>
      </c>
      <c r="AH272" s="245">
        <f t="shared" si="65"/>
        <v>0</v>
      </c>
      <c r="AI272" s="245">
        <f t="shared" si="65"/>
        <v>0</v>
      </c>
      <c r="AJ272" s="245">
        <f t="shared" si="65"/>
        <v>0</v>
      </c>
      <c r="AK272" s="245">
        <f t="shared" si="65"/>
        <v>0</v>
      </c>
      <c r="AL272" s="245">
        <f t="shared" si="65"/>
        <v>0</v>
      </c>
      <c r="AM272" s="245">
        <f t="shared" si="65"/>
        <v>0</v>
      </c>
      <c r="AN272" s="245">
        <f t="shared" si="65"/>
        <v>0</v>
      </c>
      <c r="AO272" s="245">
        <f t="shared" si="65"/>
        <v>0</v>
      </c>
    </row>
    <row r="273" spans="3:43" x14ac:dyDescent="0.25">
      <c r="C273" s="82"/>
      <c r="F273" s="293" t="s">
        <v>1165</v>
      </c>
      <c r="G273" s="293" t="s">
        <v>120</v>
      </c>
      <c r="J273" s="237">
        <f t="shared" si="65"/>
        <v>0</v>
      </c>
      <c r="K273" s="237">
        <f t="shared" si="65"/>
        <v>0</v>
      </c>
      <c r="L273" s="237">
        <f t="shared" si="65"/>
        <v>0</v>
      </c>
      <c r="M273" s="237">
        <f t="shared" si="65"/>
        <v>0</v>
      </c>
      <c r="N273" s="237">
        <f t="shared" si="65"/>
        <v>0</v>
      </c>
      <c r="O273" s="237">
        <f t="shared" si="65"/>
        <v>0</v>
      </c>
      <c r="P273" s="237">
        <f t="shared" si="65"/>
        <v>0</v>
      </c>
      <c r="Q273" s="237">
        <f t="shared" si="65"/>
        <v>0</v>
      </c>
      <c r="R273" s="237">
        <f t="shared" si="65"/>
        <v>0</v>
      </c>
      <c r="S273" s="237">
        <f t="shared" si="65"/>
        <v>0</v>
      </c>
      <c r="T273" s="237">
        <f t="shared" si="65"/>
        <v>0</v>
      </c>
      <c r="U273" s="237">
        <f t="shared" si="65"/>
        <v>0</v>
      </c>
      <c r="V273" s="237">
        <f t="shared" si="65"/>
        <v>0</v>
      </c>
      <c r="W273" s="237">
        <f t="shared" si="65"/>
        <v>0</v>
      </c>
      <c r="X273" s="237">
        <f t="shared" si="65"/>
        <v>0</v>
      </c>
      <c r="Y273" s="237">
        <f t="shared" si="65"/>
        <v>0</v>
      </c>
      <c r="Z273" s="237">
        <f t="shared" si="65"/>
        <v>0</v>
      </c>
      <c r="AA273" s="237">
        <f t="shared" si="65"/>
        <v>0</v>
      </c>
      <c r="AB273" s="237">
        <f t="shared" si="65"/>
        <v>0</v>
      </c>
      <c r="AC273" s="237">
        <f t="shared" si="65"/>
        <v>0</v>
      </c>
      <c r="AD273" s="237">
        <f t="shared" si="65"/>
        <v>0</v>
      </c>
      <c r="AE273" s="237">
        <f t="shared" si="65"/>
        <v>0</v>
      </c>
      <c r="AF273" s="237">
        <f t="shared" si="65"/>
        <v>0</v>
      </c>
      <c r="AG273" s="237">
        <f t="shared" si="65"/>
        <v>0</v>
      </c>
      <c r="AH273" s="237">
        <f t="shared" si="65"/>
        <v>0</v>
      </c>
      <c r="AI273" s="237">
        <f t="shared" si="65"/>
        <v>0</v>
      </c>
      <c r="AJ273" s="237">
        <f t="shared" si="65"/>
        <v>0</v>
      </c>
      <c r="AK273" s="237">
        <f t="shared" si="65"/>
        <v>0</v>
      </c>
      <c r="AL273" s="237">
        <f t="shared" si="65"/>
        <v>0</v>
      </c>
      <c r="AM273" s="237">
        <f t="shared" si="65"/>
        <v>0</v>
      </c>
      <c r="AN273" s="237">
        <f t="shared" si="65"/>
        <v>0</v>
      </c>
      <c r="AO273" s="237">
        <f t="shared" si="65"/>
        <v>0</v>
      </c>
    </row>
    <row r="274" spans="3:43" x14ac:dyDescent="0.25">
      <c r="C274" s="82"/>
      <c r="F274" s="93" t="s">
        <v>1166</v>
      </c>
      <c r="G274" s="93" t="s">
        <v>120</v>
      </c>
      <c r="H274" s="93"/>
      <c r="I274" s="93"/>
      <c r="J274" s="251">
        <f t="shared" si="65"/>
        <v>0</v>
      </c>
      <c r="K274" s="251">
        <f t="shared" si="65"/>
        <v>0</v>
      </c>
      <c r="L274" s="251">
        <f t="shared" si="65"/>
        <v>0</v>
      </c>
      <c r="M274" s="251">
        <f t="shared" si="65"/>
        <v>0</v>
      </c>
      <c r="N274" s="251">
        <f t="shared" si="65"/>
        <v>0</v>
      </c>
      <c r="O274" s="251">
        <f t="shared" si="65"/>
        <v>0</v>
      </c>
      <c r="P274" s="251">
        <f t="shared" si="65"/>
        <v>0</v>
      </c>
      <c r="Q274" s="251">
        <f t="shared" si="65"/>
        <v>0</v>
      </c>
      <c r="R274" s="251">
        <f t="shared" si="65"/>
        <v>0</v>
      </c>
      <c r="S274" s="251">
        <f t="shared" si="65"/>
        <v>0</v>
      </c>
      <c r="T274" s="251">
        <f t="shared" si="65"/>
        <v>0</v>
      </c>
      <c r="U274" s="251">
        <f t="shared" si="65"/>
        <v>0</v>
      </c>
      <c r="V274" s="251">
        <f t="shared" si="65"/>
        <v>0</v>
      </c>
      <c r="W274" s="251">
        <f t="shared" si="65"/>
        <v>0</v>
      </c>
      <c r="X274" s="251">
        <f t="shared" si="65"/>
        <v>0</v>
      </c>
      <c r="Y274" s="251">
        <f t="shared" si="65"/>
        <v>0</v>
      </c>
      <c r="Z274" s="251">
        <f t="shared" si="65"/>
        <v>0</v>
      </c>
      <c r="AA274" s="251">
        <f t="shared" si="65"/>
        <v>0</v>
      </c>
      <c r="AB274" s="251">
        <f t="shared" si="65"/>
        <v>0</v>
      </c>
      <c r="AC274" s="251">
        <f t="shared" si="65"/>
        <v>0</v>
      </c>
      <c r="AD274" s="251">
        <f t="shared" si="65"/>
        <v>0</v>
      </c>
      <c r="AE274" s="251">
        <f t="shared" si="65"/>
        <v>0</v>
      </c>
      <c r="AF274" s="251">
        <f t="shared" si="65"/>
        <v>0</v>
      </c>
      <c r="AG274" s="251">
        <f t="shared" si="65"/>
        <v>0</v>
      </c>
      <c r="AH274" s="251">
        <f t="shared" si="65"/>
        <v>0</v>
      </c>
      <c r="AI274" s="251">
        <f t="shared" si="65"/>
        <v>0</v>
      </c>
      <c r="AJ274" s="251">
        <f t="shared" si="65"/>
        <v>0</v>
      </c>
      <c r="AK274" s="251">
        <f t="shared" si="65"/>
        <v>0</v>
      </c>
      <c r="AL274" s="251">
        <f t="shared" si="65"/>
        <v>0</v>
      </c>
      <c r="AM274" s="251">
        <f t="shared" si="65"/>
        <v>0</v>
      </c>
      <c r="AN274" s="251">
        <f t="shared" si="65"/>
        <v>0</v>
      </c>
      <c r="AO274" s="251">
        <f t="shared" si="65"/>
        <v>0</v>
      </c>
    </row>
    <row r="275" spans="3:43" x14ac:dyDescent="0.25">
      <c r="C275" s="82"/>
      <c r="J275" s="237"/>
      <c r="K275" s="237"/>
      <c r="L275" s="237"/>
      <c r="M275" s="237"/>
      <c r="N275" s="237"/>
      <c r="O275" s="237"/>
      <c r="P275" s="237"/>
      <c r="Q275" s="237"/>
      <c r="R275" s="237"/>
      <c r="S275" s="237"/>
      <c r="T275" s="237"/>
      <c r="U275" s="237"/>
      <c r="V275" s="237"/>
      <c r="W275" s="237"/>
      <c r="X275" s="237"/>
      <c r="Y275" s="237"/>
      <c r="Z275" s="237"/>
      <c r="AA275" s="237"/>
      <c r="AB275" s="237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</row>
    <row r="276" spans="3:43" x14ac:dyDescent="0.25">
      <c r="C276" s="82"/>
      <c r="E276" s="96" t="s">
        <v>1174</v>
      </c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</row>
    <row r="277" spans="3:43" x14ac:dyDescent="0.25">
      <c r="C277" s="82"/>
      <c r="F277" s="91" t="s">
        <v>1164</v>
      </c>
      <c r="G277" s="91" t="s">
        <v>120</v>
      </c>
      <c r="H277" s="91"/>
      <c r="I277" s="91"/>
      <c r="J277" s="245">
        <f t="shared" ref="J277:AO279" si="66">SUMIF($J$149:$AO$149,J$149,$J272:$AO272)</f>
        <v>0</v>
      </c>
      <c r="K277" s="245">
        <f t="shared" si="66"/>
        <v>0</v>
      </c>
      <c r="L277" s="245">
        <f t="shared" si="66"/>
        <v>0</v>
      </c>
      <c r="M277" s="245">
        <f t="shared" si="66"/>
        <v>0</v>
      </c>
      <c r="N277" s="245">
        <f t="shared" si="66"/>
        <v>0</v>
      </c>
      <c r="O277" s="245">
        <f t="shared" si="66"/>
        <v>0</v>
      </c>
      <c r="P277" s="245">
        <f t="shared" si="66"/>
        <v>0</v>
      </c>
      <c r="Q277" s="245">
        <f t="shared" si="66"/>
        <v>0</v>
      </c>
      <c r="R277" s="245">
        <f t="shared" si="66"/>
        <v>0</v>
      </c>
      <c r="S277" s="245">
        <f t="shared" si="66"/>
        <v>0</v>
      </c>
      <c r="T277" s="245">
        <f t="shared" si="66"/>
        <v>0</v>
      </c>
      <c r="U277" s="245">
        <f t="shared" si="66"/>
        <v>0</v>
      </c>
      <c r="V277" s="245">
        <f t="shared" si="66"/>
        <v>0</v>
      </c>
      <c r="W277" s="245">
        <f t="shared" si="66"/>
        <v>0</v>
      </c>
      <c r="X277" s="245">
        <f t="shared" si="66"/>
        <v>0</v>
      </c>
      <c r="Y277" s="245">
        <f t="shared" si="66"/>
        <v>0</v>
      </c>
      <c r="Z277" s="245">
        <f t="shared" si="66"/>
        <v>0</v>
      </c>
      <c r="AA277" s="245">
        <f t="shared" si="66"/>
        <v>0</v>
      </c>
      <c r="AB277" s="245">
        <f t="shared" si="66"/>
        <v>0</v>
      </c>
      <c r="AC277" s="245">
        <f t="shared" si="66"/>
        <v>0</v>
      </c>
      <c r="AD277" s="245">
        <f t="shared" si="66"/>
        <v>0</v>
      </c>
      <c r="AE277" s="245">
        <f t="shared" si="66"/>
        <v>0</v>
      </c>
      <c r="AF277" s="245">
        <f t="shared" si="66"/>
        <v>0</v>
      </c>
      <c r="AG277" s="245">
        <f t="shared" si="66"/>
        <v>0</v>
      </c>
      <c r="AH277" s="245">
        <f t="shared" si="66"/>
        <v>0</v>
      </c>
      <c r="AI277" s="245">
        <f t="shared" si="66"/>
        <v>0</v>
      </c>
      <c r="AJ277" s="245">
        <f t="shared" si="66"/>
        <v>0</v>
      </c>
      <c r="AK277" s="245">
        <f t="shared" si="66"/>
        <v>0</v>
      </c>
      <c r="AL277" s="245">
        <f t="shared" si="66"/>
        <v>0</v>
      </c>
      <c r="AM277" s="245">
        <f t="shared" si="66"/>
        <v>0</v>
      </c>
      <c r="AN277" s="245">
        <f t="shared" si="66"/>
        <v>0</v>
      </c>
      <c r="AO277" s="245">
        <f t="shared" si="66"/>
        <v>0</v>
      </c>
    </row>
    <row r="278" spans="3:43" x14ac:dyDescent="0.25">
      <c r="C278" s="82"/>
      <c r="F278" s="293" t="s">
        <v>1165</v>
      </c>
      <c r="G278" s="293" t="s">
        <v>120</v>
      </c>
      <c r="J278" s="237">
        <f t="shared" si="66"/>
        <v>0</v>
      </c>
      <c r="K278" s="237">
        <f t="shared" si="66"/>
        <v>0</v>
      </c>
      <c r="L278" s="237">
        <f t="shared" si="66"/>
        <v>0</v>
      </c>
      <c r="M278" s="237">
        <f t="shared" si="66"/>
        <v>0</v>
      </c>
      <c r="N278" s="237">
        <f t="shared" si="66"/>
        <v>0</v>
      </c>
      <c r="O278" s="237">
        <f t="shared" si="66"/>
        <v>0</v>
      </c>
      <c r="P278" s="237">
        <f t="shared" si="66"/>
        <v>0</v>
      </c>
      <c r="Q278" s="237">
        <f t="shared" si="66"/>
        <v>0</v>
      </c>
      <c r="R278" s="237">
        <f t="shared" si="66"/>
        <v>0</v>
      </c>
      <c r="S278" s="237">
        <f t="shared" si="66"/>
        <v>0</v>
      </c>
      <c r="T278" s="237">
        <f t="shared" si="66"/>
        <v>0</v>
      </c>
      <c r="U278" s="237">
        <f t="shared" si="66"/>
        <v>0</v>
      </c>
      <c r="V278" s="237">
        <f t="shared" si="66"/>
        <v>0</v>
      </c>
      <c r="W278" s="237">
        <f t="shared" si="66"/>
        <v>0</v>
      </c>
      <c r="X278" s="237">
        <f t="shared" si="66"/>
        <v>0</v>
      </c>
      <c r="Y278" s="237">
        <f t="shared" si="66"/>
        <v>0</v>
      </c>
      <c r="Z278" s="237">
        <f t="shared" si="66"/>
        <v>0</v>
      </c>
      <c r="AA278" s="237">
        <f t="shared" si="66"/>
        <v>0</v>
      </c>
      <c r="AB278" s="237">
        <f t="shared" si="66"/>
        <v>0</v>
      </c>
      <c r="AC278" s="237">
        <f t="shared" si="66"/>
        <v>0</v>
      </c>
      <c r="AD278" s="237">
        <f t="shared" si="66"/>
        <v>0</v>
      </c>
      <c r="AE278" s="237">
        <f t="shared" si="66"/>
        <v>0</v>
      </c>
      <c r="AF278" s="237">
        <f t="shared" si="66"/>
        <v>0</v>
      </c>
      <c r="AG278" s="237">
        <f t="shared" si="66"/>
        <v>0</v>
      </c>
      <c r="AH278" s="237">
        <f t="shared" si="66"/>
        <v>0</v>
      </c>
      <c r="AI278" s="237">
        <f t="shared" si="66"/>
        <v>0</v>
      </c>
      <c r="AJ278" s="237">
        <f t="shared" si="66"/>
        <v>0</v>
      </c>
      <c r="AK278" s="237">
        <f t="shared" si="66"/>
        <v>0</v>
      </c>
      <c r="AL278" s="237">
        <f t="shared" si="66"/>
        <v>0</v>
      </c>
      <c r="AM278" s="237">
        <f t="shared" si="66"/>
        <v>0</v>
      </c>
      <c r="AN278" s="237">
        <f t="shared" si="66"/>
        <v>0</v>
      </c>
      <c r="AO278" s="237">
        <f t="shared" si="66"/>
        <v>0</v>
      </c>
    </row>
    <row r="279" spans="3:43" x14ac:dyDescent="0.25">
      <c r="C279" s="82"/>
      <c r="F279" s="93" t="s">
        <v>1166</v>
      </c>
      <c r="G279" s="93" t="s">
        <v>120</v>
      </c>
      <c r="H279" s="93"/>
      <c r="I279" s="93"/>
      <c r="J279" s="251">
        <f t="shared" si="66"/>
        <v>0</v>
      </c>
      <c r="K279" s="251">
        <f t="shared" si="66"/>
        <v>0</v>
      </c>
      <c r="L279" s="251">
        <f t="shared" si="66"/>
        <v>0</v>
      </c>
      <c r="M279" s="251">
        <f t="shared" si="66"/>
        <v>0</v>
      </c>
      <c r="N279" s="251">
        <f t="shared" si="66"/>
        <v>0</v>
      </c>
      <c r="O279" s="251">
        <f t="shared" si="66"/>
        <v>0</v>
      </c>
      <c r="P279" s="251">
        <f t="shared" si="66"/>
        <v>0</v>
      </c>
      <c r="Q279" s="251">
        <f t="shared" si="66"/>
        <v>0</v>
      </c>
      <c r="R279" s="251">
        <f t="shared" si="66"/>
        <v>0</v>
      </c>
      <c r="S279" s="251">
        <f t="shared" si="66"/>
        <v>0</v>
      </c>
      <c r="T279" s="251">
        <f t="shared" si="66"/>
        <v>0</v>
      </c>
      <c r="U279" s="251">
        <f t="shared" si="66"/>
        <v>0</v>
      </c>
      <c r="V279" s="251">
        <f t="shared" si="66"/>
        <v>0</v>
      </c>
      <c r="W279" s="251">
        <f t="shared" si="66"/>
        <v>0</v>
      </c>
      <c r="X279" s="251">
        <f t="shared" si="66"/>
        <v>0</v>
      </c>
      <c r="Y279" s="251">
        <f t="shared" si="66"/>
        <v>0</v>
      </c>
      <c r="Z279" s="251">
        <f t="shared" si="66"/>
        <v>0</v>
      </c>
      <c r="AA279" s="251">
        <f t="shared" si="66"/>
        <v>0</v>
      </c>
      <c r="AB279" s="251">
        <f t="shared" si="66"/>
        <v>0</v>
      </c>
      <c r="AC279" s="251">
        <f t="shared" si="66"/>
        <v>0</v>
      </c>
      <c r="AD279" s="251">
        <f t="shared" si="66"/>
        <v>0</v>
      </c>
      <c r="AE279" s="251">
        <f t="shared" si="66"/>
        <v>0</v>
      </c>
      <c r="AF279" s="251">
        <f t="shared" si="66"/>
        <v>0</v>
      </c>
      <c r="AG279" s="251">
        <f t="shared" si="66"/>
        <v>0</v>
      </c>
      <c r="AH279" s="251">
        <f t="shared" si="66"/>
        <v>0</v>
      </c>
      <c r="AI279" s="251">
        <f t="shared" si="66"/>
        <v>0</v>
      </c>
      <c r="AJ279" s="251">
        <f t="shared" si="66"/>
        <v>0</v>
      </c>
      <c r="AK279" s="251">
        <f t="shared" si="66"/>
        <v>0</v>
      </c>
      <c r="AL279" s="251">
        <f t="shared" si="66"/>
        <v>0</v>
      </c>
      <c r="AM279" s="251">
        <f t="shared" si="66"/>
        <v>0</v>
      </c>
      <c r="AN279" s="251">
        <f t="shared" si="66"/>
        <v>0</v>
      </c>
      <c r="AO279" s="251">
        <f t="shared" si="66"/>
        <v>0</v>
      </c>
    </row>
    <row r="280" spans="3:43" x14ac:dyDescent="0.25">
      <c r="C280" s="82"/>
      <c r="J280" s="237"/>
      <c r="K280" s="237"/>
      <c r="L280" s="237"/>
      <c r="M280" s="237"/>
      <c r="N280" s="237"/>
      <c r="O280" s="237"/>
      <c r="P280" s="237"/>
      <c r="Q280" s="237"/>
      <c r="R280" s="237"/>
      <c r="S280" s="237"/>
      <c r="T280" s="237"/>
      <c r="U280" s="237"/>
      <c r="V280" s="237"/>
      <c r="W280" s="237"/>
      <c r="X280" s="237"/>
      <c r="Y280" s="237"/>
      <c r="Z280" s="237"/>
      <c r="AA280" s="237"/>
      <c r="AB280" s="237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</row>
    <row r="281" spans="3:43" x14ac:dyDescent="0.25">
      <c r="C281" s="82"/>
      <c r="E281" s="96" t="s">
        <v>1175</v>
      </c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</row>
    <row r="282" spans="3:43" x14ac:dyDescent="0.25">
      <c r="C282" s="82"/>
      <c r="F282" s="91" t="s">
        <v>1164</v>
      </c>
      <c r="G282" s="91" t="s">
        <v>120</v>
      </c>
      <c r="H282" s="91"/>
      <c r="I282" s="91"/>
      <c r="J282" s="245">
        <f>J277 * J$157</f>
        <v>0</v>
      </c>
      <c r="K282" s="245">
        <f t="shared" ref="K282:AO282" si="67">K277 * K$157</f>
        <v>0</v>
      </c>
      <c r="L282" s="245">
        <f t="shared" si="67"/>
        <v>0</v>
      </c>
      <c r="M282" s="245">
        <f t="shared" si="67"/>
        <v>0</v>
      </c>
      <c r="N282" s="245">
        <f t="shared" si="67"/>
        <v>0</v>
      </c>
      <c r="O282" s="245">
        <f t="shared" si="67"/>
        <v>0</v>
      </c>
      <c r="P282" s="245">
        <f t="shared" si="67"/>
        <v>0</v>
      </c>
      <c r="Q282" s="245">
        <f t="shared" si="67"/>
        <v>0</v>
      </c>
      <c r="R282" s="245">
        <f t="shared" si="67"/>
        <v>0</v>
      </c>
      <c r="S282" s="245">
        <f t="shared" si="67"/>
        <v>0</v>
      </c>
      <c r="T282" s="245">
        <f t="shared" si="67"/>
        <v>0</v>
      </c>
      <c r="U282" s="245">
        <f t="shared" si="67"/>
        <v>0</v>
      </c>
      <c r="V282" s="245">
        <f t="shared" si="67"/>
        <v>0</v>
      </c>
      <c r="W282" s="245">
        <f t="shared" si="67"/>
        <v>0</v>
      </c>
      <c r="X282" s="245">
        <f t="shared" si="67"/>
        <v>0</v>
      </c>
      <c r="Y282" s="245">
        <f t="shared" si="67"/>
        <v>0</v>
      </c>
      <c r="Z282" s="245">
        <f t="shared" si="67"/>
        <v>0</v>
      </c>
      <c r="AA282" s="245">
        <f t="shared" si="67"/>
        <v>0</v>
      </c>
      <c r="AB282" s="245">
        <f t="shared" si="67"/>
        <v>0</v>
      </c>
      <c r="AC282" s="245">
        <f t="shared" si="67"/>
        <v>0</v>
      </c>
      <c r="AD282" s="245">
        <f t="shared" si="67"/>
        <v>0</v>
      </c>
      <c r="AE282" s="245">
        <f t="shared" si="67"/>
        <v>0</v>
      </c>
      <c r="AF282" s="245">
        <f t="shared" si="67"/>
        <v>0</v>
      </c>
      <c r="AG282" s="245">
        <f t="shared" si="67"/>
        <v>0</v>
      </c>
      <c r="AH282" s="245">
        <f t="shared" si="67"/>
        <v>0</v>
      </c>
      <c r="AI282" s="245">
        <f t="shared" si="67"/>
        <v>0</v>
      </c>
      <c r="AJ282" s="245">
        <f t="shared" si="67"/>
        <v>0</v>
      </c>
      <c r="AK282" s="245">
        <f t="shared" si="67"/>
        <v>0</v>
      </c>
      <c r="AL282" s="245">
        <f t="shared" si="67"/>
        <v>0</v>
      </c>
      <c r="AM282" s="245">
        <f t="shared" si="67"/>
        <v>0</v>
      </c>
      <c r="AN282" s="245">
        <f t="shared" si="67"/>
        <v>0</v>
      </c>
      <c r="AO282" s="245">
        <f t="shared" si="67"/>
        <v>0</v>
      </c>
    </row>
    <row r="283" spans="3:43" x14ac:dyDescent="0.25">
      <c r="C283" s="82"/>
      <c r="F283" s="293" t="s">
        <v>1165</v>
      </c>
      <c r="G283" s="293" t="s">
        <v>120</v>
      </c>
      <c r="J283" s="237">
        <f t="shared" ref="J283:AO284" si="68">J278 * J$157</f>
        <v>0</v>
      </c>
      <c r="K283" s="237">
        <f t="shared" si="68"/>
        <v>0</v>
      </c>
      <c r="L283" s="237">
        <f t="shared" si="68"/>
        <v>0</v>
      </c>
      <c r="M283" s="237">
        <f t="shared" si="68"/>
        <v>0</v>
      </c>
      <c r="N283" s="237">
        <f t="shared" si="68"/>
        <v>0</v>
      </c>
      <c r="O283" s="237">
        <f t="shared" si="68"/>
        <v>0</v>
      </c>
      <c r="P283" s="237">
        <f t="shared" si="68"/>
        <v>0</v>
      </c>
      <c r="Q283" s="237">
        <f t="shared" si="68"/>
        <v>0</v>
      </c>
      <c r="R283" s="237">
        <f t="shared" si="68"/>
        <v>0</v>
      </c>
      <c r="S283" s="237">
        <f t="shared" si="68"/>
        <v>0</v>
      </c>
      <c r="T283" s="237">
        <f t="shared" si="68"/>
        <v>0</v>
      </c>
      <c r="U283" s="237">
        <f t="shared" si="68"/>
        <v>0</v>
      </c>
      <c r="V283" s="237">
        <f t="shared" si="68"/>
        <v>0</v>
      </c>
      <c r="W283" s="237">
        <f t="shared" si="68"/>
        <v>0</v>
      </c>
      <c r="X283" s="237">
        <f t="shared" si="68"/>
        <v>0</v>
      </c>
      <c r="Y283" s="237">
        <f t="shared" si="68"/>
        <v>0</v>
      </c>
      <c r="Z283" s="237">
        <f t="shared" si="68"/>
        <v>0</v>
      </c>
      <c r="AA283" s="237">
        <f t="shared" si="68"/>
        <v>0</v>
      </c>
      <c r="AB283" s="237">
        <f t="shared" si="68"/>
        <v>0</v>
      </c>
      <c r="AC283" s="237">
        <f t="shared" si="68"/>
        <v>0</v>
      </c>
      <c r="AD283" s="237">
        <f t="shared" si="68"/>
        <v>0</v>
      </c>
      <c r="AE283" s="237">
        <f t="shared" si="68"/>
        <v>0</v>
      </c>
      <c r="AF283" s="237">
        <f t="shared" si="68"/>
        <v>0</v>
      </c>
      <c r="AG283" s="237">
        <f t="shared" si="68"/>
        <v>0</v>
      </c>
      <c r="AH283" s="237">
        <f t="shared" si="68"/>
        <v>0</v>
      </c>
      <c r="AI283" s="237">
        <f t="shared" si="68"/>
        <v>0</v>
      </c>
      <c r="AJ283" s="237">
        <f t="shared" si="68"/>
        <v>0</v>
      </c>
      <c r="AK283" s="237">
        <f t="shared" si="68"/>
        <v>0</v>
      </c>
      <c r="AL283" s="237">
        <f t="shared" si="68"/>
        <v>0</v>
      </c>
      <c r="AM283" s="237">
        <f t="shared" si="68"/>
        <v>0</v>
      </c>
      <c r="AN283" s="237">
        <f t="shared" si="68"/>
        <v>0</v>
      </c>
      <c r="AO283" s="237">
        <f t="shared" si="68"/>
        <v>0</v>
      </c>
    </row>
    <row r="284" spans="3:43" x14ac:dyDescent="0.25">
      <c r="C284" s="82"/>
      <c r="F284" s="93" t="s">
        <v>1166</v>
      </c>
      <c r="G284" s="93" t="s">
        <v>120</v>
      </c>
      <c r="H284" s="93"/>
      <c r="I284" s="93"/>
      <c r="J284" s="251">
        <f t="shared" si="68"/>
        <v>0</v>
      </c>
      <c r="K284" s="251">
        <f t="shared" si="68"/>
        <v>0</v>
      </c>
      <c r="L284" s="251">
        <f t="shared" si="68"/>
        <v>0</v>
      </c>
      <c r="M284" s="251">
        <f t="shared" si="68"/>
        <v>0</v>
      </c>
      <c r="N284" s="251">
        <f t="shared" si="68"/>
        <v>0</v>
      </c>
      <c r="O284" s="251">
        <f t="shared" si="68"/>
        <v>0</v>
      </c>
      <c r="P284" s="251">
        <f t="shared" si="68"/>
        <v>0</v>
      </c>
      <c r="Q284" s="251">
        <f t="shared" si="68"/>
        <v>0</v>
      </c>
      <c r="R284" s="251">
        <f t="shared" si="68"/>
        <v>0</v>
      </c>
      <c r="S284" s="251">
        <f t="shared" si="68"/>
        <v>0</v>
      </c>
      <c r="T284" s="251">
        <f t="shared" si="68"/>
        <v>0</v>
      </c>
      <c r="U284" s="251">
        <f t="shared" si="68"/>
        <v>0</v>
      </c>
      <c r="V284" s="251">
        <f t="shared" si="68"/>
        <v>0</v>
      </c>
      <c r="W284" s="251">
        <f t="shared" si="68"/>
        <v>0</v>
      </c>
      <c r="X284" s="251">
        <f t="shared" si="68"/>
        <v>0</v>
      </c>
      <c r="Y284" s="251">
        <f t="shared" si="68"/>
        <v>0</v>
      </c>
      <c r="Z284" s="251">
        <f t="shared" si="68"/>
        <v>0</v>
      </c>
      <c r="AA284" s="251">
        <f t="shared" si="68"/>
        <v>0</v>
      </c>
      <c r="AB284" s="251">
        <f t="shared" si="68"/>
        <v>0</v>
      </c>
      <c r="AC284" s="251">
        <f t="shared" si="68"/>
        <v>0</v>
      </c>
      <c r="AD284" s="251">
        <f t="shared" si="68"/>
        <v>0</v>
      </c>
      <c r="AE284" s="251">
        <f t="shared" si="68"/>
        <v>0</v>
      </c>
      <c r="AF284" s="251">
        <f t="shared" si="68"/>
        <v>0</v>
      </c>
      <c r="AG284" s="251">
        <f t="shared" si="68"/>
        <v>0</v>
      </c>
      <c r="AH284" s="251">
        <f t="shared" si="68"/>
        <v>0</v>
      </c>
      <c r="AI284" s="251">
        <f t="shared" si="68"/>
        <v>0</v>
      </c>
      <c r="AJ284" s="251">
        <f t="shared" si="68"/>
        <v>0</v>
      </c>
      <c r="AK284" s="251">
        <f t="shared" si="68"/>
        <v>0</v>
      </c>
      <c r="AL284" s="251">
        <f t="shared" si="68"/>
        <v>0</v>
      </c>
      <c r="AM284" s="251">
        <f t="shared" si="68"/>
        <v>0</v>
      </c>
      <c r="AN284" s="251">
        <f t="shared" si="68"/>
        <v>0</v>
      </c>
      <c r="AO284" s="251">
        <f t="shared" si="68"/>
        <v>0</v>
      </c>
    </row>
    <row r="285" spans="3:43" x14ac:dyDescent="0.25">
      <c r="C285" s="82"/>
      <c r="E285" s="96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</row>
    <row r="286" spans="3:43" x14ac:dyDescent="0.25">
      <c r="C286" s="7" t="str">
        <f ca="1">INDEX('Version control'!$H$34:$H$60,MATCH($A$1,'Version control'!$F$34:$F$60,0),1)&amp;"-K: Revenue matching for three timebands"</f>
        <v>Section 519-K: Revenue matching for three timebands</v>
      </c>
      <c r="D286" s="7"/>
      <c r="E286" s="7"/>
      <c r="F286" s="7"/>
      <c r="G286" s="7"/>
      <c r="H286" s="7"/>
      <c r="I286" s="7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7"/>
      <c r="AQ286" s="7"/>
    </row>
    <row r="287" spans="3:43" x14ac:dyDescent="0.25">
      <c r="C287" s="82"/>
      <c r="E287" s="96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</row>
    <row r="288" spans="3:43" x14ac:dyDescent="0.25">
      <c r="C288" s="82"/>
      <c r="D288" s="82" t="s">
        <v>1176</v>
      </c>
      <c r="E288" s="96"/>
      <c r="I288" s="293" t="s">
        <v>359</v>
      </c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Q288" s="293" t="s">
        <v>745</v>
      </c>
    </row>
    <row r="289" spans="3:44" x14ac:dyDescent="0.25">
      <c r="C289" s="82"/>
      <c r="D289" s="82" t="s">
        <v>1177</v>
      </c>
      <c r="E289" s="96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</row>
    <row r="290" spans="3:44" x14ac:dyDescent="0.25">
      <c r="C290" s="82"/>
      <c r="D290" s="82" t="s">
        <v>1178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25">
      <c r="C291" s="82"/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25">
      <c r="C292" s="82"/>
      <c r="E292" s="96" t="s">
        <v>1179</v>
      </c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25">
      <c r="C293" s="82"/>
      <c r="F293" s="293" t="s">
        <v>1180</v>
      </c>
      <c r="G293" s="293" t="s">
        <v>1141</v>
      </c>
      <c r="J293" s="237">
        <f t="shared" ref="J293:AO293" si="69">SUMIF($J149:$AO149,J149,$J228:$AO228)</f>
        <v>0</v>
      </c>
      <c r="K293" s="237">
        <f t="shared" si="69"/>
        <v>0</v>
      </c>
      <c r="L293" s="237">
        <f t="shared" si="69"/>
        <v>0</v>
      </c>
      <c r="M293" s="237">
        <f t="shared" si="69"/>
        <v>0</v>
      </c>
      <c r="N293" s="237">
        <f t="shared" si="69"/>
        <v>0</v>
      </c>
      <c r="O293" s="237">
        <f t="shared" si="69"/>
        <v>0</v>
      </c>
      <c r="P293" s="237">
        <f t="shared" si="69"/>
        <v>0</v>
      </c>
      <c r="Q293" s="237">
        <f t="shared" si="69"/>
        <v>0</v>
      </c>
      <c r="R293" s="237">
        <f t="shared" si="69"/>
        <v>0</v>
      </c>
      <c r="S293" s="237">
        <f t="shared" si="69"/>
        <v>0</v>
      </c>
      <c r="T293" s="237">
        <f t="shared" si="69"/>
        <v>0</v>
      </c>
      <c r="U293" s="237">
        <f t="shared" si="69"/>
        <v>0</v>
      </c>
      <c r="V293" s="237">
        <f t="shared" si="69"/>
        <v>0</v>
      </c>
      <c r="W293" s="237">
        <f t="shared" si="69"/>
        <v>0</v>
      </c>
      <c r="X293" s="237">
        <f t="shared" si="69"/>
        <v>0</v>
      </c>
      <c r="Y293" s="237">
        <f t="shared" si="69"/>
        <v>0</v>
      </c>
      <c r="Z293" s="237">
        <f t="shared" si="69"/>
        <v>0</v>
      </c>
      <c r="AA293" s="237">
        <f t="shared" si="69"/>
        <v>0</v>
      </c>
      <c r="AB293" s="237">
        <f t="shared" si="69"/>
        <v>0</v>
      </c>
      <c r="AC293" s="237">
        <f t="shared" si="69"/>
        <v>0</v>
      </c>
      <c r="AD293" s="237">
        <f t="shared" si="69"/>
        <v>0</v>
      </c>
      <c r="AE293" s="237">
        <f t="shared" si="69"/>
        <v>0</v>
      </c>
      <c r="AF293" s="237">
        <f t="shared" si="69"/>
        <v>0</v>
      </c>
      <c r="AG293" s="237">
        <f t="shared" si="69"/>
        <v>0</v>
      </c>
      <c r="AH293" s="237">
        <f t="shared" si="69"/>
        <v>0</v>
      </c>
      <c r="AI293" s="237">
        <f t="shared" si="69"/>
        <v>0</v>
      </c>
      <c r="AJ293" s="237">
        <f t="shared" si="69"/>
        <v>0</v>
      </c>
      <c r="AK293" s="237">
        <f t="shared" si="69"/>
        <v>0</v>
      </c>
      <c r="AL293" s="237">
        <f t="shared" si="69"/>
        <v>0</v>
      </c>
      <c r="AM293" s="237">
        <f t="shared" si="69"/>
        <v>0</v>
      </c>
      <c r="AN293" s="237">
        <f t="shared" si="69"/>
        <v>0</v>
      </c>
      <c r="AO293" s="237">
        <f t="shared" si="69"/>
        <v>0</v>
      </c>
    </row>
    <row r="294" spans="3:44" x14ac:dyDescent="0.25">
      <c r="C294" s="82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</row>
    <row r="295" spans="3:44" x14ac:dyDescent="0.25">
      <c r="C295" s="82"/>
      <c r="F295" s="293" t="s">
        <v>1181</v>
      </c>
      <c r="G295" s="293" t="s">
        <v>1141</v>
      </c>
      <c r="J295" s="237">
        <f t="shared" ref="J295:AO295" si="70" xml:space="preserve"> J293 * J157</f>
        <v>0</v>
      </c>
      <c r="K295" s="237">
        <f t="shared" si="70"/>
        <v>0</v>
      </c>
      <c r="L295" s="237">
        <f t="shared" si="70"/>
        <v>0</v>
      </c>
      <c r="M295" s="237">
        <f t="shared" si="70"/>
        <v>0</v>
      </c>
      <c r="N295" s="237">
        <f t="shared" si="70"/>
        <v>0</v>
      </c>
      <c r="O295" s="237">
        <f t="shared" si="70"/>
        <v>0</v>
      </c>
      <c r="P295" s="237">
        <f t="shared" si="70"/>
        <v>0</v>
      </c>
      <c r="Q295" s="237">
        <f t="shared" si="70"/>
        <v>0</v>
      </c>
      <c r="R295" s="237">
        <f t="shared" si="70"/>
        <v>0</v>
      </c>
      <c r="S295" s="237">
        <f t="shared" si="70"/>
        <v>0</v>
      </c>
      <c r="T295" s="237">
        <f t="shared" si="70"/>
        <v>0</v>
      </c>
      <c r="U295" s="237">
        <f t="shared" si="70"/>
        <v>0</v>
      </c>
      <c r="V295" s="237">
        <f t="shared" si="70"/>
        <v>0</v>
      </c>
      <c r="W295" s="237">
        <f t="shared" si="70"/>
        <v>0</v>
      </c>
      <c r="X295" s="237">
        <f t="shared" si="70"/>
        <v>0</v>
      </c>
      <c r="Y295" s="237">
        <f t="shared" si="70"/>
        <v>0</v>
      </c>
      <c r="Z295" s="237">
        <f t="shared" si="70"/>
        <v>0</v>
      </c>
      <c r="AA295" s="237">
        <f t="shared" si="70"/>
        <v>0</v>
      </c>
      <c r="AB295" s="237">
        <f t="shared" si="70"/>
        <v>0</v>
      </c>
      <c r="AC295" s="237">
        <f t="shared" si="70"/>
        <v>0</v>
      </c>
      <c r="AD295" s="237">
        <f t="shared" si="70"/>
        <v>0</v>
      </c>
      <c r="AE295" s="237">
        <f t="shared" si="70"/>
        <v>0</v>
      </c>
      <c r="AF295" s="237">
        <f t="shared" si="70"/>
        <v>0</v>
      </c>
      <c r="AG295" s="237">
        <f t="shared" si="70"/>
        <v>0</v>
      </c>
      <c r="AH295" s="237">
        <f t="shared" si="70"/>
        <v>0</v>
      </c>
      <c r="AI295" s="237">
        <f t="shared" si="70"/>
        <v>0</v>
      </c>
      <c r="AJ295" s="237">
        <f t="shared" si="70"/>
        <v>0</v>
      </c>
      <c r="AK295" s="237">
        <f t="shared" si="70"/>
        <v>0</v>
      </c>
      <c r="AL295" s="237">
        <f t="shared" si="70"/>
        <v>0</v>
      </c>
      <c r="AM295" s="237">
        <f t="shared" si="70"/>
        <v>0</v>
      </c>
      <c r="AN295" s="237">
        <f t="shared" si="70"/>
        <v>0</v>
      </c>
      <c r="AO295" s="237">
        <f t="shared" si="70"/>
        <v>0</v>
      </c>
    </row>
    <row r="296" spans="3:44" x14ac:dyDescent="0.25">
      <c r="C296" s="82"/>
      <c r="F296" s="98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</row>
    <row r="297" spans="3:44" x14ac:dyDescent="0.25">
      <c r="C297" s="82"/>
      <c r="E297" s="96" t="s">
        <v>1132</v>
      </c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25">
      <c r="C298" s="82"/>
      <c r="F298" s="505" t="s">
        <v>1182</v>
      </c>
      <c r="G298" s="293" t="s">
        <v>120</v>
      </c>
      <c r="J298" s="237">
        <f t="shared" ref="J298:AO298" si="71">SUM(J282:J284)</f>
        <v>0</v>
      </c>
      <c r="K298" s="237">
        <f t="shared" si="71"/>
        <v>0</v>
      </c>
      <c r="L298" s="237">
        <f t="shared" si="71"/>
        <v>0</v>
      </c>
      <c r="M298" s="237">
        <f t="shared" si="71"/>
        <v>0</v>
      </c>
      <c r="N298" s="237">
        <f t="shared" si="71"/>
        <v>0</v>
      </c>
      <c r="O298" s="237">
        <f t="shared" si="71"/>
        <v>0</v>
      </c>
      <c r="P298" s="237">
        <f t="shared" si="71"/>
        <v>0</v>
      </c>
      <c r="Q298" s="237">
        <f t="shared" si="71"/>
        <v>0</v>
      </c>
      <c r="R298" s="237">
        <f t="shared" si="71"/>
        <v>0</v>
      </c>
      <c r="S298" s="237">
        <f t="shared" si="71"/>
        <v>0</v>
      </c>
      <c r="T298" s="237">
        <f t="shared" si="71"/>
        <v>0</v>
      </c>
      <c r="U298" s="237">
        <f t="shared" si="71"/>
        <v>0</v>
      </c>
      <c r="V298" s="237">
        <f t="shared" si="71"/>
        <v>0</v>
      </c>
      <c r="W298" s="237">
        <f t="shared" si="71"/>
        <v>0</v>
      </c>
      <c r="X298" s="237">
        <f t="shared" si="71"/>
        <v>0</v>
      </c>
      <c r="Y298" s="237">
        <f t="shared" si="71"/>
        <v>0</v>
      </c>
      <c r="Z298" s="237">
        <f t="shared" si="71"/>
        <v>0</v>
      </c>
      <c r="AA298" s="237">
        <f t="shared" si="71"/>
        <v>0</v>
      </c>
      <c r="AB298" s="237">
        <f t="shared" si="71"/>
        <v>0</v>
      </c>
      <c r="AC298" s="237">
        <f t="shared" si="71"/>
        <v>0</v>
      </c>
      <c r="AD298" s="237">
        <f t="shared" si="71"/>
        <v>0</v>
      </c>
      <c r="AE298" s="237">
        <f t="shared" si="71"/>
        <v>0</v>
      </c>
      <c r="AF298" s="237">
        <f t="shared" si="71"/>
        <v>0</v>
      </c>
      <c r="AG298" s="237">
        <f t="shared" si="71"/>
        <v>0</v>
      </c>
      <c r="AH298" s="237">
        <f t="shared" si="71"/>
        <v>0</v>
      </c>
      <c r="AI298" s="237">
        <f t="shared" si="71"/>
        <v>0</v>
      </c>
      <c r="AJ298" s="237">
        <f t="shared" si="71"/>
        <v>0</v>
      </c>
      <c r="AK298" s="237">
        <f t="shared" si="71"/>
        <v>0</v>
      </c>
      <c r="AL298" s="237">
        <f t="shared" si="71"/>
        <v>0</v>
      </c>
      <c r="AM298" s="237">
        <f t="shared" si="71"/>
        <v>0</v>
      </c>
      <c r="AN298" s="237">
        <f t="shared" si="71"/>
        <v>0</v>
      </c>
      <c r="AO298" s="237">
        <f t="shared" si="71"/>
        <v>0</v>
      </c>
    </row>
    <row r="299" spans="3:44" x14ac:dyDescent="0.25">
      <c r="C299" s="82"/>
      <c r="F299" s="98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</row>
    <row r="300" spans="3:44" x14ac:dyDescent="0.25">
      <c r="C300" s="82"/>
      <c r="F300" s="293" t="s">
        <v>1136</v>
      </c>
      <c r="G300" s="293" t="s">
        <v>120</v>
      </c>
      <c r="J300" s="237">
        <f t="shared" ref="J300:AO300" si="72">SUMIF($J149:$AO149,J149,$J298:$AOJ298)</f>
        <v>0</v>
      </c>
      <c r="K300" s="237">
        <f t="shared" si="72"/>
        <v>0</v>
      </c>
      <c r="L300" s="237">
        <f t="shared" si="72"/>
        <v>0</v>
      </c>
      <c r="M300" s="237">
        <f t="shared" si="72"/>
        <v>0</v>
      </c>
      <c r="N300" s="237">
        <f t="shared" si="72"/>
        <v>0</v>
      </c>
      <c r="O300" s="237">
        <f t="shared" si="72"/>
        <v>0</v>
      </c>
      <c r="P300" s="237">
        <f t="shared" si="72"/>
        <v>0</v>
      </c>
      <c r="Q300" s="237">
        <f t="shared" si="72"/>
        <v>0</v>
      </c>
      <c r="R300" s="237">
        <f t="shared" si="72"/>
        <v>0</v>
      </c>
      <c r="S300" s="237">
        <f t="shared" si="72"/>
        <v>0</v>
      </c>
      <c r="T300" s="237">
        <f t="shared" si="72"/>
        <v>0</v>
      </c>
      <c r="U300" s="237">
        <f t="shared" si="72"/>
        <v>0</v>
      </c>
      <c r="V300" s="237">
        <f t="shared" si="72"/>
        <v>0</v>
      </c>
      <c r="W300" s="237">
        <f t="shared" si="72"/>
        <v>0</v>
      </c>
      <c r="X300" s="237">
        <f t="shared" si="72"/>
        <v>0</v>
      </c>
      <c r="Y300" s="237">
        <f t="shared" si="72"/>
        <v>0</v>
      </c>
      <c r="Z300" s="237">
        <f t="shared" si="72"/>
        <v>0</v>
      </c>
      <c r="AA300" s="237">
        <f t="shared" si="72"/>
        <v>0</v>
      </c>
      <c r="AB300" s="237">
        <f t="shared" si="72"/>
        <v>0</v>
      </c>
      <c r="AC300" s="237">
        <f t="shared" si="72"/>
        <v>0</v>
      </c>
      <c r="AD300" s="237">
        <f t="shared" si="72"/>
        <v>0</v>
      </c>
      <c r="AE300" s="237">
        <f t="shared" si="72"/>
        <v>0</v>
      </c>
      <c r="AF300" s="237">
        <f t="shared" si="72"/>
        <v>0</v>
      </c>
      <c r="AG300" s="237">
        <f t="shared" si="72"/>
        <v>0</v>
      </c>
      <c r="AH300" s="237">
        <f t="shared" si="72"/>
        <v>0</v>
      </c>
      <c r="AI300" s="237">
        <f t="shared" si="72"/>
        <v>0</v>
      </c>
      <c r="AJ300" s="237">
        <f t="shared" si="72"/>
        <v>0</v>
      </c>
      <c r="AK300" s="237">
        <f t="shared" si="72"/>
        <v>0</v>
      </c>
      <c r="AL300" s="237">
        <f t="shared" si="72"/>
        <v>0</v>
      </c>
      <c r="AM300" s="237">
        <f t="shared" si="72"/>
        <v>0</v>
      </c>
      <c r="AN300" s="237">
        <f t="shared" si="72"/>
        <v>0</v>
      </c>
      <c r="AO300" s="237">
        <f t="shared" si="72"/>
        <v>0</v>
      </c>
    </row>
    <row r="301" spans="3:44" x14ac:dyDescent="0.25">
      <c r="C301" s="82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</row>
    <row r="302" spans="3:44" x14ac:dyDescent="0.25">
      <c r="C302" s="82"/>
      <c r="F302" s="293" t="s">
        <v>1137</v>
      </c>
      <c r="G302" s="293" t="s">
        <v>120</v>
      </c>
      <c r="J302" s="237">
        <f t="shared" ref="J302:AO302" si="73" xml:space="preserve"> J300 * J157</f>
        <v>0</v>
      </c>
      <c r="K302" s="237">
        <f t="shared" si="73"/>
        <v>0</v>
      </c>
      <c r="L302" s="237">
        <f t="shared" si="73"/>
        <v>0</v>
      </c>
      <c r="M302" s="237">
        <f t="shared" si="73"/>
        <v>0</v>
      </c>
      <c r="N302" s="237">
        <f t="shared" si="73"/>
        <v>0</v>
      </c>
      <c r="O302" s="237">
        <f t="shared" si="73"/>
        <v>0</v>
      </c>
      <c r="P302" s="237">
        <f t="shared" si="73"/>
        <v>0</v>
      </c>
      <c r="Q302" s="237">
        <f t="shared" si="73"/>
        <v>0</v>
      </c>
      <c r="R302" s="237">
        <f t="shared" si="73"/>
        <v>0</v>
      </c>
      <c r="S302" s="237">
        <f t="shared" si="73"/>
        <v>0</v>
      </c>
      <c r="T302" s="237">
        <f t="shared" si="73"/>
        <v>0</v>
      </c>
      <c r="U302" s="237">
        <f t="shared" si="73"/>
        <v>0</v>
      </c>
      <c r="V302" s="237">
        <f t="shared" si="73"/>
        <v>0</v>
      </c>
      <c r="W302" s="237">
        <f t="shared" si="73"/>
        <v>0</v>
      </c>
      <c r="X302" s="237">
        <f t="shared" si="73"/>
        <v>0</v>
      </c>
      <c r="Y302" s="237">
        <f t="shared" si="73"/>
        <v>0</v>
      </c>
      <c r="Z302" s="237">
        <f t="shared" si="73"/>
        <v>0</v>
      </c>
      <c r="AA302" s="237">
        <f t="shared" si="73"/>
        <v>0</v>
      </c>
      <c r="AB302" s="237">
        <f t="shared" si="73"/>
        <v>0</v>
      </c>
      <c r="AC302" s="237">
        <f t="shared" si="73"/>
        <v>0</v>
      </c>
      <c r="AD302" s="237">
        <f t="shared" si="73"/>
        <v>0</v>
      </c>
      <c r="AE302" s="237">
        <f t="shared" si="73"/>
        <v>0</v>
      </c>
      <c r="AF302" s="237">
        <f t="shared" si="73"/>
        <v>0</v>
      </c>
      <c r="AG302" s="237">
        <f t="shared" si="73"/>
        <v>0</v>
      </c>
      <c r="AH302" s="237">
        <f t="shared" si="73"/>
        <v>0</v>
      </c>
      <c r="AI302" s="237">
        <f t="shared" si="73"/>
        <v>0</v>
      </c>
      <c r="AJ302" s="237">
        <f t="shared" si="73"/>
        <v>0</v>
      </c>
      <c r="AK302" s="237">
        <f t="shared" si="73"/>
        <v>0</v>
      </c>
      <c r="AL302" s="237">
        <f t="shared" si="73"/>
        <v>0</v>
      </c>
      <c r="AM302" s="237">
        <f t="shared" si="73"/>
        <v>0</v>
      </c>
      <c r="AN302" s="237">
        <f t="shared" si="73"/>
        <v>0</v>
      </c>
      <c r="AO302" s="237">
        <f t="shared" si="73"/>
        <v>0</v>
      </c>
      <c r="AP302" s="111"/>
      <c r="AQ302" s="111"/>
      <c r="AR302" s="111"/>
    </row>
    <row r="303" spans="3:44" x14ac:dyDescent="0.25">
      <c r="C303" s="82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</row>
    <row r="304" spans="3:44" x14ac:dyDescent="0.25">
      <c r="C304" s="82"/>
      <c r="E304" s="14" t="s">
        <v>1183</v>
      </c>
      <c r="G304" s="293" t="s">
        <v>183</v>
      </c>
      <c r="J304" s="440">
        <f t="shared" ref="J304:AO304" si="74">IF( J298&lt;&gt;0, J295/J302, 0)*hundred/thousand</f>
        <v>0</v>
      </c>
      <c r="K304" s="440">
        <f t="shared" si="74"/>
        <v>0</v>
      </c>
      <c r="L304" s="440">
        <f t="shared" si="74"/>
        <v>0</v>
      </c>
      <c r="M304" s="440">
        <f t="shared" si="74"/>
        <v>0</v>
      </c>
      <c r="N304" s="440">
        <f t="shared" si="74"/>
        <v>0</v>
      </c>
      <c r="O304" s="440">
        <f t="shared" si="74"/>
        <v>0</v>
      </c>
      <c r="P304" s="440">
        <f t="shared" si="74"/>
        <v>0</v>
      </c>
      <c r="Q304" s="440">
        <f t="shared" si="74"/>
        <v>0</v>
      </c>
      <c r="R304" s="440">
        <f t="shared" si="74"/>
        <v>0</v>
      </c>
      <c r="S304" s="440">
        <f t="shared" si="74"/>
        <v>0</v>
      </c>
      <c r="T304" s="440">
        <f t="shared" si="74"/>
        <v>0</v>
      </c>
      <c r="U304" s="440">
        <f t="shared" si="74"/>
        <v>0</v>
      </c>
      <c r="V304" s="440">
        <f t="shared" si="74"/>
        <v>0</v>
      </c>
      <c r="W304" s="440">
        <f t="shared" si="74"/>
        <v>0</v>
      </c>
      <c r="X304" s="440">
        <f t="shared" si="74"/>
        <v>0</v>
      </c>
      <c r="Y304" s="440">
        <f t="shared" si="74"/>
        <v>0</v>
      </c>
      <c r="Z304" s="440">
        <f t="shared" si="74"/>
        <v>0</v>
      </c>
      <c r="AA304" s="440">
        <f t="shared" si="74"/>
        <v>0</v>
      </c>
      <c r="AB304" s="440">
        <f t="shared" si="74"/>
        <v>0</v>
      </c>
      <c r="AC304" s="440">
        <f t="shared" si="74"/>
        <v>0</v>
      </c>
      <c r="AD304" s="440">
        <f t="shared" si="74"/>
        <v>0</v>
      </c>
      <c r="AE304" s="440">
        <f t="shared" si="74"/>
        <v>0</v>
      </c>
      <c r="AF304" s="440">
        <f t="shared" si="74"/>
        <v>0</v>
      </c>
      <c r="AG304" s="440">
        <f t="shared" si="74"/>
        <v>0</v>
      </c>
      <c r="AH304" s="440">
        <f t="shared" si="74"/>
        <v>0</v>
      </c>
      <c r="AI304" s="440">
        <f t="shared" si="74"/>
        <v>0</v>
      </c>
      <c r="AJ304" s="440">
        <f t="shared" si="74"/>
        <v>0</v>
      </c>
      <c r="AK304" s="440">
        <f t="shared" si="74"/>
        <v>0</v>
      </c>
      <c r="AL304" s="440">
        <f t="shared" si="74"/>
        <v>0</v>
      </c>
      <c r="AM304" s="440">
        <f t="shared" si="74"/>
        <v>0</v>
      </c>
      <c r="AN304" s="440">
        <f t="shared" si="74"/>
        <v>0</v>
      </c>
      <c r="AO304" s="440">
        <f t="shared" si="74"/>
        <v>0</v>
      </c>
    </row>
    <row r="305" spans="3:43" x14ac:dyDescent="0.25">
      <c r="C305" s="82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</row>
    <row r="306" spans="3:43" x14ac:dyDescent="0.25">
      <c r="C306" s="82"/>
      <c r="E306" s="96" t="s">
        <v>1184</v>
      </c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25">
      <c r="C307" s="82"/>
      <c r="F307" s="91" t="s">
        <v>1164</v>
      </c>
      <c r="G307" s="91" t="s">
        <v>1026</v>
      </c>
      <c r="H307" s="91"/>
      <c r="I307" s="91"/>
      <c r="J307" s="112" t="b">
        <f t="shared" ref="J307:AO309" si="75">IF(J$32, - J262+J$304&gt;=0, TRUE)</f>
        <v>1</v>
      </c>
      <c r="K307" s="112" t="b">
        <f t="shared" si="75"/>
        <v>1</v>
      </c>
      <c r="L307" s="112" t="b">
        <f t="shared" si="75"/>
        <v>1</v>
      </c>
      <c r="M307" s="112" t="b">
        <f t="shared" si="75"/>
        <v>1</v>
      </c>
      <c r="N307" s="112" t="b">
        <f t="shared" si="75"/>
        <v>1</v>
      </c>
      <c r="O307" s="112" t="b">
        <f t="shared" si="75"/>
        <v>1</v>
      </c>
      <c r="P307" s="112" t="b">
        <f t="shared" si="75"/>
        <v>1</v>
      </c>
      <c r="Q307" s="112" t="b">
        <f t="shared" si="75"/>
        <v>1</v>
      </c>
      <c r="R307" s="112" t="b">
        <f t="shared" si="75"/>
        <v>1</v>
      </c>
      <c r="S307" s="112" t="b">
        <f t="shared" si="75"/>
        <v>1</v>
      </c>
      <c r="T307" s="112" t="b">
        <f t="shared" si="75"/>
        <v>1</v>
      </c>
      <c r="U307" s="112" t="b">
        <f t="shared" si="75"/>
        <v>1</v>
      </c>
      <c r="V307" s="112" t="b">
        <f t="shared" si="75"/>
        <v>1</v>
      </c>
      <c r="W307" s="112" t="b">
        <f t="shared" si="75"/>
        <v>1</v>
      </c>
      <c r="X307" s="112" t="b">
        <f t="shared" si="75"/>
        <v>1</v>
      </c>
      <c r="Y307" s="112" t="b">
        <f t="shared" si="75"/>
        <v>1</v>
      </c>
      <c r="Z307" s="112" t="b">
        <f t="shared" si="75"/>
        <v>1</v>
      </c>
      <c r="AA307" s="112" t="b">
        <f t="shared" si="75"/>
        <v>1</v>
      </c>
      <c r="AB307" s="112" t="b">
        <f t="shared" si="75"/>
        <v>1</v>
      </c>
      <c r="AC307" s="112" t="b">
        <f t="shared" si="75"/>
        <v>1</v>
      </c>
      <c r="AD307" s="112" t="b">
        <f t="shared" si="75"/>
        <v>1</v>
      </c>
      <c r="AE307" s="112" t="b">
        <f t="shared" si="75"/>
        <v>1</v>
      </c>
      <c r="AF307" s="112" t="b">
        <f t="shared" si="75"/>
        <v>1</v>
      </c>
      <c r="AG307" s="112" t="b">
        <f t="shared" si="75"/>
        <v>1</v>
      </c>
      <c r="AH307" s="112" t="b">
        <f t="shared" si="75"/>
        <v>1</v>
      </c>
      <c r="AI307" s="112" t="b">
        <f t="shared" si="75"/>
        <v>1</v>
      </c>
      <c r="AJ307" s="112" t="b">
        <f t="shared" si="75"/>
        <v>1</v>
      </c>
      <c r="AK307" s="112" t="b">
        <f t="shared" si="75"/>
        <v>1</v>
      </c>
      <c r="AL307" s="112" t="b">
        <f t="shared" si="75"/>
        <v>1</v>
      </c>
      <c r="AM307" s="112" t="b">
        <f t="shared" si="75"/>
        <v>1</v>
      </c>
      <c r="AN307" s="112" t="b">
        <f t="shared" si="75"/>
        <v>1</v>
      </c>
      <c r="AO307" s="112" t="b">
        <f t="shared" si="75"/>
        <v>1</v>
      </c>
    </row>
    <row r="308" spans="3:43" x14ac:dyDescent="0.25">
      <c r="C308" s="82"/>
      <c r="F308" s="293" t="s">
        <v>1165</v>
      </c>
      <c r="G308" s="293" t="s">
        <v>1026</v>
      </c>
      <c r="J308" s="111" t="b">
        <f t="shared" si="75"/>
        <v>1</v>
      </c>
      <c r="K308" s="111" t="b">
        <f t="shared" si="75"/>
        <v>1</v>
      </c>
      <c r="L308" s="111" t="b">
        <f t="shared" si="75"/>
        <v>1</v>
      </c>
      <c r="M308" s="111" t="b">
        <f t="shared" si="75"/>
        <v>1</v>
      </c>
      <c r="N308" s="111" t="b">
        <f t="shared" si="75"/>
        <v>1</v>
      </c>
      <c r="O308" s="111" t="b">
        <f t="shared" si="75"/>
        <v>1</v>
      </c>
      <c r="P308" s="111" t="b">
        <f t="shared" si="75"/>
        <v>1</v>
      </c>
      <c r="Q308" s="111" t="b">
        <f t="shared" si="75"/>
        <v>1</v>
      </c>
      <c r="R308" s="111" t="b">
        <f t="shared" si="75"/>
        <v>1</v>
      </c>
      <c r="S308" s="111" t="b">
        <f t="shared" si="75"/>
        <v>1</v>
      </c>
      <c r="T308" s="111" t="b">
        <f t="shared" si="75"/>
        <v>1</v>
      </c>
      <c r="U308" s="111" t="b">
        <f t="shared" si="75"/>
        <v>1</v>
      </c>
      <c r="V308" s="111" t="b">
        <f t="shared" si="75"/>
        <v>1</v>
      </c>
      <c r="W308" s="111" t="b">
        <f t="shared" si="75"/>
        <v>1</v>
      </c>
      <c r="X308" s="111" t="b">
        <f t="shared" si="75"/>
        <v>1</v>
      </c>
      <c r="Y308" s="111" t="b">
        <f t="shared" si="75"/>
        <v>1</v>
      </c>
      <c r="Z308" s="111" t="b">
        <f t="shared" si="75"/>
        <v>1</v>
      </c>
      <c r="AA308" s="111" t="b">
        <f t="shared" si="75"/>
        <v>1</v>
      </c>
      <c r="AB308" s="111" t="b">
        <f t="shared" si="75"/>
        <v>1</v>
      </c>
      <c r="AC308" s="111" t="b">
        <f t="shared" si="75"/>
        <v>1</v>
      </c>
      <c r="AD308" s="111" t="b">
        <f t="shared" si="75"/>
        <v>1</v>
      </c>
      <c r="AE308" s="111" t="b">
        <f t="shared" si="75"/>
        <v>1</v>
      </c>
      <c r="AF308" s="111" t="b">
        <f t="shared" si="75"/>
        <v>1</v>
      </c>
      <c r="AG308" s="111" t="b">
        <f t="shared" si="75"/>
        <v>1</v>
      </c>
      <c r="AH308" s="111" t="b">
        <f t="shared" si="75"/>
        <v>1</v>
      </c>
      <c r="AI308" s="111" t="b">
        <f t="shared" si="75"/>
        <v>1</v>
      </c>
      <c r="AJ308" s="111" t="b">
        <f t="shared" si="75"/>
        <v>1</v>
      </c>
      <c r="AK308" s="111" t="b">
        <f t="shared" si="75"/>
        <v>1</v>
      </c>
      <c r="AL308" s="111" t="b">
        <f t="shared" si="75"/>
        <v>1</v>
      </c>
      <c r="AM308" s="111" t="b">
        <f t="shared" si="75"/>
        <v>1</v>
      </c>
      <c r="AN308" s="111" t="b">
        <f t="shared" si="75"/>
        <v>1</v>
      </c>
      <c r="AO308" s="111" t="b">
        <f t="shared" si="75"/>
        <v>1</v>
      </c>
    </row>
    <row r="309" spans="3:43" x14ac:dyDescent="0.25">
      <c r="C309" s="82"/>
      <c r="F309" s="93" t="s">
        <v>1166</v>
      </c>
      <c r="G309" s="93" t="s">
        <v>1026</v>
      </c>
      <c r="H309" s="93"/>
      <c r="I309" s="93"/>
      <c r="J309" s="145" t="b">
        <f t="shared" si="75"/>
        <v>1</v>
      </c>
      <c r="K309" s="145" t="b">
        <f t="shared" si="75"/>
        <v>1</v>
      </c>
      <c r="L309" s="145" t="b">
        <f t="shared" si="75"/>
        <v>1</v>
      </c>
      <c r="M309" s="145" t="b">
        <f t="shared" si="75"/>
        <v>1</v>
      </c>
      <c r="N309" s="145" t="b">
        <f t="shared" si="75"/>
        <v>1</v>
      </c>
      <c r="O309" s="145" t="b">
        <f t="shared" si="75"/>
        <v>1</v>
      </c>
      <c r="P309" s="145" t="b">
        <f t="shared" si="75"/>
        <v>1</v>
      </c>
      <c r="Q309" s="145" t="b">
        <f t="shared" si="75"/>
        <v>1</v>
      </c>
      <c r="R309" s="145" t="b">
        <f t="shared" si="75"/>
        <v>1</v>
      </c>
      <c r="S309" s="145" t="b">
        <f t="shared" si="75"/>
        <v>1</v>
      </c>
      <c r="T309" s="145" t="b">
        <f t="shared" si="75"/>
        <v>1</v>
      </c>
      <c r="U309" s="145" t="b">
        <f t="shared" si="75"/>
        <v>1</v>
      </c>
      <c r="V309" s="145" t="b">
        <f t="shared" si="75"/>
        <v>1</v>
      </c>
      <c r="W309" s="145" t="b">
        <f t="shared" si="75"/>
        <v>1</v>
      </c>
      <c r="X309" s="145" t="b">
        <f t="shared" si="75"/>
        <v>1</v>
      </c>
      <c r="Y309" s="145" t="b">
        <f t="shared" si="75"/>
        <v>1</v>
      </c>
      <c r="Z309" s="145" t="b">
        <f t="shared" si="75"/>
        <v>1</v>
      </c>
      <c r="AA309" s="145" t="b">
        <f t="shared" si="75"/>
        <v>1</v>
      </c>
      <c r="AB309" s="145" t="b">
        <f t="shared" si="75"/>
        <v>1</v>
      </c>
      <c r="AC309" s="145" t="b">
        <f t="shared" si="75"/>
        <v>1</v>
      </c>
      <c r="AD309" s="145" t="b">
        <f t="shared" si="75"/>
        <v>1</v>
      </c>
      <c r="AE309" s="145" t="b">
        <f t="shared" si="75"/>
        <v>1</v>
      </c>
      <c r="AF309" s="145" t="b">
        <f t="shared" si="75"/>
        <v>1</v>
      </c>
      <c r="AG309" s="145" t="b">
        <f t="shared" si="75"/>
        <v>1</v>
      </c>
      <c r="AH309" s="145" t="b">
        <f t="shared" si="75"/>
        <v>1</v>
      </c>
      <c r="AI309" s="145" t="b">
        <f t="shared" si="75"/>
        <v>1</v>
      </c>
      <c r="AJ309" s="145" t="b">
        <f t="shared" si="75"/>
        <v>1</v>
      </c>
      <c r="AK309" s="145" t="b">
        <f t="shared" si="75"/>
        <v>1</v>
      </c>
      <c r="AL309" s="145" t="b">
        <f t="shared" si="75"/>
        <v>1</v>
      </c>
      <c r="AM309" s="145" t="b">
        <f t="shared" si="75"/>
        <v>1</v>
      </c>
      <c r="AN309" s="145" t="b">
        <f t="shared" si="75"/>
        <v>1</v>
      </c>
      <c r="AO309" s="145" t="b">
        <f t="shared" si="75"/>
        <v>1</v>
      </c>
    </row>
    <row r="310" spans="3:43" x14ac:dyDescent="0.25">
      <c r="C310" s="82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</row>
    <row r="311" spans="3:43" x14ac:dyDescent="0.25">
      <c r="C311" s="82"/>
      <c r="E311" s="293" t="s">
        <v>1185</v>
      </c>
      <c r="G311" s="293" t="s">
        <v>1026</v>
      </c>
      <c r="J311" s="111" t="b">
        <f>COUNTIF(J307:J309,TRUE)=3</f>
        <v>1</v>
      </c>
      <c r="K311" s="111" t="b">
        <f t="shared" ref="K311:AO311" si="76">COUNTIF(K307:K309,TRUE)=3</f>
        <v>1</v>
      </c>
      <c r="L311" s="111" t="b">
        <f t="shared" si="76"/>
        <v>1</v>
      </c>
      <c r="M311" s="111" t="b">
        <f t="shared" si="76"/>
        <v>1</v>
      </c>
      <c r="N311" s="111" t="b">
        <f t="shared" si="76"/>
        <v>1</v>
      </c>
      <c r="O311" s="111" t="b">
        <f t="shared" si="76"/>
        <v>1</v>
      </c>
      <c r="P311" s="111" t="b">
        <f t="shared" si="76"/>
        <v>1</v>
      </c>
      <c r="Q311" s="111" t="b">
        <f t="shared" si="76"/>
        <v>1</v>
      </c>
      <c r="R311" s="111" t="b">
        <f t="shared" si="76"/>
        <v>1</v>
      </c>
      <c r="S311" s="111" t="b">
        <f t="shared" si="76"/>
        <v>1</v>
      </c>
      <c r="T311" s="111" t="b">
        <f t="shared" si="76"/>
        <v>1</v>
      </c>
      <c r="U311" s="111" t="b">
        <f t="shared" si="76"/>
        <v>1</v>
      </c>
      <c r="V311" s="111" t="b">
        <f t="shared" si="76"/>
        <v>1</v>
      </c>
      <c r="W311" s="111" t="b">
        <f t="shared" si="76"/>
        <v>1</v>
      </c>
      <c r="X311" s="111" t="b">
        <f t="shared" si="76"/>
        <v>1</v>
      </c>
      <c r="Y311" s="111" t="b">
        <f t="shared" si="76"/>
        <v>1</v>
      </c>
      <c r="Z311" s="111" t="b">
        <f t="shared" si="76"/>
        <v>1</v>
      </c>
      <c r="AA311" s="111" t="b">
        <f t="shared" si="76"/>
        <v>1</v>
      </c>
      <c r="AB311" s="111" t="b">
        <f t="shared" si="76"/>
        <v>1</v>
      </c>
      <c r="AC311" s="111" t="b">
        <f t="shared" si="76"/>
        <v>1</v>
      </c>
      <c r="AD311" s="111" t="b">
        <f t="shared" si="76"/>
        <v>1</v>
      </c>
      <c r="AE311" s="111" t="b">
        <f t="shared" si="76"/>
        <v>1</v>
      </c>
      <c r="AF311" s="111" t="b">
        <f t="shared" si="76"/>
        <v>1</v>
      </c>
      <c r="AG311" s="111" t="b">
        <f t="shared" si="76"/>
        <v>1</v>
      </c>
      <c r="AH311" s="111" t="b">
        <f t="shared" si="76"/>
        <v>1</v>
      </c>
      <c r="AI311" s="111" t="b">
        <f t="shared" si="76"/>
        <v>1</v>
      </c>
      <c r="AJ311" s="111" t="b">
        <f t="shared" si="76"/>
        <v>1</v>
      </c>
      <c r="AK311" s="111" t="b">
        <f t="shared" si="76"/>
        <v>1</v>
      </c>
      <c r="AL311" s="111" t="b">
        <f t="shared" si="76"/>
        <v>1</v>
      </c>
      <c r="AM311" s="111" t="b">
        <f t="shared" si="76"/>
        <v>1</v>
      </c>
      <c r="AN311" s="111" t="b">
        <f t="shared" si="76"/>
        <v>1</v>
      </c>
      <c r="AO311" s="111" t="b">
        <f t="shared" si="76"/>
        <v>1</v>
      </c>
    </row>
    <row r="312" spans="3:43" x14ac:dyDescent="0.25">
      <c r="C312" s="82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</row>
    <row r="313" spans="3:43" x14ac:dyDescent="0.25">
      <c r="C313" s="7" t="str">
        <f ca="1">INDEX('Version control'!$H$34:$H$60,MATCH($A$1,'Version control'!$F$34:$F$60,0),1)&amp;"-L: Revenue matching for two timebands"</f>
        <v>Section 519-L: Revenue matching for two timebands</v>
      </c>
      <c r="D313" s="7"/>
      <c r="E313" s="7"/>
      <c r="F313" s="7"/>
      <c r="G313" s="7"/>
      <c r="H313" s="7"/>
      <c r="I313" s="7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7"/>
      <c r="AQ313" s="7"/>
    </row>
    <row r="314" spans="3:43" x14ac:dyDescent="0.25">
      <c r="C314" s="82"/>
      <c r="E314" s="96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</row>
    <row r="315" spans="3:43" x14ac:dyDescent="0.25">
      <c r="C315" s="82"/>
      <c r="D315" s="82" t="s">
        <v>1245</v>
      </c>
      <c r="E315" s="96"/>
      <c r="I315" s="293" t="s">
        <v>359</v>
      </c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Q315" s="293" t="s">
        <v>745</v>
      </c>
    </row>
    <row r="316" spans="3:43" x14ac:dyDescent="0.25">
      <c r="C316" s="82"/>
      <c r="D316" s="82" t="s">
        <v>1186</v>
      </c>
      <c r="E316" s="96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</row>
    <row r="317" spans="3:43" x14ac:dyDescent="0.25">
      <c r="C317" s="82"/>
      <c r="D317" s="82" t="s">
        <v>1187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25">
      <c r="C318" s="82"/>
      <c r="D318" s="82" t="s">
        <v>1188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25">
      <c r="C319" s="82"/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25">
      <c r="C320" s="82"/>
      <c r="E320" s="96" t="s">
        <v>1189</v>
      </c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25">
      <c r="C321" s="82"/>
      <c r="F321" s="372" t="s">
        <v>1190</v>
      </c>
      <c r="G321" s="293" t="s">
        <v>1141</v>
      </c>
      <c r="J321" s="237">
        <f t="shared" ref="J321:AO321" si="77">J262*J282*thousand/hundred</f>
        <v>0</v>
      </c>
      <c r="K321" s="237">
        <f t="shared" si="77"/>
        <v>0</v>
      </c>
      <c r="L321" s="237">
        <f t="shared" si="77"/>
        <v>0</v>
      </c>
      <c r="M321" s="237">
        <f t="shared" si="77"/>
        <v>0</v>
      </c>
      <c r="N321" s="237">
        <f t="shared" si="77"/>
        <v>0</v>
      </c>
      <c r="O321" s="237">
        <f t="shared" si="77"/>
        <v>0</v>
      </c>
      <c r="P321" s="237">
        <f t="shared" si="77"/>
        <v>0</v>
      </c>
      <c r="Q321" s="237">
        <f t="shared" si="77"/>
        <v>0</v>
      </c>
      <c r="R321" s="237">
        <f t="shared" si="77"/>
        <v>0</v>
      </c>
      <c r="S321" s="237">
        <f t="shared" si="77"/>
        <v>0</v>
      </c>
      <c r="T321" s="237">
        <f t="shared" si="77"/>
        <v>0</v>
      </c>
      <c r="U321" s="237">
        <f t="shared" si="77"/>
        <v>0</v>
      </c>
      <c r="V321" s="237">
        <f t="shared" si="77"/>
        <v>0</v>
      </c>
      <c r="W321" s="237">
        <f t="shared" si="77"/>
        <v>0</v>
      </c>
      <c r="X321" s="237">
        <f t="shared" si="77"/>
        <v>0</v>
      </c>
      <c r="Y321" s="237">
        <f t="shared" si="77"/>
        <v>0</v>
      </c>
      <c r="Z321" s="237">
        <f t="shared" si="77"/>
        <v>0</v>
      </c>
      <c r="AA321" s="237">
        <f t="shared" si="77"/>
        <v>0</v>
      </c>
      <c r="AB321" s="237">
        <f t="shared" si="77"/>
        <v>0</v>
      </c>
      <c r="AC321" s="237">
        <f t="shared" si="77"/>
        <v>0</v>
      </c>
      <c r="AD321" s="237">
        <f t="shared" si="77"/>
        <v>0</v>
      </c>
      <c r="AE321" s="237">
        <f t="shared" si="77"/>
        <v>0</v>
      </c>
      <c r="AF321" s="237">
        <f t="shared" si="77"/>
        <v>0</v>
      </c>
      <c r="AG321" s="237">
        <f t="shared" si="77"/>
        <v>0</v>
      </c>
      <c r="AH321" s="237">
        <f t="shared" si="77"/>
        <v>0</v>
      </c>
      <c r="AI321" s="237">
        <f t="shared" si="77"/>
        <v>0</v>
      </c>
      <c r="AJ321" s="237">
        <f t="shared" si="77"/>
        <v>0</v>
      </c>
      <c r="AK321" s="237">
        <f t="shared" si="77"/>
        <v>0</v>
      </c>
      <c r="AL321" s="237">
        <f t="shared" si="77"/>
        <v>0</v>
      </c>
      <c r="AM321" s="237">
        <f t="shared" si="77"/>
        <v>0</v>
      </c>
      <c r="AN321" s="237">
        <f t="shared" si="77"/>
        <v>0</v>
      </c>
      <c r="AO321" s="237">
        <f t="shared" si="77"/>
        <v>0</v>
      </c>
    </row>
    <row r="322" spans="3:44" x14ac:dyDescent="0.25">
      <c r="C322" s="82"/>
      <c r="F322" s="96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</row>
    <row r="323" spans="3:44" x14ac:dyDescent="0.25">
      <c r="C323" s="82"/>
      <c r="F323" s="508" t="s">
        <v>1191</v>
      </c>
      <c r="G323" s="293" t="s">
        <v>1141</v>
      </c>
      <c r="J323" s="237">
        <f t="shared" ref="J323:AO323" si="78">J228 - J321</f>
        <v>0</v>
      </c>
      <c r="K323" s="237">
        <f t="shared" si="78"/>
        <v>0</v>
      </c>
      <c r="L323" s="237">
        <f t="shared" si="78"/>
        <v>0</v>
      </c>
      <c r="M323" s="237">
        <f t="shared" si="78"/>
        <v>0</v>
      </c>
      <c r="N323" s="237">
        <f t="shared" si="78"/>
        <v>0</v>
      </c>
      <c r="O323" s="237">
        <f t="shared" si="78"/>
        <v>0</v>
      </c>
      <c r="P323" s="237">
        <f t="shared" si="78"/>
        <v>0</v>
      </c>
      <c r="Q323" s="237">
        <f t="shared" si="78"/>
        <v>0</v>
      </c>
      <c r="R323" s="237">
        <f t="shared" si="78"/>
        <v>0</v>
      </c>
      <c r="S323" s="237">
        <f t="shared" si="78"/>
        <v>0</v>
      </c>
      <c r="T323" s="237">
        <f t="shared" si="78"/>
        <v>0</v>
      </c>
      <c r="U323" s="237">
        <f t="shared" si="78"/>
        <v>0</v>
      </c>
      <c r="V323" s="237">
        <f t="shared" si="78"/>
        <v>0</v>
      </c>
      <c r="W323" s="237">
        <f t="shared" si="78"/>
        <v>0</v>
      </c>
      <c r="X323" s="237">
        <f t="shared" si="78"/>
        <v>0</v>
      </c>
      <c r="Y323" s="237">
        <f t="shared" si="78"/>
        <v>0</v>
      </c>
      <c r="Z323" s="237">
        <f t="shared" si="78"/>
        <v>0</v>
      </c>
      <c r="AA323" s="237">
        <f t="shared" si="78"/>
        <v>0</v>
      </c>
      <c r="AB323" s="237">
        <f t="shared" si="78"/>
        <v>0</v>
      </c>
      <c r="AC323" s="237">
        <f t="shared" si="78"/>
        <v>0</v>
      </c>
      <c r="AD323" s="237">
        <f t="shared" si="78"/>
        <v>0</v>
      </c>
      <c r="AE323" s="237">
        <f t="shared" si="78"/>
        <v>0</v>
      </c>
      <c r="AF323" s="237">
        <f t="shared" si="78"/>
        <v>0</v>
      </c>
      <c r="AG323" s="237">
        <f t="shared" si="78"/>
        <v>0</v>
      </c>
      <c r="AH323" s="237">
        <f t="shared" si="78"/>
        <v>0</v>
      </c>
      <c r="AI323" s="237">
        <f t="shared" si="78"/>
        <v>0</v>
      </c>
      <c r="AJ323" s="237">
        <f t="shared" si="78"/>
        <v>0</v>
      </c>
      <c r="AK323" s="237">
        <f t="shared" si="78"/>
        <v>0</v>
      </c>
      <c r="AL323" s="237">
        <f t="shared" si="78"/>
        <v>0</v>
      </c>
      <c r="AM323" s="237">
        <f t="shared" si="78"/>
        <v>0</v>
      </c>
      <c r="AN323" s="237">
        <f t="shared" si="78"/>
        <v>0</v>
      </c>
      <c r="AO323" s="237">
        <f t="shared" si="78"/>
        <v>0</v>
      </c>
    </row>
    <row r="324" spans="3:44" x14ac:dyDescent="0.25">
      <c r="C324" s="82"/>
      <c r="F324" s="96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</row>
    <row r="325" spans="3:44" x14ac:dyDescent="0.25">
      <c r="C325" s="82"/>
      <c r="F325" s="293" t="s">
        <v>1180</v>
      </c>
      <c r="G325" s="293" t="s">
        <v>1141</v>
      </c>
      <c r="J325" s="237">
        <f>SUMIF($J$149:$AO$149,J$149,$J323:$AO323)</f>
        <v>0</v>
      </c>
      <c r="K325" s="237">
        <f t="shared" ref="K325:AO325" si="79">SUMIF($J$149:$AO$149,K$149,$J323:$AO323)</f>
        <v>0</v>
      </c>
      <c r="L325" s="237">
        <f t="shared" si="79"/>
        <v>0</v>
      </c>
      <c r="M325" s="237">
        <f t="shared" si="79"/>
        <v>0</v>
      </c>
      <c r="N325" s="237">
        <f t="shared" si="79"/>
        <v>0</v>
      </c>
      <c r="O325" s="237">
        <f t="shared" si="79"/>
        <v>0</v>
      </c>
      <c r="P325" s="237">
        <f t="shared" si="79"/>
        <v>0</v>
      </c>
      <c r="Q325" s="237">
        <f t="shared" si="79"/>
        <v>0</v>
      </c>
      <c r="R325" s="237">
        <f t="shared" si="79"/>
        <v>0</v>
      </c>
      <c r="S325" s="237">
        <f t="shared" si="79"/>
        <v>0</v>
      </c>
      <c r="T325" s="237">
        <f t="shared" si="79"/>
        <v>0</v>
      </c>
      <c r="U325" s="237">
        <f t="shared" si="79"/>
        <v>0</v>
      </c>
      <c r="V325" s="237">
        <f t="shared" si="79"/>
        <v>0</v>
      </c>
      <c r="W325" s="237">
        <f t="shared" si="79"/>
        <v>0</v>
      </c>
      <c r="X325" s="237">
        <f t="shared" si="79"/>
        <v>0</v>
      </c>
      <c r="Y325" s="237">
        <f t="shared" si="79"/>
        <v>0</v>
      </c>
      <c r="Z325" s="237">
        <f t="shared" si="79"/>
        <v>0</v>
      </c>
      <c r="AA325" s="237">
        <f t="shared" si="79"/>
        <v>0</v>
      </c>
      <c r="AB325" s="237">
        <f t="shared" si="79"/>
        <v>0</v>
      </c>
      <c r="AC325" s="237">
        <f t="shared" si="79"/>
        <v>0</v>
      </c>
      <c r="AD325" s="237">
        <f t="shared" si="79"/>
        <v>0</v>
      </c>
      <c r="AE325" s="237">
        <f t="shared" si="79"/>
        <v>0</v>
      </c>
      <c r="AF325" s="237">
        <f t="shared" si="79"/>
        <v>0</v>
      </c>
      <c r="AG325" s="237">
        <f t="shared" si="79"/>
        <v>0</v>
      </c>
      <c r="AH325" s="237">
        <f t="shared" si="79"/>
        <v>0</v>
      </c>
      <c r="AI325" s="237">
        <f t="shared" si="79"/>
        <v>0</v>
      </c>
      <c r="AJ325" s="237">
        <f t="shared" si="79"/>
        <v>0</v>
      </c>
      <c r="AK325" s="237">
        <f t="shared" si="79"/>
        <v>0</v>
      </c>
      <c r="AL325" s="237">
        <f t="shared" si="79"/>
        <v>0</v>
      </c>
      <c r="AM325" s="237">
        <f t="shared" si="79"/>
        <v>0</v>
      </c>
      <c r="AN325" s="237">
        <f t="shared" si="79"/>
        <v>0</v>
      </c>
      <c r="AO325" s="237">
        <f t="shared" si="79"/>
        <v>0</v>
      </c>
    </row>
    <row r="326" spans="3:44" x14ac:dyDescent="0.25">
      <c r="C326" s="82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</row>
    <row r="327" spans="3:44" x14ac:dyDescent="0.25">
      <c r="C327" s="82"/>
      <c r="F327" s="293" t="s">
        <v>1181</v>
      </c>
      <c r="G327" s="293" t="s">
        <v>1141</v>
      </c>
      <c r="J327" s="237">
        <f t="shared" ref="J327:AO327" si="80" xml:space="preserve"> J325 * J157</f>
        <v>0</v>
      </c>
      <c r="K327" s="237">
        <f t="shared" si="80"/>
        <v>0</v>
      </c>
      <c r="L327" s="237">
        <f t="shared" si="80"/>
        <v>0</v>
      </c>
      <c r="M327" s="237">
        <f t="shared" si="80"/>
        <v>0</v>
      </c>
      <c r="N327" s="237">
        <f t="shared" si="80"/>
        <v>0</v>
      </c>
      <c r="O327" s="237">
        <f t="shared" si="80"/>
        <v>0</v>
      </c>
      <c r="P327" s="237">
        <f t="shared" si="80"/>
        <v>0</v>
      </c>
      <c r="Q327" s="237">
        <f t="shared" si="80"/>
        <v>0</v>
      </c>
      <c r="R327" s="237">
        <f t="shared" si="80"/>
        <v>0</v>
      </c>
      <c r="S327" s="237">
        <f t="shared" si="80"/>
        <v>0</v>
      </c>
      <c r="T327" s="237">
        <f t="shared" si="80"/>
        <v>0</v>
      </c>
      <c r="U327" s="237">
        <f t="shared" si="80"/>
        <v>0</v>
      </c>
      <c r="V327" s="237">
        <f t="shared" si="80"/>
        <v>0</v>
      </c>
      <c r="W327" s="237">
        <f t="shared" si="80"/>
        <v>0</v>
      </c>
      <c r="X327" s="237">
        <f t="shared" si="80"/>
        <v>0</v>
      </c>
      <c r="Y327" s="237">
        <f t="shared" si="80"/>
        <v>0</v>
      </c>
      <c r="Z327" s="237">
        <f t="shared" si="80"/>
        <v>0</v>
      </c>
      <c r="AA327" s="237">
        <f t="shared" si="80"/>
        <v>0</v>
      </c>
      <c r="AB327" s="237">
        <f t="shared" si="80"/>
        <v>0</v>
      </c>
      <c r="AC327" s="237">
        <f t="shared" si="80"/>
        <v>0</v>
      </c>
      <c r="AD327" s="237">
        <f t="shared" si="80"/>
        <v>0</v>
      </c>
      <c r="AE327" s="237">
        <f t="shared" si="80"/>
        <v>0</v>
      </c>
      <c r="AF327" s="237">
        <f t="shared" si="80"/>
        <v>0</v>
      </c>
      <c r="AG327" s="237">
        <f t="shared" si="80"/>
        <v>0</v>
      </c>
      <c r="AH327" s="237">
        <f t="shared" si="80"/>
        <v>0</v>
      </c>
      <c r="AI327" s="237">
        <f t="shared" si="80"/>
        <v>0</v>
      </c>
      <c r="AJ327" s="237">
        <f t="shared" si="80"/>
        <v>0</v>
      </c>
      <c r="AK327" s="237">
        <f t="shared" si="80"/>
        <v>0</v>
      </c>
      <c r="AL327" s="237">
        <f t="shared" si="80"/>
        <v>0</v>
      </c>
      <c r="AM327" s="237">
        <f t="shared" si="80"/>
        <v>0</v>
      </c>
      <c r="AN327" s="237">
        <f t="shared" si="80"/>
        <v>0</v>
      </c>
      <c r="AO327" s="237">
        <f t="shared" si="80"/>
        <v>0</v>
      </c>
    </row>
    <row r="328" spans="3:44" x14ac:dyDescent="0.25">
      <c r="C328" s="82"/>
      <c r="F328" s="98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</row>
    <row r="329" spans="3:44" x14ac:dyDescent="0.25">
      <c r="C329" s="82"/>
      <c r="E329" s="96" t="s">
        <v>1132</v>
      </c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25">
      <c r="C330" s="82"/>
      <c r="F330" s="505" t="s">
        <v>1192</v>
      </c>
      <c r="G330" s="293" t="s">
        <v>120</v>
      </c>
      <c r="J330" s="237">
        <f t="shared" ref="J330:AO330" si="81">SUM(J283:J284)</f>
        <v>0</v>
      </c>
      <c r="K330" s="237">
        <f t="shared" si="81"/>
        <v>0</v>
      </c>
      <c r="L330" s="237">
        <f t="shared" si="81"/>
        <v>0</v>
      </c>
      <c r="M330" s="237">
        <f t="shared" si="81"/>
        <v>0</v>
      </c>
      <c r="N330" s="237">
        <f t="shared" si="81"/>
        <v>0</v>
      </c>
      <c r="O330" s="237">
        <f t="shared" si="81"/>
        <v>0</v>
      </c>
      <c r="P330" s="237">
        <f t="shared" si="81"/>
        <v>0</v>
      </c>
      <c r="Q330" s="237">
        <f t="shared" si="81"/>
        <v>0</v>
      </c>
      <c r="R330" s="237">
        <f t="shared" si="81"/>
        <v>0</v>
      </c>
      <c r="S330" s="237">
        <f t="shared" si="81"/>
        <v>0</v>
      </c>
      <c r="T330" s="237">
        <f t="shared" si="81"/>
        <v>0</v>
      </c>
      <c r="U330" s="237">
        <f t="shared" si="81"/>
        <v>0</v>
      </c>
      <c r="V330" s="237">
        <f t="shared" si="81"/>
        <v>0</v>
      </c>
      <c r="W330" s="237">
        <f t="shared" si="81"/>
        <v>0</v>
      </c>
      <c r="X330" s="237">
        <f t="shared" si="81"/>
        <v>0</v>
      </c>
      <c r="Y330" s="237">
        <f t="shared" si="81"/>
        <v>0</v>
      </c>
      <c r="Z330" s="237">
        <f t="shared" si="81"/>
        <v>0</v>
      </c>
      <c r="AA330" s="237">
        <f t="shared" si="81"/>
        <v>0</v>
      </c>
      <c r="AB330" s="237">
        <f t="shared" si="81"/>
        <v>0</v>
      </c>
      <c r="AC330" s="237">
        <f t="shared" si="81"/>
        <v>0</v>
      </c>
      <c r="AD330" s="237">
        <f t="shared" si="81"/>
        <v>0</v>
      </c>
      <c r="AE330" s="237">
        <f t="shared" si="81"/>
        <v>0</v>
      </c>
      <c r="AF330" s="237">
        <f t="shared" si="81"/>
        <v>0</v>
      </c>
      <c r="AG330" s="237">
        <f t="shared" si="81"/>
        <v>0</v>
      </c>
      <c r="AH330" s="237">
        <f t="shared" si="81"/>
        <v>0</v>
      </c>
      <c r="AI330" s="237">
        <f t="shared" si="81"/>
        <v>0</v>
      </c>
      <c r="AJ330" s="237">
        <f t="shared" si="81"/>
        <v>0</v>
      </c>
      <c r="AK330" s="237">
        <f t="shared" si="81"/>
        <v>0</v>
      </c>
      <c r="AL330" s="237">
        <f t="shared" si="81"/>
        <v>0</v>
      </c>
      <c r="AM330" s="237">
        <f t="shared" si="81"/>
        <v>0</v>
      </c>
      <c r="AN330" s="237">
        <f t="shared" si="81"/>
        <v>0</v>
      </c>
      <c r="AO330" s="237">
        <f t="shared" si="81"/>
        <v>0</v>
      </c>
    </row>
    <row r="331" spans="3:44" x14ac:dyDescent="0.25">
      <c r="C331" s="82"/>
      <c r="F331" s="98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</row>
    <row r="332" spans="3:44" x14ac:dyDescent="0.25">
      <c r="C332" s="82"/>
      <c r="F332" s="293" t="s">
        <v>1136</v>
      </c>
      <c r="G332" s="293" t="s">
        <v>120</v>
      </c>
      <c r="J332" s="237">
        <f>SUMIF($J$149:$AO$149,J$149,$J330:$AO330)</f>
        <v>0</v>
      </c>
      <c r="K332" s="237">
        <f t="shared" ref="K332:AO332" si="82">SUMIF($J$149:$AO$149,K$149,$J330:$AO330)</f>
        <v>0</v>
      </c>
      <c r="L332" s="237">
        <f t="shared" si="82"/>
        <v>0</v>
      </c>
      <c r="M332" s="237">
        <f t="shared" si="82"/>
        <v>0</v>
      </c>
      <c r="N332" s="237">
        <f t="shared" si="82"/>
        <v>0</v>
      </c>
      <c r="O332" s="237">
        <f t="shared" si="82"/>
        <v>0</v>
      </c>
      <c r="P332" s="237">
        <f t="shared" si="82"/>
        <v>0</v>
      </c>
      <c r="Q332" s="237">
        <f t="shared" si="82"/>
        <v>0</v>
      </c>
      <c r="R332" s="237">
        <f t="shared" si="82"/>
        <v>0</v>
      </c>
      <c r="S332" s="237">
        <f t="shared" si="82"/>
        <v>0</v>
      </c>
      <c r="T332" s="237">
        <f t="shared" si="82"/>
        <v>0</v>
      </c>
      <c r="U332" s="237">
        <f t="shared" si="82"/>
        <v>0</v>
      </c>
      <c r="V332" s="237">
        <f t="shared" si="82"/>
        <v>0</v>
      </c>
      <c r="W332" s="237">
        <f t="shared" si="82"/>
        <v>0</v>
      </c>
      <c r="X332" s="237">
        <f t="shared" si="82"/>
        <v>0</v>
      </c>
      <c r="Y332" s="237">
        <f t="shared" si="82"/>
        <v>0</v>
      </c>
      <c r="Z332" s="237">
        <f t="shared" si="82"/>
        <v>0</v>
      </c>
      <c r="AA332" s="237">
        <f t="shared" si="82"/>
        <v>0</v>
      </c>
      <c r="AB332" s="237">
        <f t="shared" si="82"/>
        <v>0</v>
      </c>
      <c r="AC332" s="237">
        <f t="shared" si="82"/>
        <v>0</v>
      </c>
      <c r="AD332" s="237">
        <f t="shared" si="82"/>
        <v>0</v>
      </c>
      <c r="AE332" s="237">
        <f t="shared" si="82"/>
        <v>0</v>
      </c>
      <c r="AF332" s="237">
        <f t="shared" si="82"/>
        <v>0</v>
      </c>
      <c r="AG332" s="237">
        <f t="shared" si="82"/>
        <v>0</v>
      </c>
      <c r="AH332" s="237">
        <f t="shared" si="82"/>
        <v>0</v>
      </c>
      <c r="AI332" s="237">
        <f t="shared" si="82"/>
        <v>0</v>
      </c>
      <c r="AJ332" s="237">
        <f t="shared" si="82"/>
        <v>0</v>
      </c>
      <c r="AK332" s="237">
        <f t="shared" si="82"/>
        <v>0</v>
      </c>
      <c r="AL332" s="237">
        <f t="shared" si="82"/>
        <v>0</v>
      </c>
      <c r="AM332" s="237">
        <f t="shared" si="82"/>
        <v>0</v>
      </c>
      <c r="AN332" s="237">
        <f t="shared" si="82"/>
        <v>0</v>
      </c>
      <c r="AO332" s="237">
        <f t="shared" si="82"/>
        <v>0</v>
      </c>
    </row>
    <row r="333" spans="3:44" x14ac:dyDescent="0.25">
      <c r="C333" s="82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</row>
    <row r="334" spans="3:44" x14ac:dyDescent="0.25">
      <c r="C334" s="82"/>
      <c r="F334" s="293" t="s">
        <v>1137</v>
      </c>
      <c r="G334" s="293" t="s">
        <v>120</v>
      </c>
      <c r="J334" s="237">
        <f xml:space="preserve"> J332 * J$157</f>
        <v>0</v>
      </c>
      <c r="K334" s="237">
        <f t="shared" ref="K334:AO334" si="83" xml:space="preserve"> K332 * K$157</f>
        <v>0</v>
      </c>
      <c r="L334" s="237">
        <f t="shared" si="83"/>
        <v>0</v>
      </c>
      <c r="M334" s="237">
        <f t="shared" si="83"/>
        <v>0</v>
      </c>
      <c r="N334" s="237">
        <f t="shared" si="83"/>
        <v>0</v>
      </c>
      <c r="O334" s="237">
        <f t="shared" si="83"/>
        <v>0</v>
      </c>
      <c r="P334" s="237">
        <f t="shared" si="83"/>
        <v>0</v>
      </c>
      <c r="Q334" s="237">
        <f t="shared" si="83"/>
        <v>0</v>
      </c>
      <c r="R334" s="237">
        <f t="shared" si="83"/>
        <v>0</v>
      </c>
      <c r="S334" s="237">
        <f t="shared" si="83"/>
        <v>0</v>
      </c>
      <c r="T334" s="237">
        <f t="shared" si="83"/>
        <v>0</v>
      </c>
      <c r="U334" s="237">
        <f t="shared" si="83"/>
        <v>0</v>
      </c>
      <c r="V334" s="237">
        <f t="shared" si="83"/>
        <v>0</v>
      </c>
      <c r="W334" s="237">
        <f t="shared" si="83"/>
        <v>0</v>
      </c>
      <c r="X334" s="237">
        <f t="shared" si="83"/>
        <v>0</v>
      </c>
      <c r="Y334" s="237">
        <f t="shared" si="83"/>
        <v>0</v>
      </c>
      <c r="Z334" s="237">
        <f t="shared" si="83"/>
        <v>0</v>
      </c>
      <c r="AA334" s="237">
        <f t="shared" si="83"/>
        <v>0</v>
      </c>
      <c r="AB334" s="237">
        <f t="shared" si="83"/>
        <v>0</v>
      </c>
      <c r="AC334" s="237">
        <f t="shared" si="83"/>
        <v>0</v>
      </c>
      <c r="AD334" s="237">
        <f t="shared" si="83"/>
        <v>0</v>
      </c>
      <c r="AE334" s="237">
        <f t="shared" si="83"/>
        <v>0</v>
      </c>
      <c r="AF334" s="237">
        <f t="shared" si="83"/>
        <v>0</v>
      </c>
      <c r="AG334" s="237">
        <f t="shared" si="83"/>
        <v>0</v>
      </c>
      <c r="AH334" s="237">
        <f t="shared" si="83"/>
        <v>0</v>
      </c>
      <c r="AI334" s="237">
        <f t="shared" si="83"/>
        <v>0</v>
      </c>
      <c r="AJ334" s="237">
        <f t="shared" si="83"/>
        <v>0</v>
      </c>
      <c r="AK334" s="237">
        <f t="shared" si="83"/>
        <v>0</v>
      </c>
      <c r="AL334" s="237">
        <f t="shared" si="83"/>
        <v>0</v>
      </c>
      <c r="AM334" s="237">
        <f t="shared" si="83"/>
        <v>0</v>
      </c>
      <c r="AN334" s="237">
        <f t="shared" si="83"/>
        <v>0</v>
      </c>
      <c r="AO334" s="237">
        <f t="shared" si="83"/>
        <v>0</v>
      </c>
      <c r="AP334" s="111"/>
      <c r="AQ334" s="111"/>
      <c r="AR334" s="111"/>
    </row>
    <row r="335" spans="3:44" x14ac:dyDescent="0.25">
      <c r="C335" s="82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</row>
    <row r="336" spans="3:44" x14ac:dyDescent="0.25">
      <c r="C336" s="82"/>
      <c r="E336" s="505" t="s">
        <v>1193</v>
      </c>
      <c r="G336" s="293" t="s">
        <v>183</v>
      </c>
      <c r="J336" s="440">
        <f t="shared" ref="J336:AO336" si="84">IF( J334&lt;&gt;0, J327/J334, 0)*hundred/thousand</f>
        <v>0</v>
      </c>
      <c r="K336" s="440">
        <f t="shared" si="84"/>
        <v>0</v>
      </c>
      <c r="L336" s="440">
        <f t="shared" si="84"/>
        <v>0</v>
      </c>
      <c r="M336" s="440">
        <f t="shared" si="84"/>
        <v>0</v>
      </c>
      <c r="N336" s="440">
        <f t="shared" si="84"/>
        <v>0</v>
      </c>
      <c r="O336" s="440">
        <f t="shared" si="84"/>
        <v>0</v>
      </c>
      <c r="P336" s="440">
        <f t="shared" si="84"/>
        <v>0</v>
      </c>
      <c r="Q336" s="440">
        <f t="shared" si="84"/>
        <v>0</v>
      </c>
      <c r="R336" s="440">
        <f t="shared" si="84"/>
        <v>0</v>
      </c>
      <c r="S336" s="440">
        <f t="shared" si="84"/>
        <v>0</v>
      </c>
      <c r="T336" s="440">
        <f t="shared" si="84"/>
        <v>0</v>
      </c>
      <c r="U336" s="440">
        <f t="shared" si="84"/>
        <v>0</v>
      </c>
      <c r="V336" s="440">
        <f t="shared" si="84"/>
        <v>0</v>
      </c>
      <c r="W336" s="440">
        <f t="shared" si="84"/>
        <v>0</v>
      </c>
      <c r="X336" s="440">
        <f t="shared" si="84"/>
        <v>0</v>
      </c>
      <c r="Y336" s="440">
        <f t="shared" si="84"/>
        <v>0</v>
      </c>
      <c r="Z336" s="440">
        <f t="shared" si="84"/>
        <v>0</v>
      </c>
      <c r="AA336" s="440">
        <f t="shared" si="84"/>
        <v>0</v>
      </c>
      <c r="AB336" s="440">
        <f t="shared" si="84"/>
        <v>0</v>
      </c>
      <c r="AC336" s="440">
        <f t="shared" si="84"/>
        <v>0</v>
      </c>
      <c r="AD336" s="440">
        <f t="shared" si="84"/>
        <v>0</v>
      </c>
      <c r="AE336" s="440">
        <f t="shared" si="84"/>
        <v>0</v>
      </c>
      <c r="AF336" s="440">
        <f t="shared" si="84"/>
        <v>0</v>
      </c>
      <c r="AG336" s="440">
        <f t="shared" si="84"/>
        <v>0</v>
      </c>
      <c r="AH336" s="440">
        <f t="shared" si="84"/>
        <v>0</v>
      </c>
      <c r="AI336" s="440">
        <f t="shared" si="84"/>
        <v>0</v>
      </c>
      <c r="AJ336" s="440">
        <f t="shared" si="84"/>
        <v>0</v>
      </c>
      <c r="AK336" s="440">
        <f t="shared" si="84"/>
        <v>0</v>
      </c>
      <c r="AL336" s="440">
        <f t="shared" si="84"/>
        <v>0</v>
      </c>
      <c r="AM336" s="440">
        <f t="shared" si="84"/>
        <v>0</v>
      </c>
      <c r="AN336" s="440">
        <f t="shared" si="84"/>
        <v>0</v>
      </c>
      <c r="AO336" s="440">
        <f t="shared" si="84"/>
        <v>0</v>
      </c>
    </row>
    <row r="337" spans="3:43" x14ac:dyDescent="0.25">
      <c r="C337" s="82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</row>
    <row r="338" spans="3:43" x14ac:dyDescent="0.25">
      <c r="C338" s="82"/>
      <c r="E338" s="96" t="s">
        <v>1194</v>
      </c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25">
      <c r="C339" s="82"/>
      <c r="F339" s="91" t="s">
        <v>1164</v>
      </c>
      <c r="G339" s="91" t="s">
        <v>1026</v>
      </c>
      <c r="H339" s="91"/>
      <c r="I339" s="91"/>
      <c r="J339" s="509"/>
      <c r="K339" s="509"/>
      <c r="L339" s="509"/>
      <c r="M339" s="509"/>
      <c r="N339" s="509"/>
      <c r="O339" s="509"/>
      <c r="P339" s="509"/>
      <c r="Q339" s="509"/>
      <c r="R339" s="509"/>
      <c r="S339" s="509"/>
      <c r="T339" s="509"/>
      <c r="U339" s="509"/>
      <c r="V339" s="509"/>
      <c r="W339" s="509"/>
      <c r="X339" s="509"/>
      <c r="Y339" s="509"/>
      <c r="Z339" s="509"/>
      <c r="AA339" s="509"/>
      <c r="AB339" s="509"/>
      <c r="AC339" s="509"/>
      <c r="AD339" s="509"/>
      <c r="AE339" s="509"/>
      <c r="AF339" s="509"/>
      <c r="AG339" s="509"/>
      <c r="AH339" s="509"/>
      <c r="AI339" s="509"/>
      <c r="AJ339" s="509"/>
      <c r="AK339" s="509"/>
      <c r="AL339" s="509"/>
      <c r="AM339" s="509"/>
      <c r="AN339" s="509"/>
      <c r="AO339" s="509"/>
    </row>
    <row r="340" spans="3:43" x14ac:dyDescent="0.25">
      <c r="C340" s="82"/>
      <c r="F340" s="293" t="s">
        <v>1165</v>
      </c>
      <c r="G340" s="293" t="s">
        <v>1026</v>
      </c>
      <c r="J340" s="111" t="b">
        <f t="shared" ref="J340:AO341" si="85">IF(J$32, -J263+J$336&gt;=0, TRUE)</f>
        <v>1</v>
      </c>
      <c r="K340" s="111" t="b">
        <f t="shared" si="85"/>
        <v>1</v>
      </c>
      <c r="L340" s="111" t="b">
        <f t="shared" si="85"/>
        <v>1</v>
      </c>
      <c r="M340" s="111" t="b">
        <f t="shared" si="85"/>
        <v>1</v>
      </c>
      <c r="N340" s="111" t="b">
        <f t="shared" si="85"/>
        <v>1</v>
      </c>
      <c r="O340" s="111" t="b">
        <f t="shared" si="85"/>
        <v>1</v>
      </c>
      <c r="P340" s="111" t="b">
        <f t="shared" si="85"/>
        <v>1</v>
      </c>
      <c r="Q340" s="111" t="b">
        <f t="shared" si="85"/>
        <v>1</v>
      </c>
      <c r="R340" s="111" t="b">
        <f t="shared" si="85"/>
        <v>1</v>
      </c>
      <c r="S340" s="111" t="b">
        <f t="shared" si="85"/>
        <v>1</v>
      </c>
      <c r="T340" s="111" t="b">
        <f t="shared" si="85"/>
        <v>1</v>
      </c>
      <c r="U340" s="111" t="b">
        <f t="shared" si="85"/>
        <v>1</v>
      </c>
      <c r="V340" s="111" t="b">
        <f t="shared" si="85"/>
        <v>1</v>
      </c>
      <c r="W340" s="111" t="b">
        <f t="shared" si="85"/>
        <v>1</v>
      </c>
      <c r="X340" s="111" t="b">
        <f t="shared" si="85"/>
        <v>1</v>
      </c>
      <c r="Y340" s="111" t="b">
        <f t="shared" si="85"/>
        <v>1</v>
      </c>
      <c r="Z340" s="111" t="b">
        <f t="shared" si="85"/>
        <v>1</v>
      </c>
      <c r="AA340" s="111" t="b">
        <f t="shared" si="85"/>
        <v>1</v>
      </c>
      <c r="AB340" s="111" t="b">
        <f t="shared" si="85"/>
        <v>1</v>
      </c>
      <c r="AC340" s="111" t="b">
        <f t="shared" si="85"/>
        <v>1</v>
      </c>
      <c r="AD340" s="111" t="b">
        <f t="shared" si="85"/>
        <v>1</v>
      </c>
      <c r="AE340" s="111" t="b">
        <f t="shared" si="85"/>
        <v>1</v>
      </c>
      <c r="AF340" s="111" t="b">
        <f t="shared" si="85"/>
        <v>1</v>
      </c>
      <c r="AG340" s="111" t="b">
        <f t="shared" si="85"/>
        <v>1</v>
      </c>
      <c r="AH340" s="111" t="b">
        <f t="shared" si="85"/>
        <v>1</v>
      </c>
      <c r="AI340" s="111" t="b">
        <f t="shared" si="85"/>
        <v>1</v>
      </c>
      <c r="AJ340" s="111" t="b">
        <f t="shared" si="85"/>
        <v>1</v>
      </c>
      <c r="AK340" s="111" t="b">
        <f t="shared" si="85"/>
        <v>1</v>
      </c>
      <c r="AL340" s="111" t="b">
        <f t="shared" si="85"/>
        <v>1</v>
      </c>
      <c r="AM340" s="111" t="b">
        <f t="shared" si="85"/>
        <v>1</v>
      </c>
      <c r="AN340" s="111" t="b">
        <f t="shared" si="85"/>
        <v>1</v>
      </c>
      <c r="AO340" s="111" t="b">
        <f t="shared" si="85"/>
        <v>1</v>
      </c>
    </row>
    <row r="341" spans="3:43" x14ac:dyDescent="0.25">
      <c r="C341" s="82"/>
      <c r="F341" s="93" t="s">
        <v>1166</v>
      </c>
      <c r="G341" s="93" t="s">
        <v>1026</v>
      </c>
      <c r="H341" s="93"/>
      <c r="I341" s="93"/>
      <c r="J341" s="145" t="b">
        <f t="shared" si="85"/>
        <v>1</v>
      </c>
      <c r="K341" s="145" t="b">
        <f t="shared" si="85"/>
        <v>1</v>
      </c>
      <c r="L341" s="145" t="b">
        <f t="shared" si="85"/>
        <v>1</v>
      </c>
      <c r="M341" s="145" t="b">
        <f t="shared" si="85"/>
        <v>1</v>
      </c>
      <c r="N341" s="145" t="b">
        <f t="shared" si="85"/>
        <v>1</v>
      </c>
      <c r="O341" s="145" t="b">
        <f t="shared" si="85"/>
        <v>1</v>
      </c>
      <c r="P341" s="145" t="b">
        <f t="shared" si="85"/>
        <v>1</v>
      </c>
      <c r="Q341" s="145" t="b">
        <f t="shared" si="85"/>
        <v>1</v>
      </c>
      <c r="R341" s="145" t="b">
        <f t="shared" si="85"/>
        <v>1</v>
      </c>
      <c r="S341" s="145" t="b">
        <f t="shared" si="85"/>
        <v>1</v>
      </c>
      <c r="T341" s="145" t="b">
        <f t="shared" si="85"/>
        <v>1</v>
      </c>
      <c r="U341" s="145" t="b">
        <f t="shared" si="85"/>
        <v>1</v>
      </c>
      <c r="V341" s="145" t="b">
        <f t="shared" si="85"/>
        <v>1</v>
      </c>
      <c r="W341" s="145" t="b">
        <f t="shared" si="85"/>
        <v>1</v>
      </c>
      <c r="X341" s="145" t="b">
        <f t="shared" si="85"/>
        <v>1</v>
      </c>
      <c r="Y341" s="145" t="b">
        <f t="shared" si="85"/>
        <v>1</v>
      </c>
      <c r="Z341" s="145" t="b">
        <f t="shared" si="85"/>
        <v>1</v>
      </c>
      <c r="AA341" s="145" t="b">
        <f t="shared" si="85"/>
        <v>1</v>
      </c>
      <c r="AB341" s="145" t="b">
        <f t="shared" si="85"/>
        <v>1</v>
      </c>
      <c r="AC341" s="145" t="b">
        <f t="shared" si="85"/>
        <v>1</v>
      </c>
      <c r="AD341" s="145" t="b">
        <f t="shared" si="85"/>
        <v>1</v>
      </c>
      <c r="AE341" s="145" t="b">
        <f t="shared" si="85"/>
        <v>1</v>
      </c>
      <c r="AF341" s="145" t="b">
        <f t="shared" si="85"/>
        <v>1</v>
      </c>
      <c r="AG341" s="145" t="b">
        <f t="shared" si="85"/>
        <v>1</v>
      </c>
      <c r="AH341" s="145" t="b">
        <f t="shared" si="85"/>
        <v>1</v>
      </c>
      <c r="AI341" s="145" t="b">
        <f t="shared" si="85"/>
        <v>1</v>
      </c>
      <c r="AJ341" s="145" t="b">
        <f t="shared" si="85"/>
        <v>1</v>
      </c>
      <c r="AK341" s="145" t="b">
        <f t="shared" si="85"/>
        <v>1</v>
      </c>
      <c r="AL341" s="145" t="b">
        <f t="shared" si="85"/>
        <v>1</v>
      </c>
      <c r="AM341" s="145" t="b">
        <f t="shared" si="85"/>
        <v>1</v>
      </c>
      <c r="AN341" s="145" t="b">
        <f t="shared" si="85"/>
        <v>1</v>
      </c>
      <c r="AO341" s="145" t="b">
        <f t="shared" si="85"/>
        <v>1</v>
      </c>
    </row>
    <row r="342" spans="3:43" x14ac:dyDescent="0.25">
      <c r="C342" s="82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</row>
    <row r="343" spans="3:43" x14ac:dyDescent="0.25">
      <c r="C343" s="82"/>
      <c r="E343" s="293" t="s">
        <v>1195</v>
      </c>
      <c r="G343" s="293" t="s">
        <v>1026</v>
      </c>
      <c r="J343" s="111" t="b">
        <f>COUNTIF(J340:J341, TRUE) = 2</f>
        <v>1</v>
      </c>
      <c r="K343" s="111" t="b">
        <f t="shared" ref="K343:AO343" si="86">COUNTIF(K340:K341, TRUE) = 2</f>
        <v>1</v>
      </c>
      <c r="L343" s="111" t="b">
        <f t="shared" si="86"/>
        <v>1</v>
      </c>
      <c r="M343" s="111" t="b">
        <f t="shared" si="86"/>
        <v>1</v>
      </c>
      <c r="N343" s="111" t="b">
        <f t="shared" si="86"/>
        <v>1</v>
      </c>
      <c r="O343" s="111" t="b">
        <f t="shared" si="86"/>
        <v>1</v>
      </c>
      <c r="P343" s="111" t="b">
        <f t="shared" si="86"/>
        <v>1</v>
      </c>
      <c r="Q343" s="111" t="b">
        <f t="shared" si="86"/>
        <v>1</v>
      </c>
      <c r="R343" s="111" t="b">
        <f t="shared" si="86"/>
        <v>1</v>
      </c>
      <c r="S343" s="111" t="b">
        <f t="shared" si="86"/>
        <v>1</v>
      </c>
      <c r="T343" s="111" t="b">
        <f t="shared" si="86"/>
        <v>1</v>
      </c>
      <c r="U343" s="111" t="b">
        <f t="shared" si="86"/>
        <v>1</v>
      </c>
      <c r="V343" s="111" t="b">
        <f t="shared" si="86"/>
        <v>1</v>
      </c>
      <c r="W343" s="111" t="b">
        <f t="shared" si="86"/>
        <v>1</v>
      </c>
      <c r="X343" s="111" t="b">
        <f t="shared" si="86"/>
        <v>1</v>
      </c>
      <c r="Y343" s="111" t="b">
        <f t="shared" si="86"/>
        <v>1</v>
      </c>
      <c r="Z343" s="111" t="b">
        <f t="shared" si="86"/>
        <v>1</v>
      </c>
      <c r="AA343" s="111" t="b">
        <f t="shared" si="86"/>
        <v>1</v>
      </c>
      <c r="AB343" s="111" t="b">
        <f t="shared" si="86"/>
        <v>1</v>
      </c>
      <c r="AC343" s="111" t="b">
        <f t="shared" si="86"/>
        <v>1</v>
      </c>
      <c r="AD343" s="111" t="b">
        <f t="shared" si="86"/>
        <v>1</v>
      </c>
      <c r="AE343" s="111" t="b">
        <f t="shared" si="86"/>
        <v>1</v>
      </c>
      <c r="AF343" s="111" t="b">
        <f t="shared" si="86"/>
        <v>1</v>
      </c>
      <c r="AG343" s="111" t="b">
        <f t="shared" si="86"/>
        <v>1</v>
      </c>
      <c r="AH343" s="111" t="b">
        <f t="shared" si="86"/>
        <v>1</v>
      </c>
      <c r="AI343" s="111" t="b">
        <f t="shared" si="86"/>
        <v>1</v>
      </c>
      <c r="AJ343" s="111" t="b">
        <f t="shared" si="86"/>
        <v>1</v>
      </c>
      <c r="AK343" s="111" t="b">
        <f t="shared" si="86"/>
        <v>1</v>
      </c>
      <c r="AL343" s="111" t="b">
        <f t="shared" si="86"/>
        <v>1</v>
      </c>
      <c r="AM343" s="111" t="b">
        <f t="shared" si="86"/>
        <v>1</v>
      </c>
      <c r="AN343" s="111" t="b">
        <f t="shared" si="86"/>
        <v>1</v>
      </c>
      <c r="AO343" s="111" t="b">
        <f t="shared" si="86"/>
        <v>1</v>
      </c>
    </row>
    <row r="344" spans="3:43" x14ac:dyDescent="0.25">
      <c r="C344" s="82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</row>
    <row r="345" spans="3:43" x14ac:dyDescent="0.25">
      <c r="C345" s="7" t="str">
        <f ca="1">INDEX('Version control'!$H$34:$H$60,MATCH($A$1,'Version control'!$F$34:$F$60,0),1)&amp;"-M: Revenue matching for one timeband"</f>
        <v>Section 519-M: Revenue matching for one timeband</v>
      </c>
      <c r="D345" s="7"/>
      <c r="E345" s="7"/>
      <c r="F345" s="7"/>
      <c r="G345" s="7"/>
      <c r="H345" s="7"/>
      <c r="I345" s="7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7"/>
      <c r="AQ345" s="7"/>
    </row>
    <row r="346" spans="3:43" x14ac:dyDescent="0.25">
      <c r="C346" s="82"/>
      <c r="E346" s="96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</row>
    <row r="347" spans="3:43" x14ac:dyDescent="0.25">
      <c r="C347" s="82"/>
      <c r="D347" s="82" t="s">
        <v>1245</v>
      </c>
      <c r="E347" s="96"/>
      <c r="I347" s="293" t="s">
        <v>359</v>
      </c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Q347" s="293" t="s">
        <v>745</v>
      </c>
    </row>
    <row r="348" spans="3:43" x14ac:dyDescent="0.25">
      <c r="C348" s="82"/>
      <c r="D348" s="82" t="s">
        <v>1196</v>
      </c>
      <c r="E348" s="96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</row>
    <row r="349" spans="3:43" x14ac:dyDescent="0.25">
      <c r="C349" s="82"/>
      <c r="D349" s="82" t="s">
        <v>1187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25">
      <c r="C350" s="82"/>
      <c r="D350" s="82" t="s">
        <v>1188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25">
      <c r="C351" s="82"/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25">
      <c r="C352" s="82"/>
      <c r="E352" s="96" t="s">
        <v>1197</v>
      </c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25">
      <c r="C353" s="82"/>
      <c r="F353" s="372" t="s">
        <v>1198</v>
      </c>
      <c r="G353" s="293" t="s">
        <v>1141</v>
      </c>
      <c r="J353" s="237">
        <f t="shared" ref="J353:AO353" si="87">SUMPRODUCT(J262:J263, J282:J283)*thousand/hundred</f>
        <v>0</v>
      </c>
      <c r="K353" s="237">
        <f t="shared" si="87"/>
        <v>0</v>
      </c>
      <c r="L353" s="237">
        <f t="shared" si="87"/>
        <v>0</v>
      </c>
      <c r="M353" s="237">
        <f t="shared" si="87"/>
        <v>0</v>
      </c>
      <c r="N353" s="237">
        <f t="shared" si="87"/>
        <v>0</v>
      </c>
      <c r="O353" s="237">
        <f t="shared" si="87"/>
        <v>0</v>
      </c>
      <c r="P353" s="237">
        <f t="shared" si="87"/>
        <v>0</v>
      </c>
      <c r="Q353" s="237">
        <f t="shared" si="87"/>
        <v>0</v>
      </c>
      <c r="R353" s="237">
        <f t="shared" si="87"/>
        <v>0</v>
      </c>
      <c r="S353" s="237">
        <f t="shared" si="87"/>
        <v>0</v>
      </c>
      <c r="T353" s="237">
        <f t="shared" si="87"/>
        <v>0</v>
      </c>
      <c r="U353" s="237">
        <f t="shared" si="87"/>
        <v>0</v>
      </c>
      <c r="V353" s="237">
        <f t="shared" si="87"/>
        <v>0</v>
      </c>
      <c r="W353" s="237">
        <f t="shared" si="87"/>
        <v>0</v>
      </c>
      <c r="X353" s="237">
        <f t="shared" si="87"/>
        <v>0</v>
      </c>
      <c r="Y353" s="237">
        <f t="shared" si="87"/>
        <v>0</v>
      </c>
      <c r="Z353" s="237">
        <f t="shared" si="87"/>
        <v>0</v>
      </c>
      <c r="AA353" s="237">
        <f t="shared" si="87"/>
        <v>0</v>
      </c>
      <c r="AB353" s="237">
        <f t="shared" si="87"/>
        <v>0</v>
      </c>
      <c r="AC353" s="237">
        <f t="shared" si="87"/>
        <v>0</v>
      </c>
      <c r="AD353" s="237">
        <f t="shared" si="87"/>
        <v>0</v>
      </c>
      <c r="AE353" s="237">
        <f t="shared" si="87"/>
        <v>0</v>
      </c>
      <c r="AF353" s="237">
        <f t="shared" si="87"/>
        <v>0</v>
      </c>
      <c r="AG353" s="237">
        <f t="shared" si="87"/>
        <v>0</v>
      </c>
      <c r="AH353" s="237">
        <f t="shared" si="87"/>
        <v>0</v>
      </c>
      <c r="AI353" s="237">
        <f t="shared" si="87"/>
        <v>0</v>
      </c>
      <c r="AJ353" s="237">
        <f t="shared" si="87"/>
        <v>0</v>
      </c>
      <c r="AK353" s="237">
        <f t="shared" si="87"/>
        <v>0</v>
      </c>
      <c r="AL353" s="237">
        <f t="shared" si="87"/>
        <v>0</v>
      </c>
      <c r="AM353" s="237">
        <f t="shared" si="87"/>
        <v>0</v>
      </c>
      <c r="AN353" s="237">
        <f t="shared" si="87"/>
        <v>0</v>
      </c>
      <c r="AO353" s="237">
        <f t="shared" si="87"/>
        <v>0</v>
      </c>
    </row>
    <row r="354" spans="3:44" x14ac:dyDescent="0.25">
      <c r="C354" s="82"/>
      <c r="F354" s="96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</row>
    <row r="355" spans="3:44" x14ac:dyDescent="0.25">
      <c r="C355" s="82"/>
      <c r="F355" s="508" t="s">
        <v>1191</v>
      </c>
      <c r="G355" s="293" t="s">
        <v>1141</v>
      </c>
      <c r="J355" s="237">
        <f t="shared" ref="J355:AO355" si="88">J228 - J353</f>
        <v>0</v>
      </c>
      <c r="K355" s="237">
        <f t="shared" si="88"/>
        <v>0</v>
      </c>
      <c r="L355" s="237">
        <f t="shared" si="88"/>
        <v>0</v>
      </c>
      <c r="M355" s="237">
        <f t="shared" si="88"/>
        <v>0</v>
      </c>
      <c r="N355" s="237">
        <f t="shared" si="88"/>
        <v>0</v>
      </c>
      <c r="O355" s="237">
        <f t="shared" si="88"/>
        <v>0</v>
      </c>
      <c r="P355" s="237">
        <f t="shared" si="88"/>
        <v>0</v>
      </c>
      <c r="Q355" s="237">
        <f t="shared" si="88"/>
        <v>0</v>
      </c>
      <c r="R355" s="237">
        <f t="shared" si="88"/>
        <v>0</v>
      </c>
      <c r="S355" s="237">
        <f t="shared" si="88"/>
        <v>0</v>
      </c>
      <c r="T355" s="237">
        <f t="shared" si="88"/>
        <v>0</v>
      </c>
      <c r="U355" s="237">
        <f t="shared" si="88"/>
        <v>0</v>
      </c>
      <c r="V355" s="237">
        <f t="shared" si="88"/>
        <v>0</v>
      </c>
      <c r="W355" s="237">
        <f t="shared" si="88"/>
        <v>0</v>
      </c>
      <c r="X355" s="237">
        <f t="shared" si="88"/>
        <v>0</v>
      </c>
      <c r="Y355" s="237">
        <f t="shared" si="88"/>
        <v>0</v>
      </c>
      <c r="Z355" s="237">
        <f t="shared" si="88"/>
        <v>0</v>
      </c>
      <c r="AA355" s="237">
        <f t="shared" si="88"/>
        <v>0</v>
      </c>
      <c r="AB355" s="237">
        <f t="shared" si="88"/>
        <v>0</v>
      </c>
      <c r="AC355" s="237">
        <f t="shared" si="88"/>
        <v>0</v>
      </c>
      <c r="AD355" s="237">
        <f t="shared" si="88"/>
        <v>0</v>
      </c>
      <c r="AE355" s="237">
        <f t="shared" si="88"/>
        <v>0</v>
      </c>
      <c r="AF355" s="237">
        <f t="shared" si="88"/>
        <v>0</v>
      </c>
      <c r="AG355" s="237">
        <f t="shared" si="88"/>
        <v>0</v>
      </c>
      <c r="AH355" s="237">
        <f t="shared" si="88"/>
        <v>0</v>
      </c>
      <c r="AI355" s="237">
        <f t="shared" si="88"/>
        <v>0</v>
      </c>
      <c r="AJ355" s="237">
        <f t="shared" si="88"/>
        <v>0</v>
      </c>
      <c r="AK355" s="237">
        <f t="shared" si="88"/>
        <v>0</v>
      </c>
      <c r="AL355" s="237">
        <f t="shared" si="88"/>
        <v>0</v>
      </c>
      <c r="AM355" s="237">
        <f t="shared" si="88"/>
        <v>0</v>
      </c>
      <c r="AN355" s="237">
        <f t="shared" si="88"/>
        <v>0</v>
      </c>
      <c r="AO355" s="237">
        <f t="shared" si="88"/>
        <v>0</v>
      </c>
    </row>
    <row r="356" spans="3:44" x14ac:dyDescent="0.25">
      <c r="C356" s="82"/>
      <c r="F356" s="96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</row>
    <row r="357" spans="3:44" x14ac:dyDescent="0.25">
      <c r="C357" s="82"/>
      <c r="F357" s="293" t="s">
        <v>1180</v>
      </c>
      <c r="G357" s="293" t="s">
        <v>1141</v>
      </c>
      <c r="J357" s="237">
        <f>SUMIF($J$149:$AO$149,J$149,$J355:$AO355)</f>
        <v>0</v>
      </c>
      <c r="K357" s="237">
        <f t="shared" ref="K357:AO357" si="89">SUMIF($J$149:$AO$149,K$149,$J355:$AO355)</f>
        <v>0</v>
      </c>
      <c r="L357" s="237">
        <f t="shared" si="89"/>
        <v>0</v>
      </c>
      <c r="M357" s="237">
        <f t="shared" si="89"/>
        <v>0</v>
      </c>
      <c r="N357" s="237">
        <f t="shared" si="89"/>
        <v>0</v>
      </c>
      <c r="O357" s="237">
        <f t="shared" si="89"/>
        <v>0</v>
      </c>
      <c r="P357" s="237">
        <f t="shared" si="89"/>
        <v>0</v>
      </c>
      <c r="Q357" s="237">
        <f t="shared" si="89"/>
        <v>0</v>
      </c>
      <c r="R357" s="237">
        <f t="shared" si="89"/>
        <v>0</v>
      </c>
      <c r="S357" s="237">
        <f t="shared" si="89"/>
        <v>0</v>
      </c>
      <c r="T357" s="237">
        <f t="shared" si="89"/>
        <v>0</v>
      </c>
      <c r="U357" s="237">
        <f t="shared" si="89"/>
        <v>0</v>
      </c>
      <c r="V357" s="237">
        <f t="shared" si="89"/>
        <v>0</v>
      </c>
      <c r="W357" s="237">
        <f t="shared" si="89"/>
        <v>0</v>
      </c>
      <c r="X357" s="237">
        <f t="shared" si="89"/>
        <v>0</v>
      </c>
      <c r="Y357" s="237">
        <f t="shared" si="89"/>
        <v>0</v>
      </c>
      <c r="Z357" s="237">
        <f t="shared" si="89"/>
        <v>0</v>
      </c>
      <c r="AA357" s="237">
        <f t="shared" si="89"/>
        <v>0</v>
      </c>
      <c r="AB357" s="237">
        <f t="shared" si="89"/>
        <v>0</v>
      </c>
      <c r="AC357" s="237">
        <f t="shared" si="89"/>
        <v>0</v>
      </c>
      <c r="AD357" s="237">
        <f t="shared" si="89"/>
        <v>0</v>
      </c>
      <c r="AE357" s="237">
        <f t="shared" si="89"/>
        <v>0</v>
      </c>
      <c r="AF357" s="237">
        <f t="shared" si="89"/>
        <v>0</v>
      </c>
      <c r="AG357" s="237">
        <f t="shared" si="89"/>
        <v>0</v>
      </c>
      <c r="AH357" s="237">
        <f t="shared" si="89"/>
        <v>0</v>
      </c>
      <c r="AI357" s="237">
        <f t="shared" si="89"/>
        <v>0</v>
      </c>
      <c r="AJ357" s="237">
        <f t="shared" si="89"/>
        <v>0</v>
      </c>
      <c r="AK357" s="237">
        <f t="shared" si="89"/>
        <v>0</v>
      </c>
      <c r="AL357" s="237">
        <f t="shared" si="89"/>
        <v>0</v>
      </c>
      <c r="AM357" s="237">
        <f t="shared" si="89"/>
        <v>0</v>
      </c>
      <c r="AN357" s="237">
        <f t="shared" si="89"/>
        <v>0</v>
      </c>
      <c r="AO357" s="237">
        <f t="shared" si="89"/>
        <v>0</v>
      </c>
    </row>
    <row r="358" spans="3:44" x14ac:dyDescent="0.25">
      <c r="C358" s="82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</row>
    <row r="359" spans="3:44" x14ac:dyDescent="0.25">
      <c r="C359" s="82"/>
      <c r="F359" s="293" t="s">
        <v>1181</v>
      </c>
      <c r="G359" s="293" t="s">
        <v>1141</v>
      </c>
      <c r="J359" s="237">
        <f xml:space="preserve"> J357 * J$157</f>
        <v>0</v>
      </c>
      <c r="K359" s="237">
        <f t="shared" ref="K359:AO359" si="90" xml:space="preserve"> K357 * K$157</f>
        <v>0</v>
      </c>
      <c r="L359" s="237">
        <f t="shared" si="90"/>
        <v>0</v>
      </c>
      <c r="M359" s="237">
        <f t="shared" si="90"/>
        <v>0</v>
      </c>
      <c r="N359" s="237">
        <f t="shared" si="90"/>
        <v>0</v>
      </c>
      <c r="O359" s="237">
        <f t="shared" si="90"/>
        <v>0</v>
      </c>
      <c r="P359" s="237">
        <f t="shared" si="90"/>
        <v>0</v>
      </c>
      <c r="Q359" s="237">
        <f t="shared" si="90"/>
        <v>0</v>
      </c>
      <c r="R359" s="237">
        <f t="shared" si="90"/>
        <v>0</v>
      </c>
      <c r="S359" s="237">
        <f t="shared" si="90"/>
        <v>0</v>
      </c>
      <c r="T359" s="237">
        <f t="shared" si="90"/>
        <v>0</v>
      </c>
      <c r="U359" s="237">
        <f t="shared" si="90"/>
        <v>0</v>
      </c>
      <c r="V359" s="237">
        <f t="shared" si="90"/>
        <v>0</v>
      </c>
      <c r="W359" s="237">
        <f t="shared" si="90"/>
        <v>0</v>
      </c>
      <c r="X359" s="237">
        <f t="shared" si="90"/>
        <v>0</v>
      </c>
      <c r="Y359" s="237">
        <f t="shared" si="90"/>
        <v>0</v>
      </c>
      <c r="Z359" s="237">
        <f t="shared" si="90"/>
        <v>0</v>
      </c>
      <c r="AA359" s="237">
        <f t="shared" si="90"/>
        <v>0</v>
      </c>
      <c r="AB359" s="237">
        <f t="shared" si="90"/>
        <v>0</v>
      </c>
      <c r="AC359" s="237">
        <f t="shared" si="90"/>
        <v>0</v>
      </c>
      <c r="AD359" s="237">
        <f t="shared" si="90"/>
        <v>0</v>
      </c>
      <c r="AE359" s="237">
        <f t="shared" si="90"/>
        <v>0</v>
      </c>
      <c r="AF359" s="237">
        <f t="shared" si="90"/>
        <v>0</v>
      </c>
      <c r="AG359" s="237">
        <f t="shared" si="90"/>
        <v>0</v>
      </c>
      <c r="AH359" s="237">
        <f t="shared" si="90"/>
        <v>0</v>
      </c>
      <c r="AI359" s="237">
        <f t="shared" si="90"/>
        <v>0</v>
      </c>
      <c r="AJ359" s="237">
        <f t="shared" si="90"/>
        <v>0</v>
      </c>
      <c r="AK359" s="237">
        <f t="shared" si="90"/>
        <v>0</v>
      </c>
      <c r="AL359" s="237">
        <f t="shared" si="90"/>
        <v>0</v>
      </c>
      <c r="AM359" s="237">
        <f t="shared" si="90"/>
        <v>0</v>
      </c>
      <c r="AN359" s="237">
        <f t="shared" si="90"/>
        <v>0</v>
      </c>
      <c r="AO359" s="237">
        <f t="shared" si="90"/>
        <v>0</v>
      </c>
    </row>
    <row r="360" spans="3:44" x14ac:dyDescent="0.25">
      <c r="C360" s="82"/>
      <c r="F360" s="98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</row>
    <row r="361" spans="3:44" x14ac:dyDescent="0.25">
      <c r="C361" s="82"/>
      <c r="E361" s="96" t="s">
        <v>1132</v>
      </c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25">
      <c r="C362" s="82"/>
      <c r="F362" s="505" t="s">
        <v>1192</v>
      </c>
      <c r="G362" s="293" t="s">
        <v>120</v>
      </c>
      <c r="J362" s="237">
        <f t="shared" ref="J362:AO362" si="91">J284</f>
        <v>0</v>
      </c>
      <c r="K362" s="237">
        <f t="shared" si="91"/>
        <v>0</v>
      </c>
      <c r="L362" s="237">
        <f t="shared" si="91"/>
        <v>0</v>
      </c>
      <c r="M362" s="237">
        <f t="shared" si="91"/>
        <v>0</v>
      </c>
      <c r="N362" s="237">
        <f t="shared" si="91"/>
        <v>0</v>
      </c>
      <c r="O362" s="237">
        <f t="shared" si="91"/>
        <v>0</v>
      </c>
      <c r="P362" s="237">
        <f t="shared" si="91"/>
        <v>0</v>
      </c>
      <c r="Q362" s="237">
        <f t="shared" si="91"/>
        <v>0</v>
      </c>
      <c r="R362" s="237">
        <f t="shared" si="91"/>
        <v>0</v>
      </c>
      <c r="S362" s="237">
        <f t="shared" si="91"/>
        <v>0</v>
      </c>
      <c r="T362" s="237">
        <f t="shared" si="91"/>
        <v>0</v>
      </c>
      <c r="U362" s="237">
        <f t="shared" si="91"/>
        <v>0</v>
      </c>
      <c r="V362" s="237">
        <f t="shared" si="91"/>
        <v>0</v>
      </c>
      <c r="W362" s="237">
        <f t="shared" si="91"/>
        <v>0</v>
      </c>
      <c r="X362" s="237">
        <f t="shared" si="91"/>
        <v>0</v>
      </c>
      <c r="Y362" s="237">
        <f t="shared" si="91"/>
        <v>0</v>
      </c>
      <c r="Z362" s="237">
        <f t="shared" si="91"/>
        <v>0</v>
      </c>
      <c r="AA362" s="237">
        <f t="shared" si="91"/>
        <v>0</v>
      </c>
      <c r="AB362" s="237">
        <f t="shared" si="91"/>
        <v>0</v>
      </c>
      <c r="AC362" s="237">
        <f t="shared" si="91"/>
        <v>0</v>
      </c>
      <c r="AD362" s="237">
        <f t="shared" si="91"/>
        <v>0</v>
      </c>
      <c r="AE362" s="237">
        <f t="shared" si="91"/>
        <v>0</v>
      </c>
      <c r="AF362" s="237">
        <f t="shared" si="91"/>
        <v>0</v>
      </c>
      <c r="AG362" s="237">
        <f t="shared" si="91"/>
        <v>0</v>
      </c>
      <c r="AH362" s="237">
        <f t="shared" si="91"/>
        <v>0</v>
      </c>
      <c r="AI362" s="237">
        <f t="shared" si="91"/>
        <v>0</v>
      </c>
      <c r="AJ362" s="237">
        <f t="shared" si="91"/>
        <v>0</v>
      </c>
      <c r="AK362" s="237">
        <f t="shared" si="91"/>
        <v>0</v>
      </c>
      <c r="AL362" s="237">
        <f t="shared" si="91"/>
        <v>0</v>
      </c>
      <c r="AM362" s="237">
        <f t="shared" si="91"/>
        <v>0</v>
      </c>
      <c r="AN362" s="237">
        <f t="shared" si="91"/>
        <v>0</v>
      </c>
      <c r="AO362" s="237">
        <f t="shared" si="91"/>
        <v>0</v>
      </c>
    </row>
    <row r="363" spans="3:44" x14ac:dyDescent="0.25">
      <c r="C363" s="82"/>
      <c r="F363" s="98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</row>
    <row r="364" spans="3:44" x14ac:dyDescent="0.25">
      <c r="C364" s="82"/>
      <c r="F364" s="293" t="s">
        <v>1136</v>
      </c>
      <c r="G364" s="293" t="s">
        <v>120</v>
      </c>
      <c r="J364" s="237">
        <f>SUMIF($J$149:$AO$149,J$149,$J362:$AO362)</f>
        <v>0</v>
      </c>
      <c r="K364" s="237">
        <f t="shared" ref="K364:AO364" si="92">SUMIF($J$149:$AO$149,K$149,$J362:$AO362)</f>
        <v>0</v>
      </c>
      <c r="L364" s="237">
        <f t="shared" si="92"/>
        <v>0</v>
      </c>
      <c r="M364" s="237">
        <f t="shared" si="92"/>
        <v>0</v>
      </c>
      <c r="N364" s="237">
        <f t="shared" si="92"/>
        <v>0</v>
      </c>
      <c r="O364" s="237">
        <f t="shared" si="92"/>
        <v>0</v>
      </c>
      <c r="P364" s="237">
        <f t="shared" si="92"/>
        <v>0</v>
      </c>
      <c r="Q364" s="237">
        <f t="shared" si="92"/>
        <v>0</v>
      </c>
      <c r="R364" s="237">
        <f t="shared" si="92"/>
        <v>0</v>
      </c>
      <c r="S364" s="237">
        <f t="shared" si="92"/>
        <v>0</v>
      </c>
      <c r="T364" s="237">
        <f t="shared" si="92"/>
        <v>0</v>
      </c>
      <c r="U364" s="237">
        <f t="shared" si="92"/>
        <v>0</v>
      </c>
      <c r="V364" s="237">
        <f t="shared" si="92"/>
        <v>0</v>
      </c>
      <c r="W364" s="237">
        <f t="shared" si="92"/>
        <v>0</v>
      </c>
      <c r="X364" s="237">
        <f t="shared" si="92"/>
        <v>0</v>
      </c>
      <c r="Y364" s="237">
        <f t="shared" si="92"/>
        <v>0</v>
      </c>
      <c r="Z364" s="237">
        <f t="shared" si="92"/>
        <v>0</v>
      </c>
      <c r="AA364" s="237">
        <f t="shared" si="92"/>
        <v>0</v>
      </c>
      <c r="AB364" s="237">
        <f t="shared" si="92"/>
        <v>0</v>
      </c>
      <c r="AC364" s="237">
        <f t="shared" si="92"/>
        <v>0</v>
      </c>
      <c r="AD364" s="237">
        <f t="shared" si="92"/>
        <v>0</v>
      </c>
      <c r="AE364" s="237">
        <f t="shared" si="92"/>
        <v>0</v>
      </c>
      <c r="AF364" s="237">
        <f t="shared" si="92"/>
        <v>0</v>
      </c>
      <c r="AG364" s="237">
        <f t="shared" si="92"/>
        <v>0</v>
      </c>
      <c r="AH364" s="237">
        <f t="shared" si="92"/>
        <v>0</v>
      </c>
      <c r="AI364" s="237">
        <f t="shared" si="92"/>
        <v>0</v>
      </c>
      <c r="AJ364" s="237">
        <f t="shared" si="92"/>
        <v>0</v>
      </c>
      <c r="AK364" s="237">
        <f t="shared" si="92"/>
        <v>0</v>
      </c>
      <c r="AL364" s="237">
        <f t="shared" si="92"/>
        <v>0</v>
      </c>
      <c r="AM364" s="237">
        <f t="shared" si="92"/>
        <v>0</v>
      </c>
      <c r="AN364" s="237">
        <f t="shared" si="92"/>
        <v>0</v>
      </c>
      <c r="AO364" s="237">
        <f t="shared" si="92"/>
        <v>0</v>
      </c>
    </row>
    <row r="365" spans="3:44" x14ac:dyDescent="0.25">
      <c r="C365" s="82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</row>
    <row r="366" spans="3:44" x14ac:dyDescent="0.25">
      <c r="C366" s="82"/>
      <c r="F366" s="293" t="s">
        <v>1137</v>
      </c>
      <c r="G366" s="293" t="s">
        <v>120</v>
      </c>
      <c r="J366" s="237">
        <f xml:space="preserve"> J364 * J$157</f>
        <v>0</v>
      </c>
      <c r="K366" s="237">
        <f t="shared" ref="K366:AO366" si="93" xml:space="preserve"> K364 * K$157</f>
        <v>0</v>
      </c>
      <c r="L366" s="237">
        <f t="shared" si="93"/>
        <v>0</v>
      </c>
      <c r="M366" s="237">
        <f t="shared" si="93"/>
        <v>0</v>
      </c>
      <c r="N366" s="237">
        <f t="shared" si="93"/>
        <v>0</v>
      </c>
      <c r="O366" s="237">
        <f t="shared" si="93"/>
        <v>0</v>
      </c>
      <c r="P366" s="237">
        <f t="shared" si="93"/>
        <v>0</v>
      </c>
      <c r="Q366" s="237">
        <f t="shared" si="93"/>
        <v>0</v>
      </c>
      <c r="R366" s="237">
        <f t="shared" si="93"/>
        <v>0</v>
      </c>
      <c r="S366" s="237">
        <f t="shared" si="93"/>
        <v>0</v>
      </c>
      <c r="T366" s="237">
        <f t="shared" si="93"/>
        <v>0</v>
      </c>
      <c r="U366" s="237">
        <f t="shared" si="93"/>
        <v>0</v>
      </c>
      <c r="V366" s="237">
        <f t="shared" si="93"/>
        <v>0</v>
      </c>
      <c r="W366" s="237">
        <f t="shared" si="93"/>
        <v>0</v>
      </c>
      <c r="X366" s="237">
        <f t="shared" si="93"/>
        <v>0</v>
      </c>
      <c r="Y366" s="237">
        <f t="shared" si="93"/>
        <v>0</v>
      </c>
      <c r="Z366" s="237">
        <f t="shared" si="93"/>
        <v>0</v>
      </c>
      <c r="AA366" s="237">
        <f t="shared" si="93"/>
        <v>0</v>
      </c>
      <c r="AB366" s="237">
        <f t="shared" si="93"/>
        <v>0</v>
      </c>
      <c r="AC366" s="237">
        <f t="shared" si="93"/>
        <v>0</v>
      </c>
      <c r="AD366" s="237">
        <f t="shared" si="93"/>
        <v>0</v>
      </c>
      <c r="AE366" s="237">
        <f t="shared" si="93"/>
        <v>0</v>
      </c>
      <c r="AF366" s="237">
        <f t="shared" si="93"/>
        <v>0</v>
      </c>
      <c r="AG366" s="237">
        <f t="shared" si="93"/>
        <v>0</v>
      </c>
      <c r="AH366" s="237">
        <f t="shared" si="93"/>
        <v>0</v>
      </c>
      <c r="AI366" s="237">
        <f t="shared" si="93"/>
        <v>0</v>
      </c>
      <c r="AJ366" s="237">
        <f t="shared" si="93"/>
        <v>0</v>
      </c>
      <c r="AK366" s="237">
        <f t="shared" si="93"/>
        <v>0</v>
      </c>
      <c r="AL366" s="237">
        <f t="shared" si="93"/>
        <v>0</v>
      </c>
      <c r="AM366" s="237">
        <f t="shared" si="93"/>
        <v>0</v>
      </c>
      <c r="AN366" s="237">
        <f t="shared" si="93"/>
        <v>0</v>
      </c>
      <c r="AO366" s="237">
        <f t="shared" si="93"/>
        <v>0</v>
      </c>
      <c r="AP366" s="111"/>
      <c r="AQ366" s="111"/>
      <c r="AR366" s="111"/>
    </row>
    <row r="367" spans="3:44" x14ac:dyDescent="0.25">
      <c r="C367" s="82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</row>
    <row r="368" spans="3:44" x14ac:dyDescent="0.25">
      <c r="C368" s="82"/>
      <c r="E368" s="14" t="s">
        <v>1199</v>
      </c>
      <c r="G368" s="293" t="s">
        <v>183</v>
      </c>
      <c r="J368" s="440">
        <f t="shared" ref="J368:AO368" si="94">IF( J366&lt;&gt;0, J359/J366, 0)*hundred/thousand</f>
        <v>0</v>
      </c>
      <c r="K368" s="440">
        <f t="shared" si="94"/>
        <v>0</v>
      </c>
      <c r="L368" s="440">
        <f t="shared" si="94"/>
        <v>0</v>
      </c>
      <c r="M368" s="440">
        <f t="shared" si="94"/>
        <v>0</v>
      </c>
      <c r="N368" s="440">
        <f t="shared" si="94"/>
        <v>0</v>
      </c>
      <c r="O368" s="440">
        <f t="shared" si="94"/>
        <v>0</v>
      </c>
      <c r="P368" s="440">
        <f t="shared" si="94"/>
        <v>0</v>
      </c>
      <c r="Q368" s="440">
        <f t="shared" si="94"/>
        <v>0</v>
      </c>
      <c r="R368" s="440">
        <f t="shared" si="94"/>
        <v>0</v>
      </c>
      <c r="S368" s="440">
        <f t="shared" si="94"/>
        <v>0</v>
      </c>
      <c r="T368" s="440">
        <f t="shared" si="94"/>
        <v>0</v>
      </c>
      <c r="U368" s="440">
        <f t="shared" si="94"/>
        <v>0</v>
      </c>
      <c r="V368" s="440">
        <f t="shared" si="94"/>
        <v>0</v>
      </c>
      <c r="W368" s="440">
        <f t="shared" si="94"/>
        <v>0</v>
      </c>
      <c r="X368" s="440">
        <f t="shared" si="94"/>
        <v>0</v>
      </c>
      <c r="Y368" s="440">
        <f t="shared" si="94"/>
        <v>0</v>
      </c>
      <c r="Z368" s="440">
        <f t="shared" si="94"/>
        <v>0</v>
      </c>
      <c r="AA368" s="440">
        <f t="shared" si="94"/>
        <v>0</v>
      </c>
      <c r="AB368" s="440">
        <f t="shared" si="94"/>
        <v>0</v>
      </c>
      <c r="AC368" s="440">
        <f t="shared" si="94"/>
        <v>0</v>
      </c>
      <c r="AD368" s="440">
        <f t="shared" si="94"/>
        <v>0</v>
      </c>
      <c r="AE368" s="440">
        <f t="shared" si="94"/>
        <v>0</v>
      </c>
      <c r="AF368" s="440">
        <f t="shared" si="94"/>
        <v>0</v>
      </c>
      <c r="AG368" s="440">
        <f t="shared" si="94"/>
        <v>0</v>
      </c>
      <c r="AH368" s="440">
        <f t="shared" si="94"/>
        <v>0</v>
      </c>
      <c r="AI368" s="440">
        <f t="shared" si="94"/>
        <v>0</v>
      </c>
      <c r="AJ368" s="440">
        <f t="shared" si="94"/>
        <v>0</v>
      </c>
      <c r="AK368" s="440">
        <f t="shared" si="94"/>
        <v>0</v>
      </c>
      <c r="AL368" s="440">
        <f t="shared" si="94"/>
        <v>0</v>
      </c>
      <c r="AM368" s="440">
        <f t="shared" si="94"/>
        <v>0</v>
      </c>
      <c r="AN368" s="440">
        <f t="shared" si="94"/>
        <v>0</v>
      </c>
      <c r="AO368" s="440">
        <f t="shared" si="94"/>
        <v>0</v>
      </c>
    </row>
    <row r="369" spans="3:43" x14ac:dyDescent="0.25">
      <c r="C369" s="82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</row>
    <row r="370" spans="3:43" x14ac:dyDescent="0.25">
      <c r="C370" s="82"/>
      <c r="E370" s="96" t="s">
        <v>1200</v>
      </c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25">
      <c r="C371" s="82"/>
      <c r="F371" s="91" t="s">
        <v>1164</v>
      </c>
      <c r="G371" s="91" t="s">
        <v>1026</v>
      </c>
      <c r="H371" s="91"/>
      <c r="I371" s="91"/>
      <c r="J371" s="509"/>
      <c r="K371" s="509"/>
      <c r="L371" s="509"/>
      <c r="M371" s="509"/>
      <c r="N371" s="509"/>
      <c r="O371" s="509"/>
      <c r="P371" s="509"/>
      <c r="Q371" s="509"/>
      <c r="R371" s="509"/>
      <c r="S371" s="509"/>
      <c r="T371" s="509"/>
      <c r="U371" s="509"/>
      <c r="V371" s="509"/>
      <c r="W371" s="509"/>
      <c r="X371" s="509"/>
      <c r="Y371" s="509"/>
      <c r="Z371" s="509"/>
      <c r="AA371" s="509"/>
      <c r="AB371" s="509"/>
      <c r="AC371" s="509"/>
      <c r="AD371" s="509"/>
      <c r="AE371" s="509"/>
      <c r="AF371" s="509"/>
      <c r="AG371" s="509"/>
      <c r="AH371" s="509"/>
      <c r="AI371" s="509"/>
      <c r="AJ371" s="509"/>
      <c r="AK371" s="509"/>
      <c r="AL371" s="509"/>
      <c r="AM371" s="509"/>
      <c r="AN371" s="509"/>
      <c r="AO371" s="509"/>
    </row>
    <row r="372" spans="3:43" x14ac:dyDescent="0.25">
      <c r="C372" s="82"/>
      <c r="F372" s="293" t="s">
        <v>1165</v>
      </c>
      <c r="G372" s="293" t="s">
        <v>1026</v>
      </c>
      <c r="J372" s="510"/>
      <c r="K372" s="510"/>
      <c r="L372" s="510"/>
      <c r="M372" s="510"/>
      <c r="N372" s="510"/>
      <c r="O372" s="510"/>
      <c r="P372" s="510"/>
      <c r="Q372" s="510"/>
      <c r="R372" s="510"/>
      <c r="S372" s="510"/>
      <c r="T372" s="510"/>
      <c r="U372" s="510"/>
      <c r="V372" s="510"/>
      <c r="W372" s="510"/>
      <c r="X372" s="510"/>
      <c r="Y372" s="510"/>
      <c r="Z372" s="510"/>
      <c r="AA372" s="510"/>
      <c r="AB372" s="510"/>
      <c r="AC372" s="510"/>
      <c r="AD372" s="510"/>
      <c r="AE372" s="510"/>
      <c r="AF372" s="510"/>
      <c r="AG372" s="510"/>
      <c r="AH372" s="510"/>
      <c r="AI372" s="510"/>
      <c r="AJ372" s="510"/>
      <c r="AK372" s="510"/>
      <c r="AL372" s="510"/>
      <c r="AM372" s="510"/>
      <c r="AN372" s="510"/>
      <c r="AO372" s="510"/>
    </row>
    <row r="373" spans="3:43" x14ac:dyDescent="0.25">
      <c r="C373" s="82"/>
      <c r="F373" s="93" t="s">
        <v>1166</v>
      </c>
      <c r="G373" s="93" t="s">
        <v>1026</v>
      </c>
      <c r="H373" s="93"/>
      <c r="I373" s="93"/>
      <c r="J373" s="145" t="b">
        <f t="shared" ref="J373:AO373" si="95">IF(J$32, -J264+J$368&gt;=0, TRUE)</f>
        <v>1</v>
      </c>
      <c r="K373" s="145" t="b">
        <f t="shared" si="95"/>
        <v>1</v>
      </c>
      <c r="L373" s="145" t="b">
        <f t="shared" si="95"/>
        <v>1</v>
      </c>
      <c r="M373" s="145" t="b">
        <f t="shared" si="95"/>
        <v>1</v>
      </c>
      <c r="N373" s="145" t="b">
        <f t="shared" si="95"/>
        <v>1</v>
      </c>
      <c r="O373" s="145" t="b">
        <f t="shared" si="95"/>
        <v>1</v>
      </c>
      <c r="P373" s="145" t="b">
        <f t="shared" si="95"/>
        <v>1</v>
      </c>
      <c r="Q373" s="145" t="b">
        <f t="shared" si="95"/>
        <v>1</v>
      </c>
      <c r="R373" s="145" t="b">
        <f t="shared" si="95"/>
        <v>1</v>
      </c>
      <c r="S373" s="145" t="b">
        <f t="shared" si="95"/>
        <v>1</v>
      </c>
      <c r="T373" s="145" t="b">
        <f t="shared" si="95"/>
        <v>1</v>
      </c>
      <c r="U373" s="145" t="b">
        <f t="shared" si="95"/>
        <v>1</v>
      </c>
      <c r="V373" s="145" t="b">
        <f t="shared" si="95"/>
        <v>1</v>
      </c>
      <c r="W373" s="145" t="b">
        <f t="shared" si="95"/>
        <v>1</v>
      </c>
      <c r="X373" s="145" t="b">
        <f t="shared" si="95"/>
        <v>1</v>
      </c>
      <c r="Y373" s="145" t="b">
        <f t="shared" si="95"/>
        <v>1</v>
      </c>
      <c r="Z373" s="145" t="b">
        <f t="shared" si="95"/>
        <v>1</v>
      </c>
      <c r="AA373" s="145" t="b">
        <f t="shared" si="95"/>
        <v>1</v>
      </c>
      <c r="AB373" s="145" t="b">
        <f t="shared" si="95"/>
        <v>1</v>
      </c>
      <c r="AC373" s="145" t="b">
        <f t="shared" si="95"/>
        <v>1</v>
      </c>
      <c r="AD373" s="145" t="b">
        <f t="shared" si="95"/>
        <v>1</v>
      </c>
      <c r="AE373" s="145" t="b">
        <f t="shared" si="95"/>
        <v>1</v>
      </c>
      <c r="AF373" s="145" t="b">
        <f t="shared" si="95"/>
        <v>1</v>
      </c>
      <c r="AG373" s="145" t="b">
        <f t="shared" si="95"/>
        <v>1</v>
      </c>
      <c r="AH373" s="145" t="b">
        <f t="shared" si="95"/>
        <v>1</v>
      </c>
      <c r="AI373" s="145" t="b">
        <f t="shared" si="95"/>
        <v>1</v>
      </c>
      <c r="AJ373" s="145" t="b">
        <f t="shared" si="95"/>
        <v>1</v>
      </c>
      <c r="AK373" s="145" t="b">
        <f t="shared" si="95"/>
        <v>1</v>
      </c>
      <c r="AL373" s="145" t="b">
        <f t="shared" si="95"/>
        <v>1</v>
      </c>
      <c r="AM373" s="145" t="b">
        <f t="shared" si="95"/>
        <v>1</v>
      </c>
      <c r="AN373" s="145" t="b">
        <f t="shared" si="95"/>
        <v>1</v>
      </c>
      <c r="AO373" s="145" t="b">
        <f t="shared" si="95"/>
        <v>1</v>
      </c>
    </row>
    <row r="374" spans="3:43" x14ac:dyDescent="0.25">
      <c r="C374" s="82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</row>
    <row r="375" spans="3:43" x14ac:dyDescent="0.25">
      <c r="C375" s="82"/>
      <c r="E375" s="293" t="s">
        <v>1201</v>
      </c>
      <c r="G375" s="293" t="s">
        <v>1026</v>
      </c>
      <c r="J375" s="111" t="b">
        <f>J373</f>
        <v>1</v>
      </c>
      <c r="K375" s="111" t="b">
        <f t="shared" ref="K375:AO375" si="96">K373</f>
        <v>1</v>
      </c>
      <c r="L375" s="111" t="b">
        <f t="shared" si="96"/>
        <v>1</v>
      </c>
      <c r="M375" s="111" t="b">
        <f t="shared" si="96"/>
        <v>1</v>
      </c>
      <c r="N375" s="111" t="b">
        <f t="shared" si="96"/>
        <v>1</v>
      </c>
      <c r="O375" s="111" t="b">
        <f t="shared" si="96"/>
        <v>1</v>
      </c>
      <c r="P375" s="111" t="b">
        <f t="shared" si="96"/>
        <v>1</v>
      </c>
      <c r="Q375" s="111" t="b">
        <f t="shared" si="96"/>
        <v>1</v>
      </c>
      <c r="R375" s="111" t="b">
        <f t="shared" si="96"/>
        <v>1</v>
      </c>
      <c r="S375" s="111" t="b">
        <f t="shared" si="96"/>
        <v>1</v>
      </c>
      <c r="T375" s="111" t="b">
        <f t="shared" si="96"/>
        <v>1</v>
      </c>
      <c r="U375" s="111" t="b">
        <f t="shared" si="96"/>
        <v>1</v>
      </c>
      <c r="V375" s="111" t="b">
        <f t="shared" si="96"/>
        <v>1</v>
      </c>
      <c r="W375" s="111" t="b">
        <f t="shared" si="96"/>
        <v>1</v>
      </c>
      <c r="X375" s="111" t="b">
        <f t="shared" si="96"/>
        <v>1</v>
      </c>
      <c r="Y375" s="111" t="b">
        <f t="shared" si="96"/>
        <v>1</v>
      </c>
      <c r="Z375" s="111" t="b">
        <f t="shared" si="96"/>
        <v>1</v>
      </c>
      <c r="AA375" s="111" t="b">
        <f t="shared" si="96"/>
        <v>1</v>
      </c>
      <c r="AB375" s="111" t="b">
        <f t="shared" si="96"/>
        <v>1</v>
      </c>
      <c r="AC375" s="111" t="b">
        <f t="shared" si="96"/>
        <v>1</v>
      </c>
      <c r="AD375" s="111" t="b">
        <f t="shared" si="96"/>
        <v>1</v>
      </c>
      <c r="AE375" s="111" t="b">
        <f t="shared" si="96"/>
        <v>1</v>
      </c>
      <c r="AF375" s="111" t="b">
        <f t="shared" si="96"/>
        <v>1</v>
      </c>
      <c r="AG375" s="111" t="b">
        <f t="shared" si="96"/>
        <v>1</v>
      </c>
      <c r="AH375" s="111" t="b">
        <f t="shared" si="96"/>
        <v>1</v>
      </c>
      <c r="AI375" s="111" t="b">
        <f t="shared" si="96"/>
        <v>1</v>
      </c>
      <c r="AJ375" s="111" t="b">
        <f t="shared" si="96"/>
        <v>1</v>
      </c>
      <c r="AK375" s="111" t="b">
        <f t="shared" si="96"/>
        <v>1</v>
      </c>
      <c r="AL375" s="111" t="b">
        <f t="shared" si="96"/>
        <v>1</v>
      </c>
      <c r="AM375" s="111" t="b">
        <f t="shared" si="96"/>
        <v>1</v>
      </c>
      <c r="AN375" s="111" t="b">
        <f t="shared" si="96"/>
        <v>1</v>
      </c>
      <c r="AO375" s="111" t="b">
        <f t="shared" si="96"/>
        <v>1</v>
      </c>
    </row>
    <row r="376" spans="3:43" x14ac:dyDescent="0.25">
      <c r="C376" s="82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</row>
    <row r="377" spans="3:43" x14ac:dyDescent="0.25">
      <c r="C377" s="7" t="str">
        <f ca="1">INDEX('Version control'!$H$34:$H$60,MATCH($A$1,'Version control'!$F$34:$F$60,0),1)&amp;"-N: Revenue matching adders by timeband"</f>
        <v>Section 519-N: Revenue matching adders by timeband</v>
      </c>
      <c r="D377" s="7"/>
      <c r="E377" s="7"/>
      <c r="F377" s="7"/>
      <c r="G377" s="7"/>
      <c r="H377" s="7"/>
      <c r="I377" s="7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7"/>
      <c r="AQ377" s="7"/>
    </row>
    <row r="378" spans="3:43" x14ac:dyDescent="0.25">
      <c r="C378" s="82"/>
      <c r="E378" s="96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</row>
    <row r="379" spans="3:43" x14ac:dyDescent="0.25">
      <c r="C379" s="82"/>
      <c r="D379" s="82" t="s">
        <v>1242</v>
      </c>
      <c r="E379" s="96"/>
      <c r="I379" s="293" t="s">
        <v>359</v>
      </c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Q379" s="293" t="s">
        <v>745</v>
      </c>
    </row>
    <row r="380" spans="3:43" x14ac:dyDescent="0.25">
      <c r="C380" s="82"/>
      <c r="D380" s="82" t="s">
        <v>1202</v>
      </c>
      <c r="E380" s="96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</row>
    <row r="381" spans="3:43" x14ac:dyDescent="0.25">
      <c r="C381" s="82"/>
      <c r="D381" s="82" t="s">
        <v>1203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25">
      <c r="C382" s="82"/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25">
      <c r="C383" s="82"/>
      <c r="E383" s="96" t="s">
        <v>1204</v>
      </c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25">
      <c r="C384" s="82"/>
      <c r="F384" s="91" t="s">
        <v>1205</v>
      </c>
      <c r="G384" s="91" t="s">
        <v>1026</v>
      </c>
      <c r="H384" s="91"/>
      <c r="I384" s="91"/>
      <c r="J384" s="305" t="b">
        <f t="shared" ref="J384:AO384" si="97">J311</f>
        <v>1</v>
      </c>
      <c r="K384" s="305" t="b">
        <f t="shared" si="97"/>
        <v>1</v>
      </c>
      <c r="L384" s="305" t="b">
        <f t="shared" si="97"/>
        <v>1</v>
      </c>
      <c r="M384" s="305" t="b">
        <f t="shared" si="97"/>
        <v>1</v>
      </c>
      <c r="N384" s="305" t="b">
        <f t="shared" si="97"/>
        <v>1</v>
      </c>
      <c r="O384" s="305" t="b">
        <f t="shared" si="97"/>
        <v>1</v>
      </c>
      <c r="P384" s="305" t="b">
        <f t="shared" si="97"/>
        <v>1</v>
      </c>
      <c r="Q384" s="305" t="b">
        <f t="shared" si="97"/>
        <v>1</v>
      </c>
      <c r="R384" s="305" t="b">
        <f t="shared" si="97"/>
        <v>1</v>
      </c>
      <c r="S384" s="305" t="b">
        <f t="shared" si="97"/>
        <v>1</v>
      </c>
      <c r="T384" s="305" t="b">
        <f t="shared" si="97"/>
        <v>1</v>
      </c>
      <c r="U384" s="305" t="b">
        <f t="shared" si="97"/>
        <v>1</v>
      </c>
      <c r="V384" s="305" t="b">
        <f t="shared" si="97"/>
        <v>1</v>
      </c>
      <c r="W384" s="305" t="b">
        <f t="shared" si="97"/>
        <v>1</v>
      </c>
      <c r="X384" s="305" t="b">
        <f t="shared" si="97"/>
        <v>1</v>
      </c>
      <c r="Y384" s="305" t="b">
        <f t="shared" si="97"/>
        <v>1</v>
      </c>
      <c r="Z384" s="305" t="b">
        <f t="shared" si="97"/>
        <v>1</v>
      </c>
      <c r="AA384" s="305" t="b">
        <f t="shared" si="97"/>
        <v>1</v>
      </c>
      <c r="AB384" s="305" t="b">
        <f t="shared" si="97"/>
        <v>1</v>
      </c>
      <c r="AC384" s="305" t="b">
        <f t="shared" si="97"/>
        <v>1</v>
      </c>
      <c r="AD384" s="305" t="b">
        <f t="shared" si="97"/>
        <v>1</v>
      </c>
      <c r="AE384" s="305" t="b">
        <f t="shared" si="97"/>
        <v>1</v>
      </c>
      <c r="AF384" s="305" t="b">
        <f t="shared" si="97"/>
        <v>1</v>
      </c>
      <c r="AG384" s="305" t="b">
        <f t="shared" si="97"/>
        <v>1</v>
      </c>
      <c r="AH384" s="305" t="b">
        <f t="shared" si="97"/>
        <v>1</v>
      </c>
      <c r="AI384" s="305" t="b">
        <f t="shared" si="97"/>
        <v>1</v>
      </c>
      <c r="AJ384" s="305" t="b">
        <f t="shared" si="97"/>
        <v>1</v>
      </c>
      <c r="AK384" s="305" t="b">
        <f t="shared" si="97"/>
        <v>1</v>
      </c>
      <c r="AL384" s="305" t="b">
        <f t="shared" si="97"/>
        <v>1</v>
      </c>
      <c r="AM384" s="305" t="b">
        <f t="shared" si="97"/>
        <v>1</v>
      </c>
      <c r="AN384" s="305" t="b">
        <f t="shared" si="97"/>
        <v>1</v>
      </c>
      <c r="AO384" s="305" t="b">
        <f t="shared" si="97"/>
        <v>1</v>
      </c>
    </row>
    <row r="385" spans="3:41" x14ac:dyDescent="0.25">
      <c r="C385" s="82"/>
      <c r="F385" s="293" t="s">
        <v>1206</v>
      </c>
      <c r="G385" s="293" t="s">
        <v>1026</v>
      </c>
      <c r="J385" s="305" t="b">
        <f t="shared" ref="J385:AO385" si="98">J343</f>
        <v>1</v>
      </c>
      <c r="K385" s="305" t="b">
        <f t="shared" si="98"/>
        <v>1</v>
      </c>
      <c r="L385" s="305" t="b">
        <f t="shared" si="98"/>
        <v>1</v>
      </c>
      <c r="M385" s="305" t="b">
        <f t="shared" si="98"/>
        <v>1</v>
      </c>
      <c r="N385" s="305" t="b">
        <f t="shared" si="98"/>
        <v>1</v>
      </c>
      <c r="O385" s="305" t="b">
        <f t="shared" si="98"/>
        <v>1</v>
      </c>
      <c r="P385" s="305" t="b">
        <f t="shared" si="98"/>
        <v>1</v>
      </c>
      <c r="Q385" s="305" t="b">
        <f t="shared" si="98"/>
        <v>1</v>
      </c>
      <c r="R385" s="305" t="b">
        <f t="shared" si="98"/>
        <v>1</v>
      </c>
      <c r="S385" s="305" t="b">
        <f t="shared" si="98"/>
        <v>1</v>
      </c>
      <c r="T385" s="305" t="b">
        <f t="shared" si="98"/>
        <v>1</v>
      </c>
      <c r="U385" s="305" t="b">
        <f t="shared" si="98"/>
        <v>1</v>
      </c>
      <c r="V385" s="305" t="b">
        <f t="shared" si="98"/>
        <v>1</v>
      </c>
      <c r="W385" s="305" t="b">
        <f t="shared" si="98"/>
        <v>1</v>
      </c>
      <c r="X385" s="305" t="b">
        <f t="shared" si="98"/>
        <v>1</v>
      </c>
      <c r="Y385" s="305" t="b">
        <f t="shared" si="98"/>
        <v>1</v>
      </c>
      <c r="Z385" s="305" t="b">
        <f t="shared" si="98"/>
        <v>1</v>
      </c>
      <c r="AA385" s="305" t="b">
        <f t="shared" si="98"/>
        <v>1</v>
      </c>
      <c r="AB385" s="305" t="b">
        <f t="shared" si="98"/>
        <v>1</v>
      </c>
      <c r="AC385" s="305" t="b">
        <f t="shared" si="98"/>
        <v>1</v>
      </c>
      <c r="AD385" s="305" t="b">
        <f t="shared" si="98"/>
        <v>1</v>
      </c>
      <c r="AE385" s="305" t="b">
        <f t="shared" si="98"/>
        <v>1</v>
      </c>
      <c r="AF385" s="305" t="b">
        <f t="shared" si="98"/>
        <v>1</v>
      </c>
      <c r="AG385" s="305" t="b">
        <f t="shared" si="98"/>
        <v>1</v>
      </c>
      <c r="AH385" s="305" t="b">
        <f t="shared" si="98"/>
        <v>1</v>
      </c>
      <c r="AI385" s="305" t="b">
        <f t="shared" si="98"/>
        <v>1</v>
      </c>
      <c r="AJ385" s="305" t="b">
        <f t="shared" si="98"/>
        <v>1</v>
      </c>
      <c r="AK385" s="305" t="b">
        <f t="shared" si="98"/>
        <v>1</v>
      </c>
      <c r="AL385" s="305" t="b">
        <f t="shared" si="98"/>
        <v>1</v>
      </c>
      <c r="AM385" s="305" t="b">
        <f t="shared" si="98"/>
        <v>1</v>
      </c>
      <c r="AN385" s="305" t="b">
        <f t="shared" si="98"/>
        <v>1</v>
      </c>
      <c r="AO385" s="305" t="b">
        <f t="shared" si="98"/>
        <v>1</v>
      </c>
    </row>
    <row r="386" spans="3:41" x14ac:dyDescent="0.25">
      <c r="C386" s="82"/>
      <c r="F386" s="93" t="s">
        <v>1207</v>
      </c>
      <c r="G386" s="93" t="s">
        <v>1026</v>
      </c>
      <c r="H386" s="93"/>
      <c r="I386" s="93"/>
      <c r="J386" s="145" t="b">
        <f>J375</f>
        <v>1</v>
      </c>
      <c r="K386" s="145" t="b">
        <f t="shared" ref="K386:AO386" si="99">K375</f>
        <v>1</v>
      </c>
      <c r="L386" s="145" t="b">
        <f t="shared" si="99"/>
        <v>1</v>
      </c>
      <c r="M386" s="145" t="b">
        <f t="shared" si="99"/>
        <v>1</v>
      </c>
      <c r="N386" s="145" t="b">
        <f t="shared" si="99"/>
        <v>1</v>
      </c>
      <c r="O386" s="145" t="b">
        <f t="shared" si="99"/>
        <v>1</v>
      </c>
      <c r="P386" s="145" t="b">
        <f t="shared" si="99"/>
        <v>1</v>
      </c>
      <c r="Q386" s="145" t="b">
        <f t="shared" si="99"/>
        <v>1</v>
      </c>
      <c r="R386" s="145" t="b">
        <f t="shared" si="99"/>
        <v>1</v>
      </c>
      <c r="S386" s="145" t="b">
        <f t="shared" si="99"/>
        <v>1</v>
      </c>
      <c r="T386" s="145" t="b">
        <f t="shared" si="99"/>
        <v>1</v>
      </c>
      <c r="U386" s="145" t="b">
        <f t="shared" si="99"/>
        <v>1</v>
      </c>
      <c r="V386" s="145" t="b">
        <f t="shared" si="99"/>
        <v>1</v>
      </c>
      <c r="W386" s="145" t="b">
        <f t="shared" si="99"/>
        <v>1</v>
      </c>
      <c r="X386" s="145" t="b">
        <f t="shared" si="99"/>
        <v>1</v>
      </c>
      <c r="Y386" s="145" t="b">
        <f t="shared" si="99"/>
        <v>1</v>
      </c>
      <c r="Z386" s="145" t="b">
        <f t="shared" si="99"/>
        <v>1</v>
      </c>
      <c r="AA386" s="145" t="b">
        <f t="shared" si="99"/>
        <v>1</v>
      </c>
      <c r="AB386" s="145" t="b">
        <f t="shared" si="99"/>
        <v>1</v>
      </c>
      <c r="AC386" s="145" t="b">
        <f t="shared" si="99"/>
        <v>1</v>
      </c>
      <c r="AD386" s="145" t="b">
        <f t="shared" si="99"/>
        <v>1</v>
      </c>
      <c r="AE386" s="145" t="b">
        <f t="shared" si="99"/>
        <v>1</v>
      </c>
      <c r="AF386" s="145" t="b">
        <f t="shared" si="99"/>
        <v>1</v>
      </c>
      <c r="AG386" s="145" t="b">
        <f t="shared" si="99"/>
        <v>1</v>
      </c>
      <c r="AH386" s="145" t="b">
        <f t="shared" si="99"/>
        <v>1</v>
      </c>
      <c r="AI386" s="145" t="b">
        <f t="shared" si="99"/>
        <v>1</v>
      </c>
      <c r="AJ386" s="145" t="b">
        <f t="shared" si="99"/>
        <v>1</v>
      </c>
      <c r="AK386" s="145" t="b">
        <f t="shared" si="99"/>
        <v>1</v>
      </c>
      <c r="AL386" s="145" t="b">
        <f t="shared" si="99"/>
        <v>1</v>
      </c>
      <c r="AM386" s="145" t="b">
        <f t="shared" si="99"/>
        <v>1</v>
      </c>
      <c r="AN386" s="145" t="b">
        <f t="shared" si="99"/>
        <v>1</v>
      </c>
      <c r="AO386" s="145" t="b">
        <f t="shared" si="99"/>
        <v>1</v>
      </c>
    </row>
    <row r="387" spans="3:41" x14ac:dyDescent="0.25">
      <c r="C387" s="82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</row>
    <row r="388" spans="3:41" x14ac:dyDescent="0.25">
      <c r="C388" s="82"/>
      <c r="E388" s="96" t="s">
        <v>1208</v>
      </c>
      <c r="G388" s="293" t="s">
        <v>427</v>
      </c>
      <c r="J388" s="111">
        <f>COUNTIF(J384:J386, FALSE)+1</f>
        <v>1</v>
      </c>
      <c r="K388" s="111">
        <f t="shared" ref="K388:AO388" si="100">COUNTIF(K384:K386, FALSE)+1</f>
        <v>1</v>
      </c>
      <c r="L388" s="111">
        <f t="shared" si="100"/>
        <v>1</v>
      </c>
      <c r="M388" s="111">
        <f t="shared" si="100"/>
        <v>1</v>
      </c>
      <c r="N388" s="111">
        <f t="shared" si="100"/>
        <v>1</v>
      </c>
      <c r="O388" s="111">
        <f t="shared" si="100"/>
        <v>1</v>
      </c>
      <c r="P388" s="111">
        <f t="shared" si="100"/>
        <v>1</v>
      </c>
      <c r="Q388" s="111">
        <f t="shared" si="100"/>
        <v>1</v>
      </c>
      <c r="R388" s="111">
        <f t="shared" si="100"/>
        <v>1</v>
      </c>
      <c r="S388" s="111">
        <f t="shared" si="100"/>
        <v>1</v>
      </c>
      <c r="T388" s="111">
        <f t="shared" si="100"/>
        <v>1</v>
      </c>
      <c r="U388" s="111">
        <f t="shared" si="100"/>
        <v>1</v>
      </c>
      <c r="V388" s="111">
        <f t="shared" si="100"/>
        <v>1</v>
      </c>
      <c r="W388" s="111">
        <f t="shared" si="100"/>
        <v>1</v>
      </c>
      <c r="X388" s="111">
        <f t="shared" si="100"/>
        <v>1</v>
      </c>
      <c r="Y388" s="111">
        <f t="shared" si="100"/>
        <v>1</v>
      </c>
      <c r="Z388" s="111">
        <f t="shared" si="100"/>
        <v>1</v>
      </c>
      <c r="AA388" s="111">
        <f t="shared" si="100"/>
        <v>1</v>
      </c>
      <c r="AB388" s="111">
        <f t="shared" si="100"/>
        <v>1</v>
      </c>
      <c r="AC388" s="111">
        <f t="shared" si="100"/>
        <v>1</v>
      </c>
      <c r="AD388" s="111">
        <f t="shared" si="100"/>
        <v>1</v>
      </c>
      <c r="AE388" s="111">
        <f t="shared" si="100"/>
        <v>1</v>
      </c>
      <c r="AF388" s="111">
        <f t="shared" si="100"/>
        <v>1</v>
      </c>
      <c r="AG388" s="111">
        <f t="shared" si="100"/>
        <v>1</v>
      </c>
      <c r="AH388" s="111">
        <f t="shared" si="100"/>
        <v>1</v>
      </c>
      <c r="AI388" s="111">
        <f t="shared" si="100"/>
        <v>1</v>
      </c>
      <c r="AJ388" s="111">
        <f t="shared" si="100"/>
        <v>1</v>
      </c>
      <c r="AK388" s="111">
        <f t="shared" si="100"/>
        <v>1</v>
      </c>
      <c r="AL388" s="111">
        <f t="shared" si="100"/>
        <v>1</v>
      </c>
      <c r="AM388" s="111">
        <f t="shared" si="100"/>
        <v>1</v>
      </c>
      <c r="AN388" s="111">
        <f t="shared" si="100"/>
        <v>1</v>
      </c>
      <c r="AO388" s="111">
        <f t="shared" si="100"/>
        <v>1</v>
      </c>
    </row>
    <row r="389" spans="3:41" x14ac:dyDescent="0.25">
      <c r="C389" s="82"/>
      <c r="E389" s="14"/>
      <c r="J389" s="440"/>
      <c r="K389" s="440"/>
      <c r="L389" s="440"/>
      <c r="M389" s="440"/>
      <c r="N389" s="440"/>
      <c r="O389" s="440"/>
      <c r="P389" s="440"/>
      <c r="Q389" s="440"/>
      <c r="R389" s="440"/>
      <c r="S389" s="440"/>
      <c r="T389" s="440"/>
      <c r="U389" s="440"/>
      <c r="V389" s="440"/>
      <c r="W389" s="440"/>
      <c r="X389" s="440"/>
      <c r="Y389" s="440"/>
      <c r="Z389" s="440"/>
      <c r="AA389" s="440"/>
      <c r="AB389" s="440"/>
      <c r="AC389" s="440"/>
      <c r="AD389" s="440"/>
      <c r="AE389" s="440"/>
      <c r="AF389" s="440"/>
      <c r="AG389" s="440"/>
      <c r="AH389" s="440"/>
      <c r="AI389" s="440"/>
      <c r="AJ389" s="440"/>
      <c r="AK389" s="440"/>
      <c r="AL389" s="440"/>
      <c r="AM389" s="440"/>
      <c r="AN389" s="440"/>
      <c r="AO389" s="440"/>
    </row>
    <row r="390" spans="3:41" x14ac:dyDescent="0.25">
      <c r="C390" s="82"/>
      <c r="E390" s="96" t="s">
        <v>1209</v>
      </c>
      <c r="F390" s="93"/>
      <c r="G390" s="93"/>
      <c r="H390" s="93"/>
      <c r="I390" s="93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  <c r="AH390" s="145"/>
      <c r="AI390" s="145"/>
      <c r="AJ390" s="145"/>
      <c r="AK390" s="145"/>
      <c r="AL390" s="145"/>
      <c r="AM390" s="145"/>
      <c r="AN390" s="145"/>
      <c r="AO390" s="145"/>
    </row>
    <row r="391" spans="3:41" x14ac:dyDescent="0.25">
      <c r="C391" s="82"/>
      <c r="F391" s="91" t="s">
        <v>1205</v>
      </c>
      <c r="G391" s="91" t="s">
        <v>1026</v>
      </c>
      <c r="H391" s="91"/>
      <c r="I391" s="91"/>
      <c r="J391" s="511">
        <f t="shared" ref="J391:AO391" si="101">J304</f>
        <v>0</v>
      </c>
      <c r="K391" s="511">
        <f t="shared" si="101"/>
        <v>0</v>
      </c>
      <c r="L391" s="511">
        <f t="shared" si="101"/>
        <v>0</v>
      </c>
      <c r="M391" s="511">
        <f t="shared" si="101"/>
        <v>0</v>
      </c>
      <c r="N391" s="511">
        <f t="shared" si="101"/>
        <v>0</v>
      </c>
      <c r="O391" s="511">
        <f t="shared" si="101"/>
        <v>0</v>
      </c>
      <c r="P391" s="511">
        <f t="shared" si="101"/>
        <v>0</v>
      </c>
      <c r="Q391" s="511">
        <f t="shared" si="101"/>
        <v>0</v>
      </c>
      <c r="R391" s="511">
        <f t="shared" si="101"/>
        <v>0</v>
      </c>
      <c r="S391" s="511">
        <f t="shared" si="101"/>
        <v>0</v>
      </c>
      <c r="T391" s="511">
        <f t="shared" si="101"/>
        <v>0</v>
      </c>
      <c r="U391" s="511">
        <f t="shared" si="101"/>
        <v>0</v>
      </c>
      <c r="V391" s="511">
        <f t="shared" si="101"/>
        <v>0</v>
      </c>
      <c r="W391" s="511">
        <f t="shared" si="101"/>
        <v>0</v>
      </c>
      <c r="X391" s="511">
        <f t="shared" si="101"/>
        <v>0</v>
      </c>
      <c r="Y391" s="511">
        <f t="shared" si="101"/>
        <v>0</v>
      </c>
      <c r="Z391" s="511">
        <f t="shared" si="101"/>
        <v>0</v>
      </c>
      <c r="AA391" s="511">
        <f t="shared" si="101"/>
        <v>0</v>
      </c>
      <c r="AB391" s="511">
        <f t="shared" si="101"/>
        <v>0</v>
      </c>
      <c r="AC391" s="511">
        <f t="shared" si="101"/>
        <v>0</v>
      </c>
      <c r="AD391" s="511">
        <f t="shared" si="101"/>
        <v>0</v>
      </c>
      <c r="AE391" s="511">
        <f t="shared" si="101"/>
        <v>0</v>
      </c>
      <c r="AF391" s="511">
        <f t="shared" si="101"/>
        <v>0</v>
      </c>
      <c r="AG391" s="511">
        <f t="shared" si="101"/>
        <v>0</v>
      </c>
      <c r="AH391" s="511">
        <f t="shared" si="101"/>
        <v>0</v>
      </c>
      <c r="AI391" s="511">
        <f t="shared" si="101"/>
        <v>0</v>
      </c>
      <c r="AJ391" s="511">
        <f t="shared" si="101"/>
        <v>0</v>
      </c>
      <c r="AK391" s="511">
        <f t="shared" si="101"/>
        <v>0</v>
      </c>
      <c r="AL391" s="511">
        <f t="shared" si="101"/>
        <v>0</v>
      </c>
      <c r="AM391" s="511">
        <f t="shared" si="101"/>
        <v>0</v>
      </c>
      <c r="AN391" s="511">
        <f t="shared" si="101"/>
        <v>0</v>
      </c>
      <c r="AO391" s="511">
        <f t="shared" si="101"/>
        <v>0</v>
      </c>
    </row>
    <row r="392" spans="3:41" x14ac:dyDescent="0.25">
      <c r="C392" s="82"/>
      <c r="F392" s="293" t="s">
        <v>1206</v>
      </c>
      <c r="G392" s="293" t="s">
        <v>1026</v>
      </c>
      <c r="J392" s="511">
        <f t="shared" ref="J392:AO392" si="102">J336</f>
        <v>0</v>
      </c>
      <c r="K392" s="511">
        <f t="shared" si="102"/>
        <v>0</v>
      </c>
      <c r="L392" s="511">
        <f t="shared" si="102"/>
        <v>0</v>
      </c>
      <c r="M392" s="511">
        <f t="shared" si="102"/>
        <v>0</v>
      </c>
      <c r="N392" s="511">
        <f t="shared" si="102"/>
        <v>0</v>
      </c>
      <c r="O392" s="511">
        <f t="shared" si="102"/>
        <v>0</v>
      </c>
      <c r="P392" s="511">
        <f t="shared" si="102"/>
        <v>0</v>
      </c>
      <c r="Q392" s="511">
        <f t="shared" si="102"/>
        <v>0</v>
      </c>
      <c r="R392" s="511">
        <f t="shared" si="102"/>
        <v>0</v>
      </c>
      <c r="S392" s="511">
        <f t="shared" si="102"/>
        <v>0</v>
      </c>
      <c r="T392" s="511">
        <f t="shared" si="102"/>
        <v>0</v>
      </c>
      <c r="U392" s="511">
        <f t="shared" si="102"/>
        <v>0</v>
      </c>
      <c r="V392" s="511">
        <f t="shared" si="102"/>
        <v>0</v>
      </c>
      <c r="W392" s="511">
        <f t="shared" si="102"/>
        <v>0</v>
      </c>
      <c r="X392" s="511">
        <f t="shared" si="102"/>
        <v>0</v>
      </c>
      <c r="Y392" s="511">
        <f t="shared" si="102"/>
        <v>0</v>
      </c>
      <c r="Z392" s="511">
        <f t="shared" si="102"/>
        <v>0</v>
      </c>
      <c r="AA392" s="511">
        <f t="shared" si="102"/>
        <v>0</v>
      </c>
      <c r="AB392" s="511">
        <f t="shared" si="102"/>
        <v>0</v>
      </c>
      <c r="AC392" s="511">
        <f t="shared" si="102"/>
        <v>0</v>
      </c>
      <c r="AD392" s="511">
        <f t="shared" si="102"/>
        <v>0</v>
      </c>
      <c r="AE392" s="511">
        <f t="shared" si="102"/>
        <v>0</v>
      </c>
      <c r="AF392" s="511">
        <f t="shared" si="102"/>
        <v>0</v>
      </c>
      <c r="AG392" s="511">
        <f t="shared" si="102"/>
        <v>0</v>
      </c>
      <c r="AH392" s="511">
        <f t="shared" si="102"/>
        <v>0</v>
      </c>
      <c r="AI392" s="511">
        <f t="shared" si="102"/>
        <v>0</v>
      </c>
      <c r="AJ392" s="511">
        <f t="shared" si="102"/>
        <v>0</v>
      </c>
      <c r="AK392" s="511">
        <f t="shared" si="102"/>
        <v>0</v>
      </c>
      <c r="AL392" s="511">
        <f t="shared" si="102"/>
        <v>0</v>
      </c>
      <c r="AM392" s="511">
        <f t="shared" si="102"/>
        <v>0</v>
      </c>
      <c r="AN392" s="511">
        <f t="shared" si="102"/>
        <v>0</v>
      </c>
      <c r="AO392" s="511">
        <f t="shared" si="102"/>
        <v>0</v>
      </c>
    </row>
    <row r="393" spans="3:41" x14ac:dyDescent="0.25">
      <c r="C393" s="82"/>
      <c r="F393" s="93" t="s">
        <v>1207</v>
      </c>
      <c r="G393" s="93" t="s">
        <v>1026</v>
      </c>
      <c r="H393" s="93"/>
      <c r="I393" s="93"/>
      <c r="J393" s="507">
        <f t="shared" ref="J393:AO393" si="103">J368</f>
        <v>0</v>
      </c>
      <c r="K393" s="507">
        <f t="shared" si="103"/>
        <v>0</v>
      </c>
      <c r="L393" s="507">
        <f t="shared" si="103"/>
        <v>0</v>
      </c>
      <c r="M393" s="507">
        <f t="shared" si="103"/>
        <v>0</v>
      </c>
      <c r="N393" s="507">
        <f t="shared" si="103"/>
        <v>0</v>
      </c>
      <c r="O393" s="507">
        <f t="shared" si="103"/>
        <v>0</v>
      </c>
      <c r="P393" s="507">
        <f t="shared" si="103"/>
        <v>0</v>
      </c>
      <c r="Q393" s="507">
        <f t="shared" si="103"/>
        <v>0</v>
      </c>
      <c r="R393" s="507">
        <f t="shared" si="103"/>
        <v>0</v>
      </c>
      <c r="S393" s="507">
        <f t="shared" si="103"/>
        <v>0</v>
      </c>
      <c r="T393" s="507">
        <f t="shared" si="103"/>
        <v>0</v>
      </c>
      <c r="U393" s="507">
        <f t="shared" si="103"/>
        <v>0</v>
      </c>
      <c r="V393" s="507">
        <f t="shared" si="103"/>
        <v>0</v>
      </c>
      <c r="W393" s="507">
        <f t="shared" si="103"/>
        <v>0</v>
      </c>
      <c r="X393" s="507">
        <f t="shared" si="103"/>
        <v>0</v>
      </c>
      <c r="Y393" s="507">
        <f t="shared" si="103"/>
        <v>0</v>
      </c>
      <c r="Z393" s="507">
        <f t="shared" si="103"/>
        <v>0</v>
      </c>
      <c r="AA393" s="507">
        <f t="shared" si="103"/>
        <v>0</v>
      </c>
      <c r="AB393" s="507">
        <f t="shared" si="103"/>
        <v>0</v>
      </c>
      <c r="AC393" s="507">
        <f t="shared" si="103"/>
        <v>0</v>
      </c>
      <c r="AD393" s="507">
        <f t="shared" si="103"/>
        <v>0</v>
      </c>
      <c r="AE393" s="507">
        <f t="shared" si="103"/>
        <v>0</v>
      </c>
      <c r="AF393" s="507">
        <f t="shared" si="103"/>
        <v>0</v>
      </c>
      <c r="AG393" s="507">
        <f t="shared" si="103"/>
        <v>0</v>
      </c>
      <c r="AH393" s="507">
        <f t="shared" si="103"/>
        <v>0</v>
      </c>
      <c r="AI393" s="507">
        <f t="shared" si="103"/>
        <v>0</v>
      </c>
      <c r="AJ393" s="507">
        <f t="shared" si="103"/>
        <v>0</v>
      </c>
      <c r="AK393" s="507">
        <f t="shared" si="103"/>
        <v>0</v>
      </c>
      <c r="AL393" s="507">
        <f t="shared" si="103"/>
        <v>0</v>
      </c>
      <c r="AM393" s="507">
        <f t="shared" si="103"/>
        <v>0</v>
      </c>
      <c r="AN393" s="507">
        <f t="shared" si="103"/>
        <v>0</v>
      </c>
      <c r="AO393" s="507">
        <f t="shared" si="103"/>
        <v>0</v>
      </c>
    </row>
    <row r="394" spans="3:41" x14ac:dyDescent="0.25">
      <c r="C394" s="82"/>
      <c r="J394" s="440"/>
      <c r="K394" s="440"/>
      <c r="L394" s="440"/>
      <c r="M394" s="440"/>
      <c r="N394" s="440"/>
      <c r="O394" s="440"/>
      <c r="P394" s="440"/>
      <c r="Q394" s="440"/>
      <c r="R394" s="440"/>
      <c r="S394" s="440"/>
      <c r="T394" s="440"/>
      <c r="U394" s="440"/>
      <c r="V394" s="440"/>
      <c r="W394" s="440"/>
      <c r="X394" s="440"/>
      <c r="Y394" s="440"/>
      <c r="Z394" s="440"/>
      <c r="AA394" s="440"/>
      <c r="AB394" s="440"/>
      <c r="AC394" s="440"/>
      <c r="AD394" s="440"/>
      <c r="AE394" s="440"/>
      <c r="AF394" s="440"/>
      <c r="AG394" s="440"/>
      <c r="AH394" s="440"/>
      <c r="AI394" s="440"/>
      <c r="AJ394" s="440"/>
      <c r="AK394" s="440"/>
      <c r="AL394" s="440"/>
      <c r="AM394" s="440"/>
      <c r="AN394" s="440"/>
      <c r="AO394" s="440"/>
    </row>
    <row r="395" spans="3:41" x14ac:dyDescent="0.25">
      <c r="C395" s="82"/>
      <c r="E395" s="505" t="s">
        <v>1210</v>
      </c>
      <c r="G395" s="293" t="s">
        <v>183</v>
      </c>
      <c r="J395" s="440">
        <f>INDEX(J391:J393,J388)</f>
        <v>0</v>
      </c>
      <c r="K395" s="440">
        <f t="shared" ref="K395:AO395" si="104">INDEX(K391:K393,K388)</f>
        <v>0</v>
      </c>
      <c r="L395" s="440">
        <f t="shared" si="104"/>
        <v>0</v>
      </c>
      <c r="M395" s="440">
        <f t="shared" si="104"/>
        <v>0</v>
      </c>
      <c r="N395" s="440">
        <f t="shared" si="104"/>
        <v>0</v>
      </c>
      <c r="O395" s="440">
        <f t="shared" si="104"/>
        <v>0</v>
      </c>
      <c r="P395" s="440">
        <f t="shared" si="104"/>
        <v>0</v>
      </c>
      <c r="Q395" s="440">
        <f t="shared" si="104"/>
        <v>0</v>
      </c>
      <c r="R395" s="440">
        <f t="shared" si="104"/>
        <v>0</v>
      </c>
      <c r="S395" s="440">
        <f t="shared" si="104"/>
        <v>0</v>
      </c>
      <c r="T395" s="440">
        <f t="shared" si="104"/>
        <v>0</v>
      </c>
      <c r="U395" s="440">
        <f t="shared" si="104"/>
        <v>0</v>
      </c>
      <c r="V395" s="440">
        <f t="shared" si="104"/>
        <v>0</v>
      </c>
      <c r="W395" s="440">
        <f t="shared" si="104"/>
        <v>0</v>
      </c>
      <c r="X395" s="440">
        <f t="shared" si="104"/>
        <v>0</v>
      </c>
      <c r="Y395" s="440">
        <f t="shared" si="104"/>
        <v>0</v>
      </c>
      <c r="Z395" s="440">
        <f t="shared" si="104"/>
        <v>0</v>
      </c>
      <c r="AA395" s="440">
        <f t="shared" si="104"/>
        <v>0</v>
      </c>
      <c r="AB395" s="440">
        <f t="shared" si="104"/>
        <v>0</v>
      </c>
      <c r="AC395" s="440">
        <f t="shared" si="104"/>
        <v>0</v>
      </c>
      <c r="AD395" s="440">
        <f t="shared" si="104"/>
        <v>0</v>
      </c>
      <c r="AE395" s="440">
        <f t="shared" si="104"/>
        <v>0</v>
      </c>
      <c r="AF395" s="440">
        <f t="shared" si="104"/>
        <v>0</v>
      </c>
      <c r="AG395" s="440">
        <f t="shared" si="104"/>
        <v>0</v>
      </c>
      <c r="AH395" s="440">
        <f t="shared" si="104"/>
        <v>0</v>
      </c>
      <c r="AI395" s="440">
        <f t="shared" si="104"/>
        <v>0</v>
      </c>
      <c r="AJ395" s="440">
        <f t="shared" si="104"/>
        <v>0</v>
      </c>
      <c r="AK395" s="440">
        <f t="shared" si="104"/>
        <v>0</v>
      </c>
      <c r="AL395" s="440">
        <f t="shared" si="104"/>
        <v>0</v>
      </c>
      <c r="AM395" s="440">
        <f t="shared" si="104"/>
        <v>0</v>
      </c>
      <c r="AN395" s="440">
        <f t="shared" si="104"/>
        <v>0</v>
      </c>
      <c r="AO395" s="440">
        <f t="shared" si="104"/>
        <v>0</v>
      </c>
    </row>
    <row r="396" spans="3:41" x14ac:dyDescent="0.25">
      <c r="C396" s="82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</row>
    <row r="397" spans="3:41" x14ac:dyDescent="0.25">
      <c r="C397" s="82"/>
      <c r="E397" s="96" t="s">
        <v>1211</v>
      </c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25">
      <c r="C398" s="82"/>
      <c r="F398" s="91" t="s">
        <v>1164</v>
      </c>
      <c r="G398" s="91" t="s">
        <v>183</v>
      </c>
      <c r="H398" s="91"/>
      <c r="I398" s="91"/>
      <c r="J398" s="506">
        <f t="shared" ref="J398:AO400" si="105">MAX(J$395, J262)</f>
        <v>0</v>
      </c>
      <c r="K398" s="506">
        <f t="shared" si="105"/>
        <v>0</v>
      </c>
      <c r="L398" s="506">
        <f t="shared" si="105"/>
        <v>0</v>
      </c>
      <c r="M398" s="506">
        <f t="shared" si="105"/>
        <v>0</v>
      </c>
      <c r="N398" s="506">
        <f t="shared" si="105"/>
        <v>0</v>
      </c>
      <c r="O398" s="506">
        <f t="shared" si="105"/>
        <v>0</v>
      </c>
      <c r="P398" s="506">
        <f t="shared" si="105"/>
        <v>0</v>
      </c>
      <c r="Q398" s="506">
        <f t="shared" si="105"/>
        <v>0</v>
      </c>
      <c r="R398" s="506">
        <f t="shared" si="105"/>
        <v>0</v>
      </c>
      <c r="S398" s="506">
        <f t="shared" si="105"/>
        <v>0</v>
      </c>
      <c r="T398" s="506">
        <f t="shared" si="105"/>
        <v>0</v>
      </c>
      <c r="U398" s="506">
        <f t="shared" si="105"/>
        <v>0</v>
      </c>
      <c r="V398" s="506">
        <f t="shared" si="105"/>
        <v>0</v>
      </c>
      <c r="W398" s="506">
        <f t="shared" si="105"/>
        <v>0</v>
      </c>
      <c r="X398" s="506">
        <f t="shared" si="105"/>
        <v>0</v>
      </c>
      <c r="Y398" s="506">
        <f t="shared" si="105"/>
        <v>0</v>
      </c>
      <c r="Z398" s="506">
        <f t="shared" si="105"/>
        <v>0</v>
      </c>
      <c r="AA398" s="506">
        <f t="shared" si="105"/>
        <v>0</v>
      </c>
      <c r="AB398" s="506">
        <f t="shared" si="105"/>
        <v>0</v>
      </c>
      <c r="AC398" s="506">
        <f t="shared" si="105"/>
        <v>0</v>
      </c>
      <c r="AD398" s="506">
        <f t="shared" si="105"/>
        <v>0</v>
      </c>
      <c r="AE398" s="506">
        <f t="shared" si="105"/>
        <v>0</v>
      </c>
      <c r="AF398" s="506">
        <f t="shared" si="105"/>
        <v>0</v>
      </c>
      <c r="AG398" s="506">
        <f t="shared" si="105"/>
        <v>0</v>
      </c>
      <c r="AH398" s="506">
        <f t="shared" si="105"/>
        <v>0</v>
      </c>
      <c r="AI398" s="506">
        <f t="shared" si="105"/>
        <v>0</v>
      </c>
      <c r="AJ398" s="506">
        <f t="shared" si="105"/>
        <v>0</v>
      </c>
      <c r="AK398" s="506">
        <f t="shared" si="105"/>
        <v>0</v>
      </c>
      <c r="AL398" s="506">
        <f t="shared" si="105"/>
        <v>0</v>
      </c>
      <c r="AM398" s="506">
        <f t="shared" si="105"/>
        <v>0</v>
      </c>
      <c r="AN398" s="506">
        <f t="shared" si="105"/>
        <v>0</v>
      </c>
      <c r="AO398" s="506">
        <f t="shared" si="105"/>
        <v>0</v>
      </c>
    </row>
    <row r="399" spans="3:41" x14ac:dyDescent="0.25">
      <c r="C399" s="82"/>
      <c r="F399" s="293" t="s">
        <v>1165</v>
      </c>
      <c r="G399" s="293" t="s">
        <v>183</v>
      </c>
      <c r="J399" s="440">
        <f t="shared" si="105"/>
        <v>0</v>
      </c>
      <c r="K399" s="440">
        <f t="shared" si="105"/>
        <v>0</v>
      </c>
      <c r="L399" s="440">
        <f t="shared" si="105"/>
        <v>0</v>
      </c>
      <c r="M399" s="440">
        <f t="shared" si="105"/>
        <v>0</v>
      </c>
      <c r="N399" s="440">
        <f t="shared" si="105"/>
        <v>0</v>
      </c>
      <c r="O399" s="440">
        <f t="shared" si="105"/>
        <v>0</v>
      </c>
      <c r="P399" s="440">
        <f t="shared" si="105"/>
        <v>0</v>
      </c>
      <c r="Q399" s="440">
        <f t="shared" si="105"/>
        <v>0</v>
      </c>
      <c r="R399" s="440">
        <f t="shared" si="105"/>
        <v>0</v>
      </c>
      <c r="S399" s="440">
        <f t="shared" si="105"/>
        <v>0</v>
      </c>
      <c r="T399" s="440">
        <f t="shared" si="105"/>
        <v>0</v>
      </c>
      <c r="U399" s="440">
        <f t="shared" si="105"/>
        <v>0</v>
      </c>
      <c r="V399" s="440">
        <f t="shared" si="105"/>
        <v>0</v>
      </c>
      <c r="W399" s="440">
        <f t="shared" si="105"/>
        <v>0</v>
      </c>
      <c r="X399" s="440">
        <f t="shared" si="105"/>
        <v>0</v>
      </c>
      <c r="Y399" s="440">
        <f t="shared" si="105"/>
        <v>0</v>
      </c>
      <c r="Z399" s="440">
        <f t="shared" si="105"/>
        <v>0</v>
      </c>
      <c r="AA399" s="440">
        <f t="shared" si="105"/>
        <v>0</v>
      </c>
      <c r="AB399" s="440">
        <f t="shared" si="105"/>
        <v>0</v>
      </c>
      <c r="AC399" s="440">
        <f t="shared" si="105"/>
        <v>0</v>
      </c>
      <c r="AD399" s="440">
        <f t="shared" si="105"/>
        <v>0</v>
      </c>
      <c r="AE399" s="440">
        <f t="shared" si="105"/>
        <v>0</v>
      </c>
      <c r="AF399" s="440">
        <f t="shared" si="105"/>
        <v>0</v>
      </c>
      <c r="AG399" s="440">
        <f t="shared" si="105"/>
        <v>0</v>
      </c>
      <c r="AH399" s="440">
        <f t="shared" si="105"/>
        <v>0</v>
      </c>
      <c r="AI399" s="440">
        <f t="shared" si="105"/>
        <v>0</v>
      </c>
      <c r="AJ399" s="440">
        <f t="shared" si="105"/>
        <v>0</v>
      </c>
      <c r="AK399" s="440">
        <f t="shared" si="105"/>
        <v>0</v>
      </c>
      <c r="AL399" s="440">
        <f t="shared" si="105"/>
        <v>0</v>
      </c>
      <c r="AM399" s="440">
        <f t="shared" si="105"/>
        <v>0</v>
      </c>
      <c r="AN399" s="440">
        <f t="shared" si="105"/>
        <v>0</v>
      </c>
      <c r="AO399" s="440">
        <f t="shared" si="105"/>
        <v>0</v>
      </c>
    </row>
    <row r="400" spans="3:41" x14ac:dyDescent="0.25">
      <c r="C400" s="82"/>
      <c r="F400" s="93" t="s">
        <v>1166</v>
      </c>
      <c r="G400" s="93" t="s">
        <v>183</v>
      </c>
      <c r="H400" s="93"/>
      <c r="I400" s="93"/>
      <c r="J400" s="507">
        <f t="shared" si="105"/>
        <v>0</v>
      </c>
      <c r="K400" s="507">
        <f t="shared" si="105"/>
        <v>0</v>
      </c>
      <c r="L400" s="507">
        <f t="shared" si="105"/>
        <v>0</v>
      </c>
      <c r="M400" s="507">
        <f t="shared" si="105"/>
        <v>0</v>
      </c>
      <c r="N400" s="507">
        <f t="shared" si="105"/>
        <v>0</v>
      </c>
      <c r="O400" s="507">
        <f t="shared" si="105"/>
        <v>0</v>
      </c>
      <c r="P400" s="507">
        <f t="shared" si="105"/>
        <v>0</v>
      </c>
      <c r="Q400" s="507">
        <f t="shared" si="105"/>
        <v>0</v>
      </c>
      <c r="R400" s="507">
        <f t="shared" si="105"/>
        <v>0</v>
      </c>
      <c r="S400" s="507">
        <f t="shared" si="105"/>
        <v>0</v>
      </c>
      <c r="T400" s="507">
        <f t="shared" si="105"/>
        <v>0</v>
      </c>
      <c r="U400" s="507">
        <f t="shared" si="105"/>
        <v>0</v>
      </c>
      <c r="V400" s="507">
        <f t="shared" si="105"/>
        <v>0</v>
      </c>
      <c r="W400" s="507">
        <f t="shared" si="105"/>
        <v>0</v>
      </c>
      <c r="X400" s="507">
        <f t="shared" si="105"/>
        <v>0</v>
      </c>
      <c r="Y400" s="507">
        <f t="shared" si="105"/>
        <v>0</v>
      </c>
      <c r="Z400" s="507">
        <f t="shared" si="105"/>
        <v>0</v>
      </c>
      <c r="AA400" s="507">
        <f t="shared" si="105"/>
        <v>0</v>
      </c>
      <c r="AB400" s="507">
        <f t="shared" si="105"/>
        <v>0</v>
      </c>
      <c r="AC400" s="507">
        <f t="shared" si="105"/>
        <v>0</v>
      </c>
      <c r="AD400" s="507">
        <f t="shared" si="105"/>
        <v>0</v>
      </c>
      <c r="AE400" s="507">
        <f t="shared" si="105"/>
        <v>0</v>
      </c>
      <c r="AF400" s="507">
        <f t="shared" si="105"/>
        <v>0</v>
      </c>
      <c r="AG400" s="507">
        <f t="shared" si="105"/>
        <v>0</v>
      </c>
      <c r="AH400" s="507">
        <f t="shared" si="105"/>
        <v>0</v>
      </c>
      <c r="AI400" s="507">
        <f t="shared" si="105"/>
        <v>0</v>
      </c>
      <c r="AJ400" s="507">
        <f t="shared" si="105"/>
        <v>0</v>
      </c>
      <c r="AK400" s="507">
        <f t="shared" si="105"/>
        <v>0</v>
      </c>
      <c r="AL400" s="507">
        <f t="shared" si="105"/>
        <v>0</v>
      </c>
      <c r="AM400" s="507">
        <f t="shared" si="105"/>
        <v>0</v>
      </c>
      <c r="AN400" s="507">
        <f t="shared" si="105"/>
        <v>0</v>
      </c>
      <c r="AO400" s="507">
        <f t="shared" si="105"/>
        <v>0</v>
      </c>
    </row>
    <row r="401" spans="2:43" x14ac:dyDescent="0.25">
      <c r="C401" s="82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</row>
    <row r="402" spans="2:43" x14ac:dyDescent="0.25">
      <c r="C402" s="82"/>
      <c r="E402" s="96" t="s">
        <v>1212</v>
      </c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25">
      <c r="C403" s="82"/>
      <c r="F403" s="91" t="s">
        <v>134</v>
      </c>
      <c r="G403" s="91" t="s">
        <v>183</v>
      </c>
      <c r="H403" s="91"/>
      <c r="I403" s="91"/>
      <c r="J403" s="506">
        <f t="shared" ref="J403:AO405" si="106">IF(J$237, INDEX(J$398:J$400,J267), 0)</f>
        <v>0</v>
      </c>
      <c r="K403" s="506">
        <f t="shared" si="106"/>
        <v>0</v>
      </c>
      <c r="L403" s="506">
        <f t="shared" si="106"/>
        <v>0</v>
      </c>
      <c r="M403" s="506">
        <f t="shared" si="106"/>
        <v>0</v>
      </c>
      <c r="N403" s="506">
        <f t="shared" si="106"/>
        <v>0</v>
      </c>
      <c r="O403" s="506">
        <f t="shared" si="106"/>
        <v>0</v>
      </c>
      <c r="P403" s="506">
        <f t="shared" si="106"/>
        <v>0</v>
      </c>
      <c r="Q403" s="506">
        <f t="shared" si="106"/>
        <v>0</v>
      </c>
      <c r="R403" s="506">
        <f t="shared" si="106"/>
        <v>0</v>
      </c>
      <c r="S403" s="506">
        <f t="shared" si="106"/>
        <v>0</v>
      </c>
      <c r="T403" s="506">
        <f t="shared" si="106"/>
        <v>0</v>
      </c>
      <c r="U403" s="506">
        <f t="shared" si="106"/>
        <v>0</v>
      </c>
      <c r="V403" s="506">
        <f t="shared" si="106"/>
        <v>0</v>
      </c>
      <c r="W403" s="506">
        <f t="shared" si="106"/>
        <v>0</v>
      </c>
      <c r="X403" s="506">
        <f t="shared" si="106"/>
        <v>0</v>
      </c>
      <c r="Y403" s="506">
        <f t="shared" si="106"/>
        <v>0</v>
      </c>
      <c r="Z403" s="506">
        <f t="shared" si="106"/>
        <v>0</v>
      </c>
      <c r="AA403" s="506">
        <f t="shared" si="106"/>
        <v>0</v>
      </c>
      <c r="AB403" s="506">
        <f t="shared" si="106"/>
        <v>0</v>
      </c>
      <c r="AC403" s="506">
        <f t="shared" si="106"/>
        <v>0</v>
      </c>
      <c r="AD403" s="506">
        <f t="shared" si="106"/>
        <v>0</v>
      </c>
      <c r="AE403" s="506">
        <f t="shared" si="106"/>
        <v>0</v>
      </c>
      <c r="AF403" s="506">
        <f t="shared" si="106"/>
        <v>0</v>
      </c>
      <c r="AG403" s="506">
        <f t="shared" si="106"/>
        <v>0</v>
      </c>
      <c r="AH403" s="506">
        <f t="shared" si="106"/>
        <v>0</v>
      </c>
      <c r="AI403" s="506">
        <f t="shared" si="106"/>
        <v>0</v>
      </c>
      <c r="AJ403" s="506">
        <f t="shared" si="106"/>
        <v>0</v>
      </c>
      <c r="AK403" s="506">
        <f t="shared" si="106"/>
        <v>0</v>
      </c>
      <c r="AL403" s="506">
        <f t="shared" si="106"/>
        <v>0</v>
      </c>
      <c r="AM403" s="506">
        <f t="shared" si="106"/>
        <v>0</v>
      </c>
      <c r="AN403" s="506">
        <f t="shared" si="106"/>
        <v>0</v>
      </c>
      <c r="AO403" s="506">
        <f t="shared" si="106"/>
        <v>0</v>
      </c>
    </row>
    <row r="404" spans="2:43" x14ac:dyDescent="0.25">
      <c r="C404" s="82"/>
      <c r="F404" s="293" t="s">
        <v>135</v>
      </c>
      <c r="G404" s="293" t="s">
        <v>183</v>
      </c>
      <c r="J404" s="440">
        <f t="shared" si="106"/>
        <v>0</v>
      </c>
      <c r="K404" s="440">
        <f t="shared" si="106"/>
        <v>0</v>
      </c>
      <c r="L404" s="440">
        <f t="shared" si="106"/>
        <v>0</v>
      </c>
      <c r="M404" s="440">
        <f t="shared" si="106"/>
        <v>0</v>
      </c>
      <c r="N404" s="440">
        <f t="shared" si="106"/>
        <v>0</v>
      </c>
      <c r="O404" s="440">
        <f t="shared" si="106"/>
        <v>0</v>
      </c>
      <c r="P404" s="440">
        <f t="shared" si="106"/>
        <v>0</v>
      </c>
      <c r="Q404" s="440">
        <f t="shared" si="106"/>
        <v>0</v>
      </c>
      <c r="R404" s="440">
        <f t="shared" si="106"/>
        <v>0</v>
      </c>
      <c r="S404" s="440">
        <f t="shared" si="106"/>
        <v>0</v>
      </c>
      <c r="T404" s="440">
        <f t="shared" si="106"/>
        <v>0</v>
      </c>
      <c r="U404" s="440">
        <f t="shared" si="106"/>
        <v>0</v>
      </c>
      <c r="V404" s="440">
        <f t="shared" si="106"/>
        <v>0</v>
      </c>
      <c r="W404" s="440">
        <f t="shared" si="106"/>
        <v>0</v>
      </c>
      <c r="X404" s="440">
        <f t="shared" si="106"/>
        <v>0</v>
      </c>
      <c r="Y404" s="440">
        <f t="shared" si="106"/>
        <v>0</v>
      </c>
      <c r="Z404" s="440">
        <f t="shared" si="106"/>
        <v>0</v>
      </c>
      <c r="AA404" s="440">
        <f t="shared" si="106"/>
        <v>0</v>
      </c>
      <c r="AB404" s="440">
        <f t="shared" si="106"/>
        <v>0</v>
      </c>
      <c r="AC404" s="440">
        <f t="shared" si="106"/>
        <v>0</v>
      </c>
      <c r="AD404" s="440">
        <f t="shared" si="106"/>
        <v>0</v>
      </c>
      <c r="AE404" s="440">
        <f t="shared" si="106"/>
        <v>0</v>
      </c>
      <c r="AF404" s="440">
        <f t="shared" si="106"/>
        <v>0</v>
      </c>
      <c r="AG404" s="440">
        <f t="shared" si="106"/>
        <v>0</v>
      </c>
      <c r="AH404" s="440">
        <f t="shared" si="106"/>
        <v>0</v>
      </c>
      <c r="AI404" s="440">
        <f t="shared" si="106"/>
        <v>0</v>
      </c>
      <c r="AJ404" s="440">
        <f t="shared" si="106"/>
        <v>0</v>
      </c>
      <c r="AK404" s="440">
        <f t="shared" si="106"/>
        <v>0</v>
      </c>
      <c r="AL404" s="440">
        <f t="shared" si="106"/>
        <v>0</v>
      </c>
      <c r="AM404" s="440">
        <f t="shared" si="106"/>
        <v>0</v>
      </c>
      <c r="AN404" s="440">
        <f t="shared" si="106"/>
        <v>0</v>
      </c>
      <c r="AO404" s="440">
        <f t="shared" si="106"/>
        <v>0</v>
      </c>
    </row>
    <row r="405" spans="2:43" x14ac:dyDescent="0.25">
      <c r="C405" s="82"/>
      <c r="F405" s="93" t="s">
        <v>136</v>
      </c>
      <c r="G405" s="93" t="s">
        <v>183</v>
      </c>
      <c r="H405" s="93"/>
      <c r="I405" s="93"/>
      <c r="J405" s="507">
        <f t="shared" si="106"/>
        <v>0</v>
      </c>
      <c r="K405" s="507">
        <f t="shared" si="106"/>
        <v>0</v>
      </c>
      <c r="L405" s="507">
        <f t="shared" si="106"/>
        <v>0</v>
      </c>
      <c r="M405" s="507">
        <f t="shared" si="106"/>
        <v>0</v>
      </c>
      <c r="N405" s="507">
        <f t="shared" si="106"/>
        <v>0</v>
      </c>
      <c r="O405" s="507">
        <f t="shared" si="106"/>
        <v>0</v>
      </c>
      <c r="P405" s="507">
        <f t="shared" si="106"/>
        <v>0</v>
      </c>
      <c r="Q405" s="507">
        <f t="shared" si="106"/>
        <v>0</v>
      </c>
      <c r="R405" s="507">
        <f t="shared" si="106"/>
        <v>0</v>
      </c>
      <c r="S405" s="507">
        <f t="shared" si="106"/>
        <v>0</v>
      </c>
      <c r="T405" s="507">
        <f t="shared" si="106"/>
        <v>0</v>
      </c>
      <c r="U405" s="507">
        <f t="shared" si="106"/>
        <v>0</v>
      </c>
      <c r="V405" s="507">
        <f t="shared" si="106"/>
        <v>0</v>
      </c>
      <c r="W405" s="507">
        <f t="shared" si="106"/>
        <v>0</v>
      </c>
      <c r="X405" s="507">
        <f t="shared" si="106"/>
        <v>0</v>
      </c>
      <c r="Y405" s="507">
        <f t="shared" si="106"/>
        <v>0</v>
      </c>
      <c r="Z405" s="507">
        <f t="shared" si="106"/>
        <v>0</v>
      </c>
      <c r="AA405" s="507">
        <f t="shared" si="106"/>
        <v>0</v>
      </c>
      <c r="AB405" s="507">
        <f t="shared" si="106"/>
        <v>0</v>
      </c>
      <c r="AC405" s="507">
        <f t="shared" si="106"/>
        <v>0</v>
      </c>
      <c r="AD405" s="507">
        <f t="shared" si="106"/>
        <v>0</v>
      </c>
      <c r="AE405" s="507">
        <f t="shared" si="106"/>
        <v>0</v>
      </c>
      <c r="AF405" s="507">
        <f t="shared" si="106"/>
        <v>0</v>
      </c>
      <c r="AG405" s="507">
        <f t="shared" si="106"/>
        <v>0</v>
      </c>
      <c r="AH405" s="507">
        <f t="shared" si="106"/>
        <v>0</v>
      </c>
      <c r="AI405" s="507">
        <f t="shared" si="106"/>
        <v>0</v>
      </c>
      <c r="AJ405" s="507">
        <f t="shared" si="106"/>
        <v>0</v>
      </c>
      <c r="AK405" s="507">
        <f t="shared" si="106"/>
        <v>0</v>
      </c>
      <c r="AL405" s="507">
        <f t="shared" si="106"/>
        <v>0</v>
      </c>
      <c r="AM405" s="507">
        <f t="shared" si="106"/>
        <v>0</v>
      </c>
      <c r="AN405" s="507">
        <f t="shared" si="106"/>
        <v>0</v>
      </c>
      <c r="AO405" s="507">
        <f t="shared" si="106"/>
        <v>0</v>
      </c>
    </row>
    <row r="406" spans="2:43" x14ac:dyDescent="0.25">
      <c r="C406" s="82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O406" s="111"/>
    </row>
    <row r="407" spans="2:43" x14ac:dyDescent="0.25">
      <c r="B407" s="95" t="s">
        <v>1213</v>
      </c>
      <c r="C407" s="95"/>
      <c r="D407" s="95"/>
      <c r="E407" s="95"/>
      <c r="F407" s="95"/>
      <c r="G407" s="95"/>
      <c r="H407" s="95"/>
      <c r="I407" s="95"/>
      <c r="J407" s="160"/>
      <c r="K407" s="160"/>
      <c r="L407" s="160"/>
      <c r="M407" s="160"/>
      <c r="N407" s="160"/>
      <c r="O407" s="160"/>
      <c r="P407" s="160"/>
      <c r="Q407" s="160"/>
      <c r="R407" s="160"/>
      <c r="S407" s="160"/>
      <c r="T407" s="160"/>
      <c r="U407" s="160"/>
      <c r="V407" s="160"/>
      <c r="W407" s="160"/>
      <c r="X407" s="160"/>
      <c r="Y407" s="160"/>
      <c r="Z407" s="160"/>
      <c r="AA407" s="160"/>
      <c r="AB407" s="160"/>
      <c r="AC407" s="160"/>
      <c r="AD407" s="160"/>
      <c r="AE407" s="160"/>
      <c r="AF407" s="160"/>
      <c r="AG407" s="160"/>
      <c r="AH407" s="160"/>
      <c r="AI407" s="160"/>
      <c r="AJ407" s="160"/>
      <c r="AK407" s="160"/>
      <c r="AL407" s="160"/>
      <c r="AM407" s="160"/>
      <c r="AN407" s="160"/>
      <c r="AO407" s="160"/>
      <c r="AP407" s="72"/>
      <c r="AQ407" s="72"/>
    </row>
    <row r="408" spans="2:43" x14ac:dyDescent="0.25">
      <c r="C408" s="82"/>
      <c r="J408" s="111"/>
      <c r="K408" s="111"/>
      <c r="L408" s="111"/>
      <c r="M408" s="111"/>
      <c r="N408" s="440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O408" s="111"/>
    </row>
    <row r="409" spans="2:43" x14ac:dyDescent="0.25">
      <c r="C409" s="7" t="str">
        <f ca="1">INDEX('Version control'!$H$34:$H$60,MATCH($A$1,'Version control'!$F$34:$F$60,0),1)&amp;"-O: Final adders"</f>
        <v>Section 519-O: Final adders</v>
      </c>
      <c r="D409" s="7"/>
      <c r="E409" s="7"/>
      <c r="F409" s="7"/>
      <c r="G409" s="7"/>
      <c r="H409" s="7"/>
      <c r="I409" s="7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71"/>
      <c r="AI409" s="171"/>
      <c r="AJ409" s="171"/>
      <c r="AK409" s="171"/>
      <c r="AL409" s="171"/>
      <c r="AM409" s="171"/>
      <c r="AN409" s="171"/>
      <c r="AO409" s="171"/>
      <c r="AP409" s="7"/>
      <c r="AQ409" s="7"/>
    </row>
    <row r="410" spans="2:43" x14ac:dyDescent="0.25">
      <c r="C410" s="82"/>
      <c r="E410" s="96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O410" s="111"/>
    </row>
    <row r="411" spans="2:43" x14ac:dyDescent="0.25">
      <c r="C411" s="82"/>
      <c r="E411" s="86" t="s">
        <v>1214</v>
      </c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25">
      <c r="C412" s="82"/>
      <c r="F412" s="91" t="s">
        <v>134</v>
      </c>
      <c r="G412" s="91" t="s">
        <v>183</v>
      </c>
      <c r="H412" s="91"/>
      <c r="I412" s="91"/>
      <c r="J412" s="352">
        <f>J403 + J$207</f>
        <v>0</v>
      </c>
      <c r="K412" s="352">
        <f t="shared" ref="K412:AO412" si="107">K403 + K$207</f>
        <v>0</v>
      </c>
      <c r="L412" s="352">
        <f t="shared" si="107"/>
        <v>0</v>
      </c>
      <c r="M412" s="352">
        <f t="shared" si="107"/>
        <v>0</v>
      </c>
      <c r="N412" s="352">
        <f t="shared" si="107"/>
        <v>0</v>
      </c>
      <c r="O412" s="352">
        <f t="shared" si="107"/>
        <v>0</v>
      </c>
      <c r="P412" s="352">
        <f t="shared" si="107"/>
        <v>0</v>
      </c>
      <c r="Q412" s="352">
        <f t="shared" si="107"/>
        <v>0</v>
      </c>
      <c r="R412" s="352">
        <f t="shared" si="107"/>
        <v>0</v>
      </c>
      <c r="S412" s="352">
        <f t="shared" si="107"/>
        <v>0</v>
      </c>
      <c r="T412" s="352">
        <f t="shared" si="107"/>
        <v>0</v>
      </c>
      <c r="U412" s="352">
        <f t="shared" si="107"/>
        <v>0</v>
      </c>
      <c r="V412" s="352">
        <f t="shared" si="107"/>
        <v>0</v>
      </c>
      <c r="W412" s="352">
        <f t="shared" si="107"/>
        <v>0</v>
      </c>
      <c r="X412" s="352">
        <f t="shared" si="107"/>
        <v>0</v>
      </c>
      <c r="Y412" s="352">
        <f t="shared" si="107"/>
        <v>0</v>
      </c>
      <c r="Z412" s="352">
        <f t="shared" si="107"/>
        <v>0</v>
      </c>
      <c r="AA412" s="352">
        <f t="shared" si="107"/>
        <v>0</v>
      </c>
      <c r="AB412" s="352">
        <f t="shared" si="107"/>
        <v>0</v>
      </c>
      <c r="AC412" s="352">
        <f t="shared" si="107"/>
        <v>0</v>
      </c>
      <c r="AD412" s="352">
        <f t="shared" si="107"/>
        <v>0</v>
      </c>
      <c r="AE412" s="352">
        <f t="shared" si="107"/>
        <v>0</v>
      </c>
      <c r="AF412" s="352">
        <f t="shared" si="107"/>
        <v>0</v>
      </c>
      <c r="AG412" s="352">
        <f t="shared" si="107"/>
        <v>1.1469702390773682</v>
      </c>
      <c r="AH412" s="352">
        <f t="shared" si="107"/>
        <v>0</v>
      </c>
      <c r="AI412" s="352">
        <f t="shared" si="107"/>
        <v>0</v>
      </c>
      <c r="AJ412" s="352">
        <f t="shared" si="107"/>
        <v>0</v>
      </c>
      <c r="AK412" s="352">
        <f t="shared" si="107"/>
        <v>0</v>
      </c>
      <c r="AL412" s="352">
        <f t="shared" si="107"/>
        <v>0</v>
      </c>
      <c r="AM412" s="352">
        <f t="shared" si="107"/>
        <v>0</v>
      </c>
      <c r="AN412" s="352">
        <f t="shared" si="107"/>
        <v>0</v>
      </c>
      <c r="AO412" s="352">
        <f t="shared" si="107"/>
        <v>0</v>
      </c>
    </row>
    <row r="413" spans="2:43" x14ac:dyDescent="0.25">
      <c r="C413" s="82"/>
      <c r="F413" s="293" t="s">
        <v>135</v>
      </c>
      <c r="G413" s="293" t="s">
        <v>183</v>
      </c>
      <c r="J413" s="353">
        <f t="shared" ref="J413:AO414" si="108">J404 + J$207</f>
        <v>0</v>
      </c>
      <c r="K413" s="353">
        <f t="shared" si="108"/>
        <v>0</v>
      </c>
      <c r="L413" s="353">
        <f t="shared" si="108"/>
        <v>0</v>
      </c>
      <c r="M413" s="353">
        <f t="shared" si="108"/>
        <v>0</v>
      </c>
      <c r="N413" s="353">
        <f t="shared" si="108"/>
        <v>0</v>
      </c>
      <c r="O413" s="353">
        <f t="shared" si="108"/>
        <v>0</v>
      </c>
      <c r="P413" s="353">
        <f t="shared" si="108"/>
        <v>0</v>
      </c>
      <c r="Q413" s="353">
        <f t="shared" si="108"/>
        <v>0</v>
      </c>
      <c r="R413" s="353">
        <f t="shared" si="108"/>
        <v>0</v>
      </c>
      <c r="S413" s="353">
        <f t="shared" si="108"/>
        <v>0</v>
      </c>
      <c r="T413" s="353">
        <f t="shared" si="108"/>
        <v>0</v>
      </c>
      <c r="U413" s="353">
        <f t="shared" si="108"/>
        <v>0</v>
      </c>
      <c r="V413" s="353">
        <f t="shared" si="108"/>
        <v>0</v>
      </c>
      <c r="W413" s="353">
        <f t="shared" si="108"/>
        <v>0</v>
      </c>
      <c r="X413" s="353">
        <f t="shared" si="108"/>
        <v>0</v>
      </c>
      <c r="Y413" s="353">
        <f t="shared" si="108"/>
        <v>0</v>
      </c>
      <c r="Z413" s="353">
        <f t="shared" si="108"/>
        <v>0</v>
      </c>
      <c r="AA413" s="353">
        <f t="shared" si="108"/>
        <v>0</v>
      </c>
      <c r="AB413" s="353">
        <f t="shared" si="108"/>
        <v>0</v>
      </c>
      <c r="AC413" s="353">
        <f t="shared" si="108"/>
        <v>0</v>
      </c>
      <c r="AD413" s="353">
        <f t="shared" si="108"/>
        <v>0</v>
      </c>
      <c r="AE413" s="353">
        <f t="shared" si="108"/>
        <v>0</v>
      </c>
      <c r="AF413" s="353">
        <f t="shared" si="108"/>
        <v>0</v>
      </c>
      <c r="AG413" s="353">
        <f t="shared" si="108"/>
        <v>1.1469702390773682</v>
      </c>
      <c r="AH413" s="353">
        <f t="shared" si="108"/>
        <v>0</v>
      </c>
      <c r="AI413" s="353">
        <f t="shared" si="108"/>
        <v>0</v>
      </c>
      <c r="AJ413" s="353">
        <f t="shared" si="108"/>
        <v>0</v>
      </c>
      <c r="AK413" s="353">
        <f t="shared" si="108"/>
        <v>0</v>
      </c>
      <c r="AL413" s="353">
        <f t="shared" si="108"/>
        <v>0</v>
      </c>
      <c r="AM413" s="353">
        <f t="shared" si="108"/>
        <v>0</v>
      </c>
      <c r="AN413" s="353">
        <f t="shared" si="108"/>
        <v>0</v>
      </c>
      <c r="AO413" s="353">
        <f t="shared" si="108"/>
        <v>0</v>
      </c>
    </row>
    <row r="414" spans="2:43" x14ac:dyDescent="0.25">
      <c r="C414" s="82"/>
      <c r="F414" s="293" t="s">
        <v>136</v>
      </c>
      <c r="G414" s="293" t="s">
        <v>183</v>
      </c>
      <c r="J414" s="354">
        <f t="shared" si="108"/>
        <v>0</v>
      </c>
      <c r="K414" s="354">
        <f t="shared" si="108"/>
        <v>0</v>
      </c>
      <c r="L414" s="354">
        <f t="shared" si="108"/>
        <v>0</v>
      </c>
      <c r="M414" s="354">
        <f t="shared" si="108"/>
        <v>0</v>
      </c>
      <c r="N414" s="354">
        <f t="shared" si="108"/>
        <v>0</v>
      </c>
      <c r="O414" s="354">
        <f t="shared" si="108"/>
        <v>0</v>
      </c>
      <c r="P414" s="354">
        <f t="shared" si="108"/>
        <v>0</v>
      </c>
      <c r="Q414" s="354">
        <f t="shared" si="108"/>
        <v>0</v>
      </c>
      <c r="R414" s="354">
        <f t="shared" si="108"/>
        <v>0</v>
      </c>
      <c r="S414" s="354">
        <f t="shared" si="108"/>
        <v>0</v>
      </c>
      <c r="T414" s="354">
        <f t="shared" si="108"/>
        <v>0</v>
      </c>
      <c r="U414" s="354">
        <f t="shared" si="108"/>
        <v>0</v>
      </c>
      <c r="V414" s="354">
        <f t="shared" si="108"/>
        <v>0</v>
      </c>
      <c r="W414" s="354">
        <f t="shared" si="108"/>
        <v>0</v>
      </c>
      <c r="X414" s="354">
        <f t="shared" si="108"/>
        <v>0</v>
      </c>
      <c r="Y414" s="354">
        <f t="shared" si="108"/>
        <v>0</v>
      </c>
      <c r="Z414" s="354">
        <f t="shared" si="108"/>
        <v>0</v>
      </c>
      <c r="AA414" s="354">
        <f t="shared" si="108"/>
        <v>0</v>
      </c>
      <c r="AB414" s="354">
        <f t="shared" si="108"/>
        <v>0</v>
      </c>
      <c r="AC414" s="354">
        <f t="shared" si="108"/>
        <v>0</v>
      </c>
      <c r="AD414" s="354">
        <f t="shared" si="108"/>
        <v>0</v>
      </c>
      <c r="AE414" s="354">
        <f t="shared" si="108"/>
        <v>0</v>
      </c>
      <c r="AF414" s="354">
        <f t="shared" si="108"/>
        <v>0</v>
      </c>
      <c r="AG414" s="354">
        <f t="shared" si="108"/>
        <v>1.1469702390773682</v>
      </c>
      <c r="AH414" s="354">
        <f t="shared" si="108"/>
        <v>0</v>
      </c>
      <c r="AI414" s="354">
        <f t="shared" si="108"/>
        <v>0</v>
      </c>
      <c r="AJ414" s="354">
        <f t="shared" si="108"/>
        <v>0</v>
      </c>
      <c r="AK414" s="354">
        <f t="shared" si="108"/>
        <v>0</v>
      </c>
      <c r="AL414" s="354">
        <f t="shared" si="108"/>
        <v>0</v>
      </c>
      <c r="AM414" s="354">
        <f t="shared" si="108"/>
        <v>0</v>
      </c>
      <c r="AN414" s="354">
        <f t="shared" si="108"/>
        <v>0</v>
      </c>
      <c r="AO414" s="354">
        <f t="shared" si="108"/>
        <v>0</v>
      </c>
    </row>
    <row r="415" spans="2:43" x14ac:dyDescent="0.25">
      <c r="C415" s="82"/>
      <c r="F415" s="293" t="s">
        <v>254</v>
      </c>
      <c r="G415" s="293" t="s">
        <v>252</v>
      </c>
      <c r="J415" s="233">
        <f t="shared" ref="J415:AO415" si="109">J224</f>
        <v>11.428363048859264</v>
      </c>
      <c r="K415" s="233">
        <f t="shared" si="109"/>
        <v>0</v>
      </c>
      <c r="L415" s="233">
        <f t="shared" si="109"/>
        <v>0</v>
      </c>
      <c r="M415" s="233">
        <f t="shared" si="109"/>
        <v>4.0764640239440233</v>
      </c>
      <c r="N415" s="233">
        <f t="shared" si="109"/>
        <v>22.03177001375656</v>
      </c>
      <c r="O415" s="233">
        <f t="shared" si="109"/>
        <v>54.585309031635909</v>
      </c>
      <c r="P415" s="233">
        <f t="shared" si="109"/>
        <v>176.04897990344932</v>
      </c>
      <c r="Q415" s="233">
        <f t="shared" si="109"/>
        <v>0</v>
      </c>
      <c r="R415" s="233">
        <f t="shared" si="109"/>
        <v>0</v>
      </c>
      <c r="S415" s="233">
        <f t="shared" si="109"/>
        <v>265.90721038784602</v>
      </c>
      <c r="T415" s="233">
        <f t="shared" si="109"/>
        <v>611.67641471089337</v>
      </c>
      <c r="U415" s="233">
        <f t="shared" si="109"/>
        <v>1030.343540239722</v>
      </c>
      <c r="V415" s="233">
        <f t="shared" si="109"/>
        <v>2244.9085203741902</v>
      </c>
      <c r="W415" s="233">
        <f t="shared" si="109"/>
        <v>0</v>
      </c>
      <c r="X415" s="233">
        <f t="shared" si="109"/>
        <v>265.90721038784602</v>
      </c>
      <c r="Y415" s="233">
        <f t="shared" si="109"/>
        <v>611.67641471089325</v>
      </c>
      <c r="Z415" s="233">
        <f t="shared" si="109"/>
        <v>1030.3435402397217</v>
      </c>
      <c r="AA415" s="233">
        <f t="shared" si="109"/>
        <v>2244.9085203741911</v>
      </c>
      <c r="AB415" s="233">
        <f t="shared" si="109"/>
        <v>0</v>
      </c>
      <c r="AC415" s="233">
        <f t="shared" si="109"/>
        <v>1519.6661522789909</v>
      </c>
      <c r="AD415" s="233">
        <f t="shared" si="109"/>
        <v>5652.7553374897034</v>
      </c>
      <c r="AE415" s="233">
        <f t="shared" si="109"/>
        <v>11448.67947101268</v>
      </c>
      <c r="AF415" s="233">
        <f t="shared" si="109"/>
        <v>21512.883120666469</v>
      </c>
      <c r="AG415" s="233">
        <f t="shared" si="109"/>
        <v>0</v>
      </c>
      <c r="AH415" s="233">
        <f t="shared" si="109"/>
        <v>0</v>
      </c>
      <c r="AI415" s="233">
        <f t="shared" si="109"/>
        <v>0</v>
      </c>
      <c r="AJ415" s="233">
        <f t="shared" si="109"/>
        <v>0</v>
      </c>
      <c r="AK415" s="233">
        <f t="shared" si="109"/>
        <v>0</v>
      </c>
      <c r="AL415" s="233">
        <f t="shared" si="109"/>
        <v>0</v>
      </c>
      <c r="AM415" s="233">
        <f t="shared" si="109"/>
        <v>0</v>
      </c>
      <c r="AN415" s="233">
        <f t="shared" si="109"/>
        <v>0</v>
      </c>
      <c r="AO415" s="233">
        <f t="shared" si="109"/>
        <v>0</v>
      </c>
    </row>
    <row r="416" spans="2:43" x14ac:dyDescent="0.25">
      <c r="C416" s="82"/>
      <c r="E416" s="14"/>
      <c r="F416" s="293" t="s">
        <v>255</v>
      </c>
      <c r="G416" s="293" t="s">
        <v>251</v>
      </c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</row>
    <row r="417" spans="2:43" x14ac:dyDescent="0.25">
      <c r="C417" s="82"/>
      <c r="F417" s="293" t="s">
        <v>256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25">
      <c r="C418" s="82"/>
      <c r="E418" s="14"/>
      <c r="F418" s="93" t="s">
        <v>257</v>
      </c>
      <c r="G418" s="93" t="s">
        <v>258</v>
      </c>
      <c r="H418" s="93"/>
      <c r="I418" s="93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</row>
    <row r="419" spans="2:43" x14ac:dyDescent="0.25">
      <c r="C419" s="82"/>
    </row>
    <row r="420" spans="2:43" x14ac:dyDescent="0.25">
      <c r="B420" s="95" t="s">
        <v>109</v>
      </c>
      <c r="C420" s="95"/>
      <c r="D420" s="95"/>
      <c r="E420" s="95"/>
      <c r="F420" s="95"/>
      <c r="G420" s="95"/>
      <c r="H420" s="95"/>
      <c r="I420" s="95"/>
      <c r="J420" s="160"/>
      <c r="K420" s="160"/>
      <c r="L420" s="160"/>
      <c r="M420" s="160"/>
      <c r="N420" s="160"/>
      <c r="O420" s="160"/>
      <c r="P420" s="160"/>
      <c r="Q420" s="160"/>
      <c r="R420" s="160"/>
      <c r="S420" s="160"/>
      <c r="T420" s="160"/>
      <c r="U420" s="160"/>
      <c r="V420" s="160"/>
      <c r="W420" s="160"/>
      <c r="X420" s="160"/>
      <c r="Y420" s="160"/>
      <c r="Z420" s="160"/>
      <c r="AA420" s="160"/>
      <c r="AB420" s="160"/>
      <c r="AC420" s="160"/>
      <c r="AD420" s="160"/>
      <c r="AE420" s="160"/>
      <c r="AF420" s="160"/>
      <c r="AG420" s="160"/>
      <c r="AH420" s="160"/>
      <c r="AI420" s="160"/>
      <c r="AJ420" s="160"/>
      <c r="AK420" s="160"/>
      <c r="AL420" s="160"/>
      <c r="AM420" s="160"/>
      <c r="AN420" s="160"/>
      <c r="AO420" s="160"/>
      <c r="AP420" s="72"/>
      <c r="AQ420" s="72"/>
    </row>
    <row r="421" spans="2:43" x14ac:dyDescent="0.25">
      <c r="C421" s="82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O421" s="111"/>
    </row>
    <row r="422" spans="2:43" x14ac:dyDescent="0.25">
      <c r="C422" s="82"/>
      <c r="E422" s="14" t="s">
        <v>1215</v>
      </c>
      <c r="F422" s="14"/>
      <c r="G422" s="293" t="s">
        <v>1141</v>
      </c>
      <c r="H422" s="252">
        <f>SUM(J422:AO422)</f>
        <v>0</v>
      </c>
      <c r="J422" s="237">
        <f t="shared" ref="J422:AO422" si="110">SUMPRODUCT(J398:J400,J282:J284)*thousand/hundred</f>
        <v>0</v>
      </c>
      <c r="K422" s="237">
        <f t="shared" si="110"/>
        <v>0</v>
      </c>
      <c r="L422" s="237">
        <f t="shared" si="110"/>
        <v>0</v>
      </c>
      <c r="M422" s="237">
        <f t="shared" si="110"/>
        <v>0</v>
      </c>
      <c r="N422" s="237">
        <f t="shared" si="110"/>
        <v>0</v>
      </c>
      <c r="O422" s="237">
        <f t="shared" si="110"/>
        <v>0</v>
      </c>
      <c r="P422" s="237">
        <f t="shared" si="110"/>
        <v>0</v>
      </c>
      <c r="Q422" s="237">
        <f t="shared" si="110"/>
        <v>0</v>
      </c>
      <c r="R422" s="237">
        <f t="shared" si="110"/>
        <v>0</v>
      </c>
      <c r="S422" s="237">
        <f t="shared" si="110"/>
        <v>0</v>
      </c>
      <c r="T422" s="237">
        <f t="shared" si="110"/>
        <v>0</v>
      </c>
      <c r="U422" s="237">
        <f t="shared" si="110"/>
        <v>0</v>
      </c>
      <c r="V422" s="237">
        <f t="shared" si="110"/>
        <v>0</v>
      </c>
      <c r="W422" s="237">
        <f t="shared" si="110"/>
        <v>0</v>
      </c>
      <c r="X422" s="237">
        <f t="shared" si="110"/>
        <v>0</v>
      </c>
      <c r="Y422" s="237">
        <f t="shared" si="110"/>
        <v>0</v>
      </c>
      <c r="Z422" s="237">
        <f t="shared" si="110"/>
        <v>0</v>
      </c>
      <c r="AA422" s="237">
        <f t="shared" si="110"/>
        <v>0</v>
      </c>
      <c r="AB422" s="237">
        <f t="shared" si="110"/>
        <v>0</v>
      </c>
      <c r="AC422" s="237">
        <f t="shared" si="110"/>
        <v>0</v>
      </c>
      <c r="AD422" s="237">
        <f t="shared" si="110"/>
        <v>0</v>
      </c>
      <c r="AE422" s="237">
        <f t="shared" si="110"/>
        <v>0</v>
      </c>
      <c r="AF422" s="237">
        <f t="shared" si="110"/>
        <v>0</v>
      </c>
      <c r="AG422" s="237">
        <f t="shared" si="110"/>
        <v>0</v>
      </c>
      <c r="AH422" s="237">
        <f t="shared" si="110"/>
        <v>0</v>
      </c>
      <c r="AI422" s="237">
        <f t="shared" si="110"/>
        <v>0</v>
      </c>
      <c r="AJ422" s="237">
        <f t="shared" si="110"/>
        <v>0</v>
      </c>
      <c r="AK422" s="237">
        <f t="shared" si="110"/>
        <v>0</v>
      </c>
      <c r="AL422" s="237">
        <f t="shared" si="110"/>
        <v>0</v>
      </c>
      <c r="AM422" s="237">
        <f t="shared" si="110"/>
        <v>0</v>
      </c>
      <c r="AN422" s="237">
        <f t="shared" si="110"/>
        <v>0</v>
      </c>
      <c r="AO422" s="237">
        <f t="shared" si="110"/>
        <v>0</v>
      </c>
    </row>
    <row r="423" spans="2:43" x14ac:dyDescent="0.25">
      <c r="C423" s="82"/>
      <c r="E423" s="14"/>
      <c r="F423" s="14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O423" s="111"/>
    </row>
    <row r="424" spans="2:43" x14ac:dyDescent="0.25">
      <c r="C424" s="82"/>
      <c r="E424" s="14" t="s">
        <v>1216</v>
      </c>
      <c r="F424" s="14"/>
      <c r="G424" s="293" t="s">
        <v>1141</v>
      </c>
      <c r="H424" s="252">
        <f>SUM(J424:AO424)</f>
        <v>0</v>
      </c>
      <c r="J424" s="237">
        <f t="shared" ref="J424:AO424" si="111">J228</f>
        <v>0</v>
      </c>
      <c r="K424" s="237">
        <f t="shared" si="111"/>
        <v>0</v>
      </c>
      <c r="L424" s="237">
        <f t="shared" si="111"/>
        <v>0</v>
      </c>
      <c r="M424" s="237">
        <f t="shared" si="111"/>
        <v>0</v>
      </c>
      <c r="N424" s="237">
        <f t="shared" si="111"/>
        <v>0</v>
      </c>
      <c r="O424" s="237">
        <f t="shared" si="111"/>
        <v>0</v>
      </c>
      <c r="P424" s="237">
        <f t="shared" si="111"/>
        <v>0</v>
      </c>
      <c r="Q424" s="237">
        <f t="shared" si="111"/>
        <v>0</v>
      </c>
      <c r="R424" s="237">
        <f t="shared" si="111"/>
        <v>0</v>
      </c>
      <c r="S424" s="237">
        <f t="shared" si="111"/>
        <v>0</v>
      </c>
      <c r="T424" s="237">
        <f t="shared" si="111"/>
        <v>0</v>
      </c>
      <c r="U424" s="237">
        <f t="shared" si="111"/>
        <v>0</v>
      </c>
      <c r="V424" s="237">
        <f t="shared" si="111"/>
        <v>0</v>
      </c>
      <c r="W424" s="237">
        <f t="shared" si="111"/>
        <v>0</v>
      </c>
      <c r="X424" s="237">
        <f t="shared" si="111"/>
        <v>0</v>
      </c>
      <c r="Y424" s="237">
        <f t="shared" si="111"/>
        <v>0</v>
      </c>
      <c r="Z424" s="237">
        <f t="shared" si="111"/>
        <v>0</v>
      </c>
      <c r="AA424" s="237">
        <f t="shared" si="111"/>
        <v>0</v>
      </c>
      <c r="AB424" s="237">
        <f t="shared" si="111"/>
        <v>0</v>
      </c>
      <c r="AC424" s="237">
        <f t="shared" si="111"/>
        <v>0</v>
      </c>
      <c r="AD424" s="237">
        <f t="shared" si="111"/>
        <v>0</v>
      </c>
      <c r="AE424" s="237">
        <f t="shared" si="111"/>
        <v>0</v>
      </c>
      <c r="AF424" s="237">
        <f t="shared" si="111"/>
        <v>0</v>
      </c>
      <c r="AG424" s="237">
        <f t="shared" si="111"/>
        <v>0</v>
      </c>
      <c r="AH424" s="237">
        <f t="shared" si="111"/>
        <v>0</v>
      </c>
      <c r="AI424" s="237">
        <f t="shared" si="111"/>
        <v>0</v>
      </c>
      <c r="AJ424" s="237">
        <f t="shared" si="111"/>
        <v>0</v>
      </c>
      <c r="AK424" s="237">
        <f t="shared" si="111"/>
        <v>0</v>
      </c>
      <c r="AL424" s="237">
        <f t="shared" si="111"/>
        <v>0</v>
      </c>
      <c r="AM424" s="237">
        <f t="shared" si="111"/>
        <v>0</v>
      </c>
      <c r="AN424" s="237">
        <f t="shared" si="111"/>
        <v>0</v>
      </c>
      <c r="AO424" s="237">
        <f t="shared" si="111"/>
        <v>0</v>
      </c>
    </row>
    <row r="425" spans="2:43" x14ac:dyDescent="0.25">
      <c r="C425" s="82"/>
      <c r="E425" s="14"/>
      <c r="F425" s="14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O425" s="111"/>
    </row>
    <row r="426" spans="2:43" x14ac:dyDescent="0.25">
      <c r="C426" s="82"/>
      <c r="E426" s="14" t="s">
        <v>1217</v>
      </c>
      <c r="F426" s="14"/>
      <c r="G426" s="293" t="s">
        <v>1026</v>
      </c>
      <c r="H426" s="407">
        <f>COUNTIF(J426:AO426, FALSE)</f>
        <v>0</v>
      </c>
      <c r="J426" s="111" t="b">
        <f t="shared" ref="J426:AO426" si="112">ROUND(J422, check_decimals)=ROUND(J424, check_decimals)</f>
        <v>1</v>
      </c>
      <c r="K426" s="111" t="b">
        <f t="shared" si="112"/>
        <v>1</v>
      </c>
      <c r="L426" s="111" t="b">
        <f t="shared" si="112"/>
        <v>1</v>
      </c>
      <c r="M426" s="111" t="b">
        <f t="shared" si="112"/>
        <v>1</v>
      </c>
      <c r="N426" s="111" t="b">
        <f t="shared" si="112"/>
        <v>1</v>
      </c>
      <c r="O426" s="111" t="b">
        <f t="shared" si="112"/>
        <v>1</v>
      </c>
      <c r="P426" s="111" t="b">
        <f t="shared" si="112"/>
        <v>1</v>
      </c>
      <c r="Q426" s="111" t="b">
        <f t="shared" si="112"/>
        <v>1</v>
      </c>
      <c r="R426" s="111" t="b">
        <f t="shared" si="112"/>
        <v>1</v>
      </c>
      <c r="S426" s="111" t="b">
        <f t="shared" si="112"/>
        <v>1</v>
      </c>
      <c r="T426" s="111" t="b">
        <f t="shared" si="112"/>
        <v>1</v>
      </c>
      <c r="U426" s="111" t="b">
        <f t="shared" si="112"/>
        <v>1</v>
      </c>
      <c r="V426" s="111" t="b">
        <f t="shared" si="112"/>
        <v>1</v>
      </c>
      <c r="W426" s="111" t="b">
        <f t="shared" si="112"/>
        <v>1</v>
      </c>
      <c r="X426" s="111" t="b">
        <f t="shared" si="112"/>
        <v>1</v>
      </c>
      <c r="Y426" s="111" t="b">
        <f t="shared" si="112"/>
        <v>1</v>
      </c>
      <c r="Z426" s="111" t="b">
        <f t="shared" si="112"/>
        <v>1</v>
      </c>
      <c r="AA426" s="111" t="b">
        <f t="shared" si="112"/>
        <v>1</v>
      </c>
      <c r="AB426" s="111" t="b">
        <f t="shared" si="112"/>
        <v>1</v>
      </c>
      <c r="AC426" s="111" t="b">
        <f t="shared" si="112"/>
        <v>1</v>
      </c>
      <c r="AD426" s="499" t="b">
        <f t="shared" si="112"/>
        <v>1</v>
      </c>
      <c r="AE426" s="499" t="b">
        <f t="shared" si="112"/>
        <v>1</v>
      </c>
      <c r="AF426" s="499" t="b">
        <f t="shared" si="112"/>
        <v>1</v>
      </c>
      <c r="AG426" s="499" t="b">
        <f t="shared" si="112"/>
        <v>1</v>
      </c>
      <c r="AH426" s="499" t="b">
        <f t="shared" si="112"/>
        <v>1</v>
      </c>
      <c r="AI426" s="499" t="b">
        <f t="shared" si="112"/>
        <v>1</v>
      </c>
      <c r="AJ426" s="499" t="b">
        <f t="shared" si="112"/>
        <v>1</v>
      </c>
      <c r="AK426" s="499" t="b">
        <f t="shared" si="112"/>
        <v>1</v>
      </c>
      <c r="AL426" s="499" t="b">
        <f t="shared" si="112"/>
        <v>1</v>
      </c>
      <c r="AM426" s="499" t="b">
        <f t="shared" si="112"/>
        <v>1</v>
      </c>
      <c r="AN426" s="499" t="b">
        <f t="shared" si="112"/>
        <v>1</v>
      </c>
      <c r="AO426" s="499" t="b">
        <f t="shared" si="112"/>
        <v>1</v>
      </c>
    </row>
    <row r="427" spans="2:43" x14ac:dyDescent="0.25">
      <c r="C427" s="82"/>
      <c r="E427" s="14"/>
      <c r="F427" s="14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</row>
    <row r="428" spans="2:43" x14ac:dyDescent="0.25">
      <c r="C428" s="82"/>
      <c r="E428" s="14" t="s">
        <v>1218</v>
      </c>
      <c r="G428" s="122" t="s">
        <v>589</v>
      </c>
      <c r="H428" s="407">
        <f>COUNTIF(J375:AO375,FALSE)</f>
        <v>0</v>
      </c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25">
      <c r="C429" s="82"/>
      <c r="E429" s="14"/>
      <c r="G429" s="122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25">
      <c r="C430" s="82"/>
      <c r="E430" s="293" t="s">
        <v>416</v>
      </c>
      <c r="G430" s="122" t="s">
        <v>589</v>
      </c>
      <c r="H430" s="407">
        <f t="array" ref="H430">SUM(IF(ISERROR(H35:AO419), 1))</f>
        <v>0</v>
      </c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25">
      <c r="C431" s="82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25">
      <c r="C432" s="82"/>
      <c r="E432" s="14" t="s">
        <v>1219</v>
      </c>
      <c r="G432" s="122" t="s">
        <v>589</v>
      </c>
      <c r="H432" s="310">
        <f>H426+H428+H430</f>
        <v>0</v>
      </c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25">
      <c r="C433" s="82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25">
      <c r="B434" s="95" t="s">
        <v>110</v>
      </c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  <c r="AC434" s="95"/>
      <c r="AD434" s="95"/>
      <c r="AE434" s="95"/>
      <c r="AF434" s="95"/>
      <c r="AG434" s="95"/>
      <c r="AH434" s="95"/>
      <c r="AI434" s="95"/>
      <c r="AJ434" s="95"/>
      <c r="AK434" s="95"/>
      <c r="AL434" s="95"/>
      <c r="AM434" s="95"/>
      <c r="AN434" s="95"/>
      <c r="AO434" s="95"/>
      <c r="AP434" s="72"/>
      <c r="AQ434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00000000-0004-0000-2000-000000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36" width="24.5703125" style="293" hidden="1" customWidth="1"/>
    <col min="337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Rounding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H178 &amp; IF(H178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746</v>
      </c>
      <c r="E9" s="293"/>
    </row>
    <row r="10" spans="1:43" x14ac:dyDescent="0.25">
      <c r="C10" s="82" t="s">
        <v>768</v>
      </c>
      <c r="E10" s="293"/>
    </row>
    <row r="12" spans="1:43" x14ac:dyDescent="0.2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25">
      <c r="C14" s="82" t="s">
        <v>769</v>
      </c>
    </row>
    <row r="16" spans="1:43" x14ac:dyDescent="0.25">
      <c r="C16" s="7" t="str">
        <f ca="1">INDEX('Version control'!$H$34:$H$60,MATCH($A$1,'Version control'!$F$34:$F$60,0),1)&amp;"-A: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96" t="s">
        <v>770</v>
      </c>
      <c r="F18" s="96"/>
    </row>
    <row r="19" spans="3:43" x14ac:dyDescent="0.25">
      <c r="E19" s="82" t="s">
        <v>807</v>
      </c>
      <c r="F19" s="98"/>
    </row>
    <row r="20" spans="3:43" x14ac:dyDescent="0.25">
      <c r="C20" s="86"/>
      <c r="F20" s="91" t="s">
        <v>134</v>
      </c>
      <c r="G20" s="91" t="s">
        <v>183</v>
      </c>
      <c r="H20" s="357"/>
      <c r="I20" s="346"/>
      <c r="J20" s="357">
        <f>'Revenue matching'!J40</f>
        <v>10.771355700294261</v>
      </c>
      <c r="K20" s="357">
        <f>'Revenue matching'!K40</f>
        <v>10.771355700294261</v>
      </c>
      <c r="L20" s="357">
        <f>'Revenue matching'!L40</f>
        <v>13.135796667877077</v>
      </c>
      <c r="M20" s="357">
        <f>'Revenue matching'!M40</f>
        <v>13.135796667877077</v>
      </c>
      <c r="N20" s="357">
        <f>'Revenue matching'!N40</f>
        <v>13.135796667877077</v>
      </c>
      <c r="O20" s="357">
        <f>'Revenue matching'!O40</f>
        <v>13.135796667877077</v>
      </c>
      <c r="P20" s="357">
        <f>'Revenue matching'!P40</f>
        <v>13.135796667877077</v>
      </c>
      <c r="Q20" s="357">
        <f>'Revenue matching'!Q40</f>
        <v>13.135796667877077</v>
      </c>
      <c r="R20" s="357">
        <f>'Revenue matching'!R40</f>
        <v>8.6777395420743506</v>
      </c>
      <c r="S20" s="357">
        <f>'Revenue matching'!S40</f>
        <v>8.6777395420743506</v>
      </c>
      <c r="T20" s="357">
        <f>'Revenue matching'!T40</f>
        <v>8.6777395420743506</v>
      </c>
      <c r="U20" s="357">
        <f>'Revenue matching'!U40</f>
        <v>8.6777395420743506</v>
      </c>
      <c r="V20" s="357">
        <f>'Revenue matching'!V40</f>
        <v>8.6777395420743506</v>
      </c>
      <c r="W20" s="357">
        <f>'Revenue matching'!W40</f>
        <v>6.9484923191344734</v>
      </c>
      <c r="X20" s="357">
        <f>'Revenue matching'!X40</f>
        <v>6.9484923191344734</v>
      </c>
      <c r="Y20" s="357">
        <f>'Revenue matching'!Y40</f>
        <v>6.9484923191344734</v>
      </c>
      <c r="Z20" s="357">
        <f>'Revenue matching'!Z40</f>
        <v>6.9484923191344734</v>
      </c>
      <c r="AA20" s="357">
        <f>'Revenue matching'!AA40</f>
        <v>6.9484923191344734</v>
      </c>
      <c r="AB20" s="357">
        <f>'Revenue matching'!AB40</f>
        <v>5.2251387742031961</v>
      </c>
      <c r="AC20" s="357">
        <f>'Revenue matching'!AC40</f>
        <v>5.2251387742031961</v>
      </c>
      <c r="AD20" s="357">
        <f>'Revenue matching'!AD40</f>
        <v>5.2251387742031961</v>
      </c>
      <c r="AE20" s="357">
        <f>'Revenue matching'!AE40</f>
        <v>5.2251387742031961</v>
      </c>
      <c r="AF20" s="357">
        <f>'Revenue matching'!AF40</f>
        <v>5.2251387742031961</v>
      </c>
      <c r="AG20" s="357">
        <f>'Revenue matching'!AG40</f>
        <v>18.755290497549847</v>
      </c>
      <c r="AH20" s="357">
        <f>'Revenue matching'!AH40</f>
        <v>-8.083502385442868</v>
      </c>
      <c r="AI20" s="357">
        <f>'Revenue matching'!AI40</f>
        <v>-7.3088931950806888</v>
      </c>
      <c r="AJ20" s="357">
        <f>'Revenue matching'!AJ40</f>
        <v>-8.083502385442868</v>
      </c>
      <c r="AK20" s="357">
        <f>'Revenue matching'!AK40</f>
        <v>-8.083502385442868</v>
      </c>
      <c r="AL20" s="357">
        <f>'Revenue matching'!AL40</f>
        <v>-7.3088931950806888</v>
      </c>
      <c r="AM20" s="357">
        <f>'Revenue matching'!AM40</f>
        <v>-7.3088931950806888</v>
      </c>
      <c r="AN20" s="357">
        <f>'Revenue matching'!AN40</f>
        <v>-5.3921382806734499</v>
      </c>
      <c r="AO20" s="357">
        <f>'Revenue matching'!AO40</f>
        <v>-5.3921382806734499</v>
      </c>
      <c r="AP20" s="348"/>
      <c r="AQ20" s="348"/>
    </row>
    <row r="21" spans="3:43" x14ac:dyDescent="0.25">
      <c r="C21" s="86"/>
      <c r="F21" s="293" t="s">
        <v>135</v>
      </c>
      <c r="G21" s="293" t="s">
        <v>183</v>
      </c>
      <c r="H21" s="415"/>
      <c r="I21" s="348"/>
      <c r="J21" s="415">
        <f>'Revenue matching'!J41</f>
        <v>1.9378384371204245</v>
      </c>
      <c r="K21" s="415">
        <f>'Revenue matching'!K41</f>
        <v>1.9378384371204245</v>
      </c>
      <c r="L21" s="415">
        <f>'Revenue matching'!L41</f>
        <v>2.3632170725283155</v>
      </c>
      <c r="M21" s="415">
        <f>'Revenue matching'!M41</f>
        <v>2.3632170725283155</v>
      </c>
      <c r="N21" s="415">
        <f>'Revenue matching'!N41</f>
        <v>2.3632170725283155</v>
      </c>
      <c r="O21" s="415">
        <f>'Revenue matching'!O41</f>
        <v>2.3632170725283155</v>
      </c>
      <c r="P21" s="415">
        <f>'Revenue matching'!P41</f>
        <v>2.3632170725283155</v>
      </c>
      <c r="Q21" s="415">
        <f>'Revenue matching'!Q41</f>
        <v>2.3632170725283155</v>
      </c>
      <c r="R21" s="415">
        <f>'Revenue matching'!R41</f>
        <v>1.4430267840727677</v>
      </c>
      <c r="S21" s="415">
        <f>'Revenue matching'!S41</f>
        <v>1.4430267840727677</v>
      </c>
      <c r="T21" s="415">
        <f>'Revenue matching'!T41</f>
        <v>1.4430267840727677</v>
      </c>
      <c r="U21" s="415">
        <f>'Revenue matching'!U41</f>
        <v>1.4430267840727677</v>
      </c>
      <c r="V21" s="415">
        <f>'Revenue matching'!V41</f>
        <v>1.4430267840727677</v>
      </c>
      <c r="W21" s="415">
        <f>'Revenue matching'!W41</f>
        <v>0.94531157810868405</v>
      </c>
      <c r="X21" s="415">
        <f>'Revenue matching'!X41</f>
        <v>0.94531157810868405</v>
      </c>
      <c r="Y21" s="415">
        <f>'Revenue matching'!Y41</f>
        <v>0.94531157810868405</v>
      </c>
      <c r="Z21" s="415">
        <f>'Revenue matching'!Z41</f>
        <v>0.94531157810868405</v>
      </c>
      <c r="AA21" s="415">
        <f>'Revenue matching'!AA41</f>
        <v>0.94531157810868405</v>
      </c>
      <c r="AB21" s="415">
        <f>'Revenue matching'!AB41</f>
        <v>0.62394643951897777</v>
      </c>
      <c r="AC21" s="415">
        <f>'Revenue matching'!AC41</f>
        <v>0.62394643951897777</v>
      </c>
      <c r="AD21" s="415">
        <f>'Revenue matching'!AD41</f>
        <v>0.62394643951897777</v>
      </c>
      <c r="AE21" s="415">
        <f>'Revenue matching'!AE41</f>
        <v>0.62394643951897777</v>
      </c>
      <c r="AF21" s="415">
        <f>'Revenue matching'!AF41</f>
        <v>0.62394643951897777</v>
      </c>
      <c r="AG21" s="415">
        <f>'Revenue matching'!AG41</f>
        <v>2.930457524346521</v>
      </c>
      <c r="AH21" s="415">
        <f>'Revenue matching'!AH41</f>
        <v>-1.4542757722352337</v>
      </c>
      <c r="AI21" s="415">
        <f>'Revenue matching'!AI41</f>
        <v>-1.2593492541418145</v>
      </c>
      <c r="AJ21" s="415">
        <f>'Revenue matching'!AJ41</f>
        <v>-1.4542757722352337</v>
      </c>
      <c r="AK21" s="415">
        <f>'Revenue matching'!AK41</f>
        <v>-1.4542757722352337</v>
      </c>
      <c r="AL21" s="415">
        <f>'Revenue matching'!AL41</f>
        <v>-1.2593492541418145</v>
      </c>
      <c r="AM21" s="415">
        <f>'Revenue matching'!AM41</f>
        <v>-1.2593492541418145</v>
      </c>
      <c r="AN21" s="415">
        <f>'Revenue matching'!AN41</f>
        <v>-0.70810900515864061</v>
      </c>
      <c r="AO21" s="415">
        <f>'Revenue matching'!AO41</f>
        <v>-0.70810900515864061</v>
      </c>
      <c r="AP21" s="348"/>
      <c r="AQ21" s="348"/>
    </row>
    <row r="22" spans="3:43" x14ac:dyDescent="0.25">
      <c r="C22" s="86"/>
      <c r="F22" s="293" t="s">
        <v>136</v>
      </c>
      <c r="G22" s="293" t="s">
        <v>183</v>
      </c>
      <c r="H22" s="415"/>
      <c r="I22" s="348"/>
      <c r="J22" s="415">
        <f>'Revenue matching'!J42</f>
        <v>0.21452572109019707</v>
      </c>
      <c r="K22" s="415">
        <f>'Revenue matching'!K42</f>
        <v>0.21452572109019707</v>
      </c>
      <c r="L22" s="415">
        <f>'Revenue matching'!L42</f>
        <v>0.26161667395252336</v>
      </c>
      <c r="M22" s="415">
        <f>'Revenue matching'!M42</f>
        <v>0.26161667395252336</v>
      </c>
      <c r="N22" s="415">
        <f>'Revenue matching'!N42</f>
        <v>0.26161667395252336</v>
      </c>
      <c r="O22" s="415">
        <f>'Revenue matching'!O42</f>
        <v>0.26161667395252336</v>
      </c>
      <c r="P22" s="415">
        <f>'Revenue matching'!P42</f>
        <v>0.26161667395252336</v>
      </c>
      <c r="Q22" s="415">
        <f>'Revenue matching'!Q42</f>
        <v>0.26161667395252336</v>
      </c>
      <c r="R22" s="415">
        <f>'Revenue matching'!R42</f>
        <v>0.16622991183513294</v>
      </c>
      <c r="S22" s="415">
        <f>'Revenue matching'!S42</f>
        <v>0.16622991183513294</v>
      </c>
      <c r="T22" s="415">
        <f>'Revenue matching'!T42</f>
        <v>0.16622991183513294</v>
      </c>
      <c r="U22" s="415">
        <f>'Revenue matching'!U42</f>
        <v>0.16622991183513294</v>
      </c>
      <c r="V22" s="415">
        <f>'Revenue matching'!V42</f>
        <v>0.16622991183513294</v>
      </c>
      <c r="W22" s="415">
        <f>'Revenue matching'!W42</f>
        <v>0.12136791889315691</v>
      </c>
      <c r="X22" s="415">
        <f>'Revenue matching'!X42</f>
        <v>0.12136791889315691</v>
      </c>
      <c r="Y22" s="415">
        <f>'Revenue matching'!Y42</f>
        <v>0.12136791889315691</v>
      </c>
      <c r="Z22" s="415">
        <f>'Revenue matching'!Z42</f>
        <v>0.12136791889315691</v>
      </c>
      <c r="AA22" s="415">
        <f>'Revenue matching'!AA42</f>
        <v>0.12136791889315691</v>
      </c>
      <c r="AB22" s="415">
        <f>'Revenue matching'!AB42</f>
        <v>7.9944079146318126E-2</v>
      </c>
      <c r="AC22" s="415">
        <f>'Revenue matching'!AC42</f>
        <v>7.9944079146318126E-2</v>
      </c>
      <c r="AD22" s="415">
        <f>'Revenue matching'!AD42</f>
        <v>7.9944079146318126E-2</v>
      </c>
      <c r="AE22" s="415">
        <f>'Revenue matching'!AE42</f>
        <v>7.9944079146318126E-2</v>
      </c>
      <c r="AF22" s="415">
        <f>'Revenue matching'!AF42</f>
        <v>7.9944079146318126E-2</v>
      </c>
      <c r="AG22" s="415">
        <f>'Revenue matching'!AG42</f>
        <v>0.59475727473723183</v>
      </c>
      <c r="AH22" s="415">
        <f>'Revenue matching'!AH42</f>
        <v>-0.16099358580499623</v>
      </c>
      <c r="AI22" s="415">
        <f>'Revenue matching'!AI42</f>
        <v>-0.14246284344281587</v>
      </c>
      <c r="AJ22" s="415">
        <f>'Revenue matching'!AJ42</f>
        <v>-0.16099358580499623</v>
      </c>
      <c r="AK22" s="415">
        <f>'Revenue matching'!AK42</f>
        <v>-0.16099358580499623</v>
      </c>
      <c r="AL22" s="415">
        <f>'Revenue matching'!AL42</f>
        <v>-0.14246284344281587</v>
      </c>
      <c r="AM22" s="415">
        <f>'Revenue matching'!AM42</f>
        <v>-0.14246284344281587</v>
      </c>
      <c r="AN22" s="415">
        <f>'Revenue matching'!AN42</f>
        <v>-8.9601370113660816E-2</v>
      </c>
      <c r="AO22" s="415">
        <f>'Revenue matching'!AO42</f>
        <v>-8.9601370113660816E-2</v>
      </c>
      <c r="AP22" s="348"/>
      <c r="AQ22" s="348"/>
    </row>
    <row r="23" spans="3:43" x14ac:dyDescent="0.25">
      <c r="C23" s="86"/>
      <c r="F23" s="293" t="s">
        <v>254</v>
      </c>
      <c r="G23" s="293" t="s">
        <v>252</v>
      </c>
      <c r="H23" s="379"/>
      <c r="J23" s="273">
        <f>'Revenue matching'!J43</f>
        <v>4.0658526232526127</v>
      </c>
      <c r="K23" s="273">
        <f>'Revenue matching'!K43</f>
        <v>0</v>
      </c>
      <c r="L23" s="273">
        <f>'Revenue matching'!L43</f>
        <v>5.2097159572486822</v>
      </c>
      <c r="M23" s="273">
        <f>'Revenue matching'!M43</f>
        <v>5.2097159572486822</v>
      </c>
      <c r="N23" s="273">
        <f>'Revenue matching'!N43</f>
        <v>5.2097159572486822</v>
      </c>
      <c r="O23" s="273">
        <f>'Revenue matching'!O43</f>
        <v>5.2097159572486822</v>
      </c>
      <c r="P23" s="273">
        <f>'Revenue matching'!P43</f>
        <v>5.2097159572486822</v>
      </c>
      <c r="Q23" s="273">
        <f>'Revenue matching'!Q43</f>
        <v>0</v>
      </c>
      <c r="R23" s="273">
        <f>'Revenue matching'!R43</f>
        <v>20.773710300729842</v>
      </c>
      <c r="S23" s="273">
        <f>'Revenue matching'!S43</f>
        <v>20.773710300729842</v>
      </c>
      <c r="T23" s="273">
        <f>'Revenue matching'!T43</f>
        <v>20.773710300729842</v>
      </c>
      <c r="U23" s="273">
        <f>'Revenue matching'!U43</f>
        <v>20.773710300729842</v>
      </c>
      <c r="V23" s="273">
        <f>'Revenue matching'!V43</f>
        <v>20.773710300729842</v>
      </c>
      <c r="W23" s="273">
        <f>'Revenue matching'!W43</f>
        <v>7.331897753198767</v>
      </c>
      <c r="X23" s="273">
        <f>'Revenue matching'!X43</f>
        <v>7.331897753198767</v>
      </c>
      <c r="Y23" s="273">
        <f>'Revenue matching'!Y43</f>
        <v>7.331897753198767</v>
      </c>
      <c r="Z23" s="273">
        <f>'Revenue matching'!Z43</f>
        <v>7.331897753198767</v>
      </c>
      <c r="AA23" s="273">
        <f>'Revenue matching'!AA43</f>
        <v>7.331897753198767</v>
      </c>
      <c r="AB23" s="273">
        <f>'Revenue matching'!AB43</f>
        <v>111.00934456389379</v>
      </c>
      <c r="AC23" s="273">
        <f>'Revenue matching'!AC43</f>
        <v>111.00934456389379</v>
      </c>
      <c r="AD23" s="273">
        <f>'Revenue matching'!AD43</f>
        <v>111.00934456389379</v>
      </c>
      <c r="AE23" s="273">
        <f>'Revenue matching'!AE43</f>
        <v>111.00934456389379</v>
      </c>
      <c r="AF23" s="273">
        <f>'Revenue matching'!AF43</f>
        <v>111.00934456389379</v>
      </c>
      <c r="AG23" s="273">
        <f>'Revenue matching'!AG43</f>
        <v>0</v>
      </c>
      <c r="AH23" s="273">
        <f>'Revenue matching'!AH43</f>
        <v>0</v>
      </c>
      <c r="AI23" s="273">
        <f>'Revenue matching'!AI43</f>
        <v>0</v>
      </c>
      <c r="AJ23" s="273">
        <f>'Revenue matching'!AJ43</f>
        <v>0</v>
      </c>
      <c r="AK23" s="273">
        <f>'Revenue matching'!AK43</f>
        <v>0</v>
      </c>
      <c r="AL23" s="273">
        <f>'Revenue matching'!AL43</f>
        <v>0</v>
      </c>
      <c r="AM23" s="273">
        <f>'Revenue matching'!AM43</f>
        <v>0</v>
      </c>
      <c r="AN23" s="273">
        <f>'Revenue matching'!AN43</f>
        <v>81.061112421377317</v>
      </c>
      <c r="AO23" s="273">
        <f>'Revenue matching'!AO43</f>
        <v>81.061112421377317</v>
      </c>
    </row>
    <row r="24" spans="3:43" x14ac:dyDescent="0.25">
      <c r="C24" s="86"/>
      <c r="F24" s="293" t="s">
        <v>255</v>
      </c>
      <c r="G24" s="293" t="s">
        <v>251</v>
      </c>
      <c r="H24" s="379"/>
      <c r="J24" s="273">
        <f>'Revenue matching'!J44</f>
        <v>0</v>
      </c>
      <c r="K24" s="273">
        <f>'Revenue matching'!K44</f>
        <v>0</v>
      </c>
      <c r="L24" s="273">
        <f>'Revenue matching'!L44</f>
        <v>0</v>
      </c>
      <c r="M24" s="273">
        <f>'Revenue matching'!M44</f>
        <v>0</v>
      </c>
      <c r="N24" s="273">
        <f>'Revenue matching'!N44</f>
        <v>0</v>
      </c>
      <c r="O24" s="273">
        <f>'Revenue matching'!O44</f>
        <v>0</v>
      </c>
      <c r="P24" s="273">
        <f>'Revenue matching'!P44</f>
        <v>0</v>
      </c>
      <c r="Q24" s="273">
        <f>'Revenue matching'!Q44</f>
        <v>0</v>
      </c>
      <c r="R24" s="273">
        <f>'Revenue matching'!R44</f>
        <v>2.9246805518159871</v>
      </c>
      <c r="S24" s="273">
        <f>'Revenue matching'!S44</f>
        <v>2.9246805518159871</v>
      </c>
      <c r="T24" s="273">
        <f>'Revenue matching'!T44</f>
        <v>2.9246805518159871</v>
      </c>
      <c r="U24" s="273">
        <f>'Revenue matching'!U44</f>
        <v>2.9246805518159871</v>
      </c>
      <c r="V24" s="273">
        <f>'Revenue matching'!V44</f>
        <v>2.9246805518159871</v>
      </c>
      <c r="W24" s="273">
        <f>'Revenue matching'!W44</f>
        <v>5.7785379748713108</v>
      </c>
      <c r="X24" s="273">
        <f>'Revenue matching'!X44</f>
        <v>5.7785379748713108</v>
      </c>
      <c r="Y24" s="273">
        <f>'Revenue matching'!Y44</f>
        <v>5.7785379748713108</v>
      </c>
      <c r="Z24" s="273">
        <f>'Revenue matching'!Z44</f>
        <v>5.7785379748713108</v>
      </c>
      <c r="AA24" s="273">
        <f>'Revenue matching'!AA44</f>
        <v>5.7785379748713108</v>
      </c>
      <c r="AB24" s="273">
        <f>'Revenue matching'!AB44</f>
        <v>4.6095828572289328</v>
      </c>
      <c r="AC24" s="273">
        <f>'Revenue matching'!AC44</f>
        <v>4.6095828572289328</v>
      </c>
      <c r="AD24" s="273">
        <f>'Revenue matching'!AD44</f>
        <v>4.6095828572289328</v>
      </c>
      <c r="AE24" s="273">
        <f>'Revenue matching'!AE44</f>
        <v>4.6095828572289328</v>
      </c>
      <c r="AF24" s="273">
        <f>'Revenue matching'!AF44</f>
        <v>4.6095828572289328</v>
      </c>
      <c r="AG24" s="273">
        <f>'Revenue matching'!AG44</f>
        <v>0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25">
      <c r="C25" s="86"/>
      <c r="F25" s="293" t="s">
        <v>256</v>
      </c>
      <c r="G25" s="293" t="s">
        <v>251</v>
      </c>
      <c r="H25" s="379"/>
      <c r="J25" s="273">
        <f>'Revenue matching'!J45</f>
        <v>0</v>
      </c>
      <c r="K25" s="273">
        <f>'Revenue matching'!K45</f>
        <v>0</v>
      </c>
      <c r="L25" s="273">
        <f>'Revenue matching'!L45</f>
        <v>0</v>
      </c>
      <c r="M25" s="273">
        <f>'Revenue matching'!M45</f>
        <v>0</v>
      </c>
      <c r="N25" s="273">
        <f>'Revenue matching'!N45</f>
        <v>0</v>
      </c>
      <c r="O25" s="273">
        <f>'Revenue matching'!O45</f>
        <v>0</v>
      </c>
      <c r="P25" s="273">
        <f>'Revenue matching'!P45</f>
        <v>0</v>
      </c>
      <c r="Q25" s="273">
        <f>'Revenue matching'!Q45</f>
        <v>0</v>
      </c>
      <c r="R25" s="273">
        <f>'Revenue matching'!R45</f>
        <v>4.9763773941978364</v>
      </c>
      <c r="S25" s="273">
        <f>'Revenue matching'!S45</f>
        <v>4.9763773941978364</v>
      </c>
      <c r="T25" s="273">
        <f>'Revenue matching'!T45</f>
        <v>4.9763773941978364</v>
      </c>
      <c r="U25" s="273">
        <f>'Revenue matching'!U45</f>
        <v>4.9763773941978364</v>
      </c>
      <c r="V25" s="273">
        <f>'Revenue matching'!V45</f>
        <v>4.9763773941978364</v>
      </c>
      <c r="W25" s="273">
        <f>'Revenue matching'!W45</f>
        <v>7.8192629686414357</v>
      </c>
      <c r="X25" s="273">
        <f>'Revenue matching'!X45</f>
        <v>7.8192629686414357</v>
      </c>
      <c r="Y25" s="273">
        <f>'Revenue matching'!Y45</f>
        <v>7.8192629686414357</v>
      </c>
      <c r="Z25" s="273">
        <f>'Revenue matching'!Z45</f>
        <v>7.8192629686414357</v>
      </c>
      <c r="AA25" s="273">
        <f>'Revenue matching'!AA45</f>
        <v>7.8192629686414357</v>
      </c>
      <c r="AB25" s="273">
        <f>'Revenue matching'!AB45</f>
        <v>7.2778427537122079</v>
      </c>
      <c r="AC25" s="273">
        <f>'Revenue matching'!AC45</f>
        <v>7.2778427537122079</v>
      </c>
      <c r="AD25" s="273">
        <f>'Revenue matching'!AD45</f>
        <v>7.2778427537122079</v>
      </c>
      <c r="AE25" s="273">
        <f>'Revenue matching'!AE45</f>
        <v>7.2778427537122079</v>
      </c>
      <c r="AF25" s="273">
        <f>'Revenue matching'!AF45</f>
        <v>7.2778427537122079</v>
      </c>
      <c r="AG25" s="273">
        <f>'Revenue matching'!AG45</f>
        <v>0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25">
      <c r="C26" s="86"/>
      <c r="F26" s="93" t="s">
        <v>257</v>
      </c>
      <c r="G26" s="93" t="s">
        <v>258</v>
      </c>
      <c r="H26" s="360"/>
      <c r="I26" s="350"/>
      <c r="J26" s="360">
        <f>'Revenue matching'!J46</f>
        <v>0</v>
      </c>
      <c r="K26" s="360">
        <f>'Revenue matching'!K46</f>
        <v>0</v>
      </c>
      <c r="L26" s="360">
        <f>'Revenue matching'!L46</f>
        <v>0</v>
      </c>
      <c r="M26" s="360">
        <f>'Revenue matching'!M46</f>
        <v>0</v>
      </c>
      <c r="N26" s="360">
        <f>'Revenue matching'!N46</f>
        <v>0</v>
      </c>
      <c r="O26" s="360">
        <f>'Revenue matching'!O46</f>
        <v>0</v>
      </c>
      <c r="P26" s="360">
        <f>'Revenue matching'!P46</f>
        <v>0</v>
      </c>
      <c r="Q26" s="360">
        <f>'Revenue matching'!Q46</f>
        <v>0</v>
      </c>
      <c r="R26" s="360">
        <f>'Revenue matching'!R46</f>
        <v>0.43526962220804583</v>
      </c>
      <c r="S26" s="360">
        <f>'Revenue matching'!S46</f>
        <v>0.43526962220804583</v>
      </c>
      <c r="T26" s="360">
        <f>'Revenue matching'!T46</f>
        <v>0.43526962220804583</v>
      </c>
      <c r="U26" s="360">
        <f>'Revenue matching'!U46</f>
        <v>0.43526962220804583</v>
      </c>
      <c r="V26" s="360">
        <f>'Revenue matching'!V46</f>
        <v>0.43526962220804583</v>
      </c>
      <c r="W26" s="360">
        <f>'Revenue matching'!W46</f>
        <v>0.28980193378804925</v>
      </c>
      <c r="X26" s="360">
        <f>'Revenue matching'!X46</f>
        <v>0.28980193378804925</v>
      </c>
      <c r="Y26" s="360">
        <f>'Revenue matching'!Y46</f>
        <v>0.28980193378804925</v>
      </c>
      <c r="Z26" s="360">
        <f>'Revenue matching'!Z46</f>
        <v>0.28980193378804925</v>
      </c>
      <c r="AA26" s="360">
        <f>'Revenue matching'!AA46</f>
        <v>0.28980193378804925</v>
      </c>
      <c r="AB26" s="360">
        <f>'Revenue matching'!AB46</f>
        <v>0.19257390160279983</v>
      </c>
      <c r="AC26" s="360">
        <f>'Revenue matching'!AC46</f>
        <v>0.19257390160279983</v>
      </c>
      <c r="AD26" s="360">
        <f>'Revenue matching'!AD46</f>
        <v>0.19257390160279983</v>
      </c>
      <c r="AE26" s="360">
        <f>'Revenue matching'!AE46</f>
        <v>0.19257390160279983</v>
      </c>
      <c r="AF26" s="360">
        <f>'Revenue matching'!AF46</f>
        <v>0.19257390160279983</v>
      </c>
      <c r="AG26" s="360">
        <f>'Revenue matching'!AG46</f>
        <v>0</v>
      </c>
      <c r="AH26" s="360">
        <f>'Revenue matching'!AH46</f>
        <v>0</v>
      </c>
      <c r="AI26" s="360">
        <f>'Revenue matching'!AI46</f>
        <v>0</v>
      </c>
      <c r="AJ26" s="360">
        <f>'Revenue matching'!AJ46</f>
        <v>0.37290703611975162</v>
      </c>
      <c r="AK26" s="360">
        <f>'Revenue matching'!AK46</f>
        <v>0</v>
      </c>
      <c r="AL26" s="360">
        <f>'Revenue matching'!AL46</f>
        <v>0.3436237562338107</v>
      </c>
      <c r="AM26" s="360">
        <f>'Revenue matching'!AM46</f>
        <v>0</v>
      </c>
      <c r="AN26" s="360">
        <f>'Revenue matching'!AN46</f>
        <v>0.26472909957480251</v>
      </c>
      <c r="AO26" s="360">
        <f>'Revenue matching'!AO46</f>
        <v>0</v>
      </c>
      <c r="AP26" s="348"/>
      <c r="AQ26" s="348"/>
    </row>
    <row r="27" spans="3:43" x14ac:dyDescent="0.2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25">
      <c r="C28" s="7" t="str">
        <f ca="1">INDEX('Version control'!$H$34:$H$60,MATCH($A$1,'Version control'!$F$34:$F$60,0),1)&amp;"-B: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25">
      <c r="E30" s="86" t="s">
        <v>1227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25">
      <c r="E31" s="82" t="s">
        <v>413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25">
      <c r="E32" s="86"/>
      <c r="F32" s="91" t="s">
        <v>134</v>
      </c>
      <c r="G32" s="91" t="s">
        <v>183</v>
      </c>
      <c r="H32" s="357"/>
      <c r="I32" s="346"/>
      <c r="J32" s="347">
        <f>'Revenue matching'!J412</f>
        <v>0</v>
      </c>
      <c r="K32" s="347">
        <f>'Revenue matching'!K412</f>
        <v>0</v>
      </c>
      <c r="L32" s="347">
        <f>'Revenue matching'!L412</f>
        <v>0</v>
      </c>
      <c r="M32" s="347">
        <f>'Revenue matching'!M412</f>
        <v>0</v>
      </c>
      <c r="N32" s="347">
        <f>'Revenue matching'!N412</f>
        <v>0</v>
      </c>
      <c r="O32" s="347">
        <f>'Revenue matching'!O412</f>
        <v>0</v>
      </c>
      <c r="P32" s="347">
        <f>'Revenue matching'!P412</f>
        <v>0</v>
      </c>
      <c r="Q32" s="347">
        <f>'Revenue matching'!Q412</f>
        <v>0</v>
      </c>
      <c r="R32" s="347">
        <f>'Revenue matching'!R412</f>
        <v>0</v>
      </c>
      <c r="S32" s="347">
        <f>'Revenue matching'!S412</f>
        <v>0</v>
      </c>
      <c r="T32" s="347">
        <f>'Revenue matching'!T412</f>
        <v>0</v>
      </c>
      <c r="U32" s="347">
        <f>'Revenue matching'!U412</f>
        <v>0</v>
      </c>
      <c r="V32" s="347">
        <f>'Revenue matching'!V412</f>
        <v>0</v>
      </c>
      <c r="W32" s="347">
        <f>'Revenue matching'!W412</f>
        <v>0</v>
      </c>
      <c r="X32" s="347">
        <f>'Revenue matching'!X412</f>
        <v>0</v>
      </c>
      <c r="Y32" s="347">
        <f>'Revenue matching'!Y412</f>
        <v>0</v>
      </c>
      <c r="Z32" s="347">
        <f>'Revenue matching'!Z412</f>
        <v>0</v>
      </c>
      <c r="AA32" s="347">
        <f>'Revenue matching'!AA412</f>
        <v>0</v>
      </c>
      <c r="AB32" s="347">
        <f>'Revenue matching'!AB412</f>
        <v>0</v>
      </c>
      <c r="AC32" s="347">
        <f>'Revenue matching'!AC412</f>
        <v>0</v>
      </c>
      <c r="AD32" s="347">
        <f>'Revenue matching'!AD412</f>
        <v>0</v>
      </c>
      <c r="AE32" s="347">
        <f>'Revenue matching'!AE412</f>
        <v>0</v>
      </c>
      <c r="AF32" s="347">
        <f>'Revenue matching'!AF412</f>
        <v>0</v>
      </c>
      <c r="AG32" s="347">
        <f>'Revenue matching'!AG412</f>
        <v>1.1469702390773682</v>
      </c>
      <c r="AH32" s="347">
        <f>'Revenue matching'!AH412</f>
        <v>0</v>
      </c>
      <c r="AI32" s="347">
        <f>'Revenue matching'!AI412</f>
        <v>0</v>
      </c>
      <c r="AJ32" s="347">
        <f>'Revenue matching'!AJ412</f>
        <v>0</v>
      </c>
      <c r="AK32" s="347">
        <f>'Revenue matching'!AK412</f>
        <v>0</v>
      </c>
      <c r="AL32" s="347">
        <f>'Revenue matching'!AL412</f>
        <v>0</v>
      </c>
      <c r="AM32" s="347">
        <f>'Revenue matching'!AM412</f>
        <v>0</v>
      </c>
      <c r="AN32" s="347">
        <f>'Revenue matching'!AN412</f>
        <v>0</v>
      </c>
      <c r="AO32" s="347">
        <f>'Revenue matching'!AO412</f>
        <v>0</v>
      </c>
      <c r="AP32" s="348"/>
      <c r="AQ32" s="348"/>
    </row>
    <row r="33" spans="3:43" x14ac:dyDescent="0.25">
      <c r="E33" s="86"/>
      <c r="F33" s="293" t="s">
        <v>135</v>
      </c>
      <c r="G33" s="293" t="s">
        <v>183</v>
      </c>
      <c r="H33" s="415"/>
      <c r="I33" s="348"/>
      <c r="J33" s="349">
        <f>'Revenue matching'!J413</f>
        <v>0</v>
      </c>
      <c r="K33" s="349">
        <f>'Revenue matching'!K413</f>
        <v>0</v>
      </c>
      <c r="L33" s="349">
        <f>'Revenue matching'!L413</f>
        <v>0</v>
      </c>
      <c r="M33" s="349">
        <f>'Revenue matching'!M413</f>
        <v>0</v>
      </c>
      <c r="N33" s="349">
        <f>'Revenue matching'!N413</f>
        <v>0</v>
      </c>
      <c r="O33" s="349">
        <f>'Revenue matching'!O413</f>
        <v>0</v>
      </c>
      <c r="P33" s="349">
        <f>'Revenue matching'!P413</f>
        <v>0</v>
      </c>
      <c r="Q33" s="349">
        <f>'Revenue matching'!Q413</f>
        <v>0</v>
      </c>
      <c r="R33" s="349">
        <f>'Revenue matching'!R413</f>
        <v>0</v>
      </c>
      <c r="S33" s="349">
        <f>'Revenue matching'!S413</f>
        <v>0</v>
      </c>
      <c r="T33" s="349">
        <f>'Revenue matching'!T413</f>
        <v>0</v>
      </c>
      <c r="U33" s="349">
        <f>'Revenue matching'!U413</f>
        <v>0</v>
      </c>
      <c r="V33" s="349">
        <f>'Revenue matching'!V413</f>
        <v>0</v>
      </c>
      <c r="W33" s="349">
        <f>'Revenue matching'!W413</f>
        <v>0</v>
      </c>
      <c r="X33" s="349">
        <f>'Revenue matching'!X413</f>
        <v>0</v>
      </c>
      <c r="Y33" s="349">
        <f>'Revenue matching'!Y413</f>
        <v>0</v>
      </c>
      <c r="Z33" s="349">
        <f>'Revenue matching'!Z413</f>
        <v>0</v>
      </c>
      <c r="AA33" s="349">
        <f>'Revenue matching'!AA413</f>
        <v>0</v>
      </c>
      <c r="AB33" s="349">
        <f>'Revenue matching'!AB413</f>
        <v>0</v>
      </c>
      <c r="AC33" s="349">
        <f>'Revenue matching'!AC413</f>
        <v>0</v>
      </c>
      <c r="AD33" s="349">
        <f>'Revenue matching'!AD413</f>
        <v>0</v>
      </c>
      <c r="AE33" s="349">
        <f>'Revenue matching'!AE413</f>
        <v>0</v>
      </c>
      <c r="AF33" s="349">
        <f>'Revenue matching'!AF413</f>
        <v>0</v>
      </c>
      <c r="AG33" s="349">
        <f>'Revenue matching'!AG413</f>
        <v>1.1469702390773682</v>
      </c>
      <c r="AH33" s="349">
        <f>'Revenue matching'!AH413</f>
        <v>0</v>
      </c>
      <c r="AI33" s="349">
        <f>'Revenue matching'!AI413</f>
        <v>0</v>
      </c>
      <c r="AJ33" s="349">
        <f>'Revenue matching'!AJ413</f>
        <v>0</v>
      </c>
      <c r="AK33" s="349">
        <f>'Revenue matching'!AK413</f>
        <v>0</v>
      </c>
      <c r="AL33" s="349">
        <f>'Revenue matching'!AL413</f>
        <v>0</v>
      </c>
      <c r="AM33" s="349">
        <f>'Revenue matching'!AM413</f>
        <v>0</v>
      </c>
      <c r="AN33" s="349">
        <f>'Revenue matching'!AN413</f>
        <v>0</v>
      </c>
      <c r="AO33" s="349">
        <f>'Revenue matching'!AO413</f>
        <v>0</v>
      </c>
      <c r="AP33" s="348"/>
      <c r="AQ33" s="348"/>
    </row>
    <row r="34" spans="3:43" x14ac:dyDescent="0.25">
      <c r="E34" s="86"/>
      <c r="F34" s="293" t="s">
        <v>136</v>
      </c>
      <c r="G34" s="293" t="s">
        <v>183</v>
      </c>
      <c r="H34" s="415"/>
      <c r="I34" s="348"/>
      <c r="J34" s="349">
        <f>'Revenue matching'!J414</f>
        <v>0</v>
      </c>
      <c r="K34" s="349">
        <f>'Revenue matching'!K414</f>
        <v>0</v>
      </c>
      <c r="L34" s="349">
        <f>'Revenue matching'!L414</f>
        <v>0</v>
      </c>
      <c r="M34" s="349">
        <f>'Revenue matching'!M414</f>
        <v>0</v>
      </c>
      <c r="N34" s="349">
        <f>'Revenue matching'!N414</f>
        <v>0</v>
      </c>
      <c r="O34" s="349">
        <f>'Revenue matching'!O414</f>
        <v>0</v>
      </c>
      <c r="P34" s="349">
        <f>'Revenue matching'!P414</f>
        <v>0</v>
      </c>
      <c r="Q34" s="349">
        <f>'Revenue matching'!Q414</f>
        <v>0</v>
      </c>
      <c r="R34" s="349">
        <f>'Revenue matching'!R414</f>
        <v>0</v>
      </c>
      <c r="S34" s="349">
        <f>'Revenue matching'!S414</f>
        <v>0</v>
      </c>
      <c r="T34" s="349">
        <f>'Revenue matching'!T414</f>
        <v>0</v>
      </c>
      <c r="U34" s="349">
        <f>'Revenue matching'!U414</f>
        <v>0</v>
      </c>
      <c r="V34" s="349">
        <f>'Revenue matching'!V414</f>
        <v>0</v>
      </c>
      <c r="W34" s="349">
        <f>'Revenue matching'!W414</f>
        <v>0</v>
      </c>
      <c r="X34" s="349">
        <f>'Revenue matching'!X414</f>
        <v>0</v>
      </c>
      <c r="Y34" s="349">
        <f>'Revenue matching'!Y414</f>
        <v>0</v>
      </c>
      <c r="Z34" s="349">
        <f>'Revenue matching'!Z414</f>
        <v>0</v>
      </c>
      <c r="AA34" s="349">
        <f>'Revenue matching'!AA414</f>
        <v>0</v>
      </c>
      <c r="AB34" s="349">
        <f>'Revenue matching'!AB414</f>
        <v>0</v>
      </c>
      <c r="AC34" s="349">
        <f>'Revenue matching'!AC414</f>
        <v>0</v>
      </c>
      <c r="AD34" s="349">
        <f>'Revenue matching'!AD414</f>
        <v>0</v>
      </c>
      <c r="AE34" s="349">
        <f>'Revenue matching'!AE414</f>
        <v>0</v>
      </c>
      <c r="AF34" s="349">
        <f>'Revenue matching'!AF414</f>
        <v>0</v>
      </c>
      <c r="AG34" s="349">
        <f>'Revenue matching'!AG414</f>
        <v>1.1469702390773682</v>
      </c>
      <c r="AH34" s="349">
        <f>'Revenue matching'!AH414</f>
        <v>0</v>
      </c>
      <c r="AI34" s="349">
        <f>'Revenue matching'!AI414</f>
        <v>0</v>
      </c>
      <c r="AJ34" s="349">
        <f>'Revenue matching'!AJ414</f>
        <v>0</v>
      </c>
      <c r="AK34" s="349">
        <f>'Revenue matching'!AK414</f>
        <v>0</v>
      </c>
      <c r="AL34" s="349">
        <f>'Revenue matching'!AL414</f>
        <v>0</v>
      </c>
      <c r="AM34" s="349">
        <f>'Revenue matching'!AM414</f>
        <v>0</v>
      </c>
      <c r="AN34" s="349">
        <f>'Revenue matching'!AN414</f>
        <v>0</v>
      </c>
      <c r="AO34" s="349">
        <f>'Revenue matching'!AO414</f>
        <v>0</v>
      </c>
      <c r="AP34" s="348"/>
      <c r="AQ34" s="348"/>
    </row>
    <row r="35" spans="3:43" x14ac:dyDescent="0.25">
      <c r="E35" s="86"/>
      <c r="F35" s="293" t="s">
        <v>254</v>
      </c>
      <c r="G35" s="293" t="s">
        <v>252</v>
      </c>
      <c r="H35" s="379"/>
      <c r="J35" s="349">
        <f>'Revenue matching'!J415</f>
        <v>11.428363048859264</v>
      </c>
      <c r="K35" s="349">
        <f>'Revenue matching'!K415</f>
        <v>0</v>
      </c>
      <c r="L35" s="349">
        <f>'Revenue matching'!L415</f>
        <v>0</v>
      </c>
      <c r="M35" s="349">
        <f>'Revenue matching'!M415</f>
        <v>4.0764640239440233</v>
      </c>
      <c r="N35" s="349">
        <f>'Revenue matching'!N415</f>
        <v>22.03177001375656</v>
      </c>
      <c r="O35" s="349">
        <f>'Revenue matching'!O415</f>
        <v>54.585309031635909</v>
      </c>
      <c r="P35" s="349">
        <f>'Revenue matching'!P415</f>
        <v>176.04897990344932</v>
      </c>
      <c r="Q35" s="349">
        <f>'Revenue matching'!Q415</f>
        <v>0</v>
      </c>
      <c r="R35" s="349">
        <f>'Revenue matching'!R415</f>
        <v>0</v>
      </c>
      <c r="S35" s="349">
        <f>'Revenue matching'!S415</f>
        <v>265.90721038784602</v>
      </c>
      <c r="T35" s="349">
        <f>'Revenue matching'!T415</f>
        <v>611.67641471089337</v>
      </c>
      <c r="U35" s="349">
        <f>'Revenue matching'!U415</f>
        <v>1030.343540239722</v>
      </c>
      <c r="V35" s="349">
        <f>'Revenue matching'!V415</f>
        <v>2244.9085203741902</v>
      </c>
      <c r="W35" s="349">
        <f>'Revenue matching'!W415</f>
        <v>0</v>
      </c>
      <c r="X35" s="349">
        <f>'Revenue matching'!X415</f>
        <v>265.90721038784602</v>
      </c>
      <c r="Y35" s="349">
        <f>'Revenue matching'!Y415</f>
        <v>611.67641471089325</v>
      </c>
      <c r="Z35" s="349">
        <f>'Revenue matching'!Z415</f>
        <v>1030.3435402397217</v>
      </c>
      <c r="AA35" s="349">
        <f>'Revenue matching'!AA415</f>
        <v>2244.9085203741911</v>
      </c>
      <c r="AB35" s="349">
        <f>'Revenue matching'!AB415</f>
        <v>0</v>
      </c>
      <c r="AC35" s="349">
        <f>'Revenue matching'!AC415</f>
        <v>1519.6661522789909</v>
      </c>
      <c r="AD35" s="349">
        <f>'Revenue matching'!AD415</f>
        <v>5652.7553374897034</v>
      </c>
      <c r="AE35" s="349">
        <f>'Revenue matching'!AE415</f>
        <v>11448.67947101268</v>
      </c>
      <c r="AF35" s="349">
        <f>'Revenue matching'!AF415</f>
        <v>21512.883120666469</v>
      </c>
      <c r="AG35" s="349">
        <f>'Revenue matching'!AG415</f>
        <v>0</v>
      </c>
      <c r="AH35" s="349">
        <f>'Revenue matching'!AH415</f>
        <v>0</v>
      </c>
      <c r="AI35" s="349">
        <f>'Revenue matching'!AI415</f>
        <v>0</v>
      </c>
      <c r="AJ35" s="349">
        <f>'Revenue matching'!AJ415</f>
        <v>0</v>
      </c>
      <c r="AK35" s="349">
        <f>'Revenue matching'!AK415</f>
        <v>0</v>
      </c>
      <c r="AL35" s="349">
        <f>'Revenue matching'!AL415</f>
        <v>0</v>
      </c>
      <c r="AM35" s="349">
        <f>'Revenue matching'!AM415</f>
        <v>0</v>
      </c>
      <c r="AN35" s="349">
        <f>'Revenue matching'!AN415</f>
        <v>0</v>
      </c>
      <c r="AO35" s="349">
        <f>'Revenue matching'!AO415</f>
        <v>0</v>
      </c>
    </row>
    <row r="36" spans="3:43" x14ac:dyDescent="0.25">
      <c r="E36" s="86"/>
      <c r="F36" s="293" t="s">
        <v>255</v>
      </c>
      <c r="G36" s="293" t="s">
        <v>251</v>
      </c>
      <c r="H36" s="379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25">
      <c r="E37" s="86"/>
      <c r="F37" s="293" t="s">
        <v>256</v>
      </c>
      <c r="G37" s="293" t="s">
        <v>251</v>
      </c>
      <c r="H37" s="3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25">
      <c r="E38" s="86"/>
      <c r="F38" s="93" t="s">
        <v>257</v>
      </c>
      <c r="G38" s="93" t="s">
        <v>258</v>
      </c>
      <c r="H38" s="360"/>
      <c r="I38" s="350"/>
      <c r="J38" s="355"/>
      <c r="K38" s="355"/>
      <c r="L38" s="355"/>
      <c r="M38" s="355"/>
      <c r="N38" s="355"/>
      <c r="O38" s="355"/>
      <c r="P38" s="355"/>
      <c r="Q38" s="355"/>
      <c r="R38" s="355"/>
      <c r="S38" s="355"/>
      <c r="T38" s="355"/>
      <c r="U38" s="355"/>
      <c r="V38" s="355"/>
      <c r="W38" s="355"/>
      <c r="X38" s="355"/>
      <c r="Y38" s="355"/>
      <c r="Z38" s="355"/>
      <c r="AA38" s="355"/>
      <c r="AB38" s="355"/>
      <c r="AC38" s="355"/>
      <c r="AD38" s="355"/>
      <c r="AE38" s="355"/>
      <c r="AF38" s="355"/>
      <c r="AG38" s="355"/>
      <c r="AH38" s="355"/>
      <c r="AI38" s="355"/>
      <c r="AJ38" s="355"/>
      <c r="AK38" s="355"/>
      <c r="AL38" s="355"/>
      <c r="AM38" s="355"/>
      <c r="AN38" s="355"/>
      <c r="AO38" s="355"/>
      <c r="AP38" s="348"/>
      <c r="AQ38" s="348"/>
    </row>
    <row r="39" spans="3:43" x14ac:dyDescent="0.25">
      <c r="D39" s="86"/>
      <c r="E39" s="293"/>
    </row>
    <row r="40" spans="3:43" x14ac:dyDescent="0.25">
      <c r="C40" s="7" t="str">
        <f ca="1">INDEX('Version control'!$H$34:$H$60,MATCH($A$1,'Version control'!$F$34:$F$60,0),1)&amp;"-C: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25">
      <c r="E42" s="86" t="s">
        <v>974</v>
      </c>
    </row>
    <row r="43" spans="3:43" x14ac:dyDescent="0.25">
      <c r="E43" s="82" t="s">
        <v>983</v>
      </c>
    </row>
    <row r="44" spans="3:43" x14ac:dyDescent="0.25">
      <c r="E44" s="86"/>
      <c r="F44" s="91" t="s">
        <v>134</v>
      </c>
      <c r="G44" s="91" t="s">
        <v>183</v>
      </c>
      <c r="H44" s="357"/>
      <c r="I44" s="346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25">
      <c r="E45" s="86"/>
      <c r="F45" s="293" t="s">
        <v>135</v>
      </c>
      <c r="G45" s="293" t="s">
        <v>183</v>
      </c>
      <c r="H45" s="415"/>
      <c r="I45" s="348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25">
      <c r="E46" s="86"/>
      <c r="F46" s="293" t="s">
        <v>136</v>
      </c>
      <c r="G46" s="293" t="s">
        <v>183</v>
      </c>
      <c r="H46" s="415"/>
      <c r="I46" s="348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25">
      <c r="E47" s="86"/>
      <c r="F47" s="293" t="s">
        <v>254</v>
      </c>
      <c r="G47" s="293" t="s">
        <v>252</v>
      </c>
      <c r="H47" s="379"/>
      <c r="J47" s="256">
        <f>'Revenue matching'!J48</f>
        <v>0.14839665501371263</v>
      </c>
      <c r="K47" s="256">
        <f>'Revenue matching'!K48</f>
        <v>0</v>
      </c>
      <c r="L47" s="256">
        <f>'Revenue matching'!L48</f>
        <v>6.6726512238863514E-2</v>
      </c>
      <c r="M47" s="256">
        <f>'Revenue matching'!M48</f>
        <v>6.6726512238863514E-2</v>
      </c>
      <c r="N47" s="256">
        <f>'Revenue matching'!N48</f>
        <v>6.6726512238863514E-2</v>
      </c>
      <c r="O47" s="256">
        <f>'Revenue matching'!O48</f>
        <v>6.6726512238863514E-2</v>
      </c>
      <c r="P47" s="256">
        <f>'Revenue matching'!P48</f>
        <v>6.6726512238863514E-2</v>
      </c>
      <c r="Q47" s="256">
        <f>'Revenue matching'!Q48</f>
        <v>0</v>
      </c>
      <c r="R47" s="256">
        <f>'Revenue matching'!R48</f>
        <v>6.6726512238863514E-2</v>
      </c>
      <c r="S47" s="256">
        <f>'Revenue matching'!S48</f>
        <v>6.6726512238863514E-2</v>
      </c>
      <c r="T47" s="256">
        <f>'Revenue matching'!T48</f>
        <v>6.6726512238863514E-2</v>
      </c>
      <c r="U47" s="256">
        <f>'Revenue matching'!U48</f>
        <v>6.6726512238863514E-2</v>
      </c>
      <c r="V47" s="256">
        <f>'Revenue matching'!V48</f>
        <v>6.6726512238863514E-2</v>
      </c>
      <c r="W47" s="256">
        <f>'Revenue matching'!W48</f>
        <v>6.6726512238863514E-2</v>
      </c>
      <c r="X47" s="256">
        <f>'Revenue matching'!X48</f>
        <v>6.6726512238863514E-2</v>
      </c>
      <c r="Y47" s="256">
        <f>'Revenue matching'!Y48</f>
        <v>6.6726512238863514E-2</v>
      </c>
      <c r="Z47" s="256">
        <f>'Revenue matching'!Z48</f>
        <v>6.6726512238863514E-2</v>
      </c>
      <c r="AA47" s="256">
        <f>'Revenue matching'!AA48</f>
        <v>6.6726512238863514E-2</v>
      </c>
      <c r="AB47" s="256">
        <f>'Revenue matching'!AB48</f>
        <v>6.6726512238863514E-2</v>
      </c>
      <c r="AC47" s="256">
        <f>'Revenue matching'!AC48</f>
        <v>6.6726512238863514E-2</v>
      </c>
      <c r="AD47" s="256">
        <f>'Revenue matching'!AD48</f>
        <v>6.6726512238863514E-2</v>
      </c>
      <c r="AE47" s="256">
        <f>'Revenue matching'!AE48</f>
        <v>6.6726512238863514E-2</v>
      </c>
      <c r="AF47" s="256">
        <f>'Revenue matching'!AF48</f>
        <v>6.6726512238863514E-2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25">
      <c r="E48" s="86"/>
      <c r="F48" s="293" t="s">
        <v>255</v>
      </c>
      <c r="G48" s="293" t="s">
        <v>251</v>
      </c>
      <c r="H48" s="3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25">
      <c r="E49" s="86"/>
      <c r="F49" s="293" t="s">
        <v>256</v>
      </c>
      <c r="G49" s="293" t="s">
        <v>251</v>
      </c>
      <c r="H49" s="3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25">
      <c r="E50" s="86"/>
      <c r="F50" s="93" t="s">
        <v>257</v>
      </c>
      <c r="G50" s="93" t="s">
        <v>258</v>
      </c>
      <c r="H50" s="360"/>
      <c r="I50" s="350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5"/>
      <c r="AF50" s="355"/>
      <c r="AG50" s="355"/>
      <c r="AH50" s="355"/>
      <c r="AI50" s="355"/>
      <c r="AJ50" s="355"/>
      <c r="AK50" s="355"/>
      <c r="AL50" s="355"/>
      <c r="AM50" s="355"/>
      <c r="AN50" s="355"/>
      <c r="AO50" s="355"/>
    </row>
    <row r="51" spans="3:43" x14ac:dyDescent="0.25">
      <c r="D51" s="86"/>
      <c r="E51" s="293"/>
    </row>
    <row r="52" spans="3:43" x14ac:dyDescent="0.25">
      <c r="C52" s="7" t="str">
        <f ca="1">INDEX('Version control'!$H$34:$H$60,MATCH($A$1,'Version control'!$F$34:$F$60,0),1)&amp;"-D: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25">
      <c r="E54" s="379"/>
      <c r="F54" s="512" t="s">
        <v>1031</v>
      </c>
      <c r="G54" s="512" t="s">
        <v>427</v>
      </c>
      <c r="J54" s="379">
        <f>'Fixed inputs'!J169</f>
        <v>1</v>
      </c>
      <c r="K54" s="379">
        <f>'Fixed inputs'!K169</f>
        <v>2</v>
      </c>
      <c r="L54" s="379">
        <f>'Fixed inputs'!L169</f>
        <v>3</v>
      </c>
      <c r="M54" s="379">
        <f>'Fixed inputs'!M169</f>
        <v>3</v>
      </c>
      <c r="N54" s="379">
        <f>'Fixed inputs'!N169</f>
        <v>3</v>
      </c>
      <c r="O54" s="379">
        <f>'Fixed inputs'!O169</f>
        <v>3</v>
      </c>
      <c r="P54" s="379">
        <f>'Fixed inputs'!P169</f>
        <v>3</v>
      </c>
      <c r="Q54" s="379">
        <f>'Fixed inputs'!Q169</f>
        <v>4</v>
      </c>
      <c r="R54" s="379">
        <f>'Fixed inputs'!R169</f>
        <v>5</v>
      </c>
      <c r="S54" s="379">
        <f>'Fixed inputs'!S169</f>
        <v>5</v>
      </c>
      <c r="T54" s="379">
        <f>'Fixed inputs'!T169</f>
        <v>5</v>
      </c>
      <c r="U54" s="379">
        <f>'Fixed inputs'!U169</f>
        <v>5</v>
      </c>
      <c r="V54" s="379">
        <f>'Fixed inputs'!V169</f>
        <v>5</v>
      </c>
      <c r="W54" s="379">
        <f>'Fixed inputs'!W169</f>
        <v>6</v>
      </c>
      <c r="X54" s="379">
        <f>'Fixed inputs'!X169</f>
        <v>6</v>
      </c>
      <c r="Y54" s="379">
        <f>'Fixed inputs'!Y169</f>
        <v>6</v>
      </c>
      <c r="Z54" s="379">
        <f>'Fixed inputs'!Z169</f>
        <v>6</v>
      </c>
      <c r="AA54" s="379">
        <f>'Fixed inputs'!AA169</f>
        <v>6</v>
      </c>
      <c r="AB54" s="379">
        <f>'Fixed inputs'!AB169</f>
        <v>7</v>
      </c>
      <c r="AC54" s="379">
        <f>'Fixed inputs'!AC169</f>
        <v>7</v>
      </c>
      <c r="AD54" s="379">
        <f>'Fixed inputs'!AD169</f>
        <v>7</v>
      </c>
      <c r="AE54" s="379">
        <f>'Fixed inputs'!AE169</f>
        <v>7</v>
      </c>
      <c r="AF54" s="379">
        <f>'Fixed inputs'!AF169</f>
        <v>7</v>
      </c>
      <c r="AG54" s="379">
        <f>'Fixed inputs'!AG169</f>
        <v>8</v>
      </c>
      <c r="AH54" s="379">
        <f>'Fixed inputs'!AH169</f>
        <v>9</v>
      </c>
      <c r="AI54" s="379">
        <f>'Fixed inputs'!AI169</f>
        <v>10</v>
      </c>
      <c r="AJ54" s="379">
        <f>'Fixed inputs'!AJ169</f>
        <v>11</v>
      </c>
      <c r="AK54" s="379">
        <f>'Fixed inputs'!AK169</f>
        <v>12</v>
      </c>
      <c r="AL54" s="379">
        <f>'Fixed inputs'!AL169</f>
        <v>13</v>
      </c>
      <c r="AM54" s="379">
        <f>'Fixed inputs'!AM169</f>
        <v>14</v>
      </c>
      <c r="AN54" s="379">
        <f>'Fixed inputs'!AN169</f>
        <v>15</v>
      </c>
      <c r="AO54" s="379">
        <f>'Fixed inputs'!AO169</f>
        <v>16</v>
      </c>
    </row>
    <row r="56" spans="3:43" ht="60" x14ac:dyDescent="0.25">
      <c r="E56" s="86" t="s">
        <v>414</v>
      </c>
      <c r="I56" s="293" t="s">
        <v>359</v>
      </c>
      <c r="J56" s="486" t="s">
        <v>928</v>
      </c>
      <c r="K56" s="486" t="s">
        <v>929</v>
      </c>
      <c r="L56" s="486" t="s">
        <v>930</v>
      </c>
      <c r="M56" s="486" t="s">
        <v>931</v>
      </c>
      <c r="N56" s="486" t="s">
        <v>932</v>
      </c>
      <c r="O56" s="486" t="s">
        <v>933</v>
      </c>
      <c r="P56" s="486" t="s">
        <v>934</v>
      </c>
      <c r="Q56" s="486" t="s">
        <v>935</v>
      </c>
      <c r="R56" s="486" t="s">
        <v>936</v>
      </c>
      <c r="S56" s="486" t="s">
        <v>937</v>
      </c>
      <c r="T56" s="486" t="s">
        <v>938</v>
      </c>
      <c r="U56" s="486" t="s">
        <v>939</v>
      </c>
      <c r="V56" s="486" t="s">
        <v>940</v>
      </c>
      <c r="W56" s="486" t="s">
        <v>941</v>
      </c>
      <c r="X56" s="486" t="s">
        <v>942</v>
      </c>
      <c r="Y56" s="486" t="s">
        <v>943</v>
      </c>
    </row>
    <row r="57" spans="3:43" x14ac:dyDescent="0.25">
      <c r="E57" s="86"/>
      <c r="F57" s="91" t="s">
        <v>134</v>
      </c>
      <c r="G57" s="91" t="s">
        <v>94</v>
      </c>
      <c r="H57" s="141"/>
      <c r="I57" s="91"/>
      <c r="J57" s="479">
        <f>'Volume adjustments'!J315</f>
        <v>0.37965428939083246</v>
      </c>
      <c r="K57" s="479">
        <f>'Volume adjustments'!K315</f>
        <v>0.37965428939083246</v>
      </c>
      <c r="L57" s="479">
        <f>'Volume adjustments'!L315</f>
        <v>0.37965428939083246</v>
      </c>
      <c r="M57" s="479">
        <f>'Volume adjustments'!M315</f>
        <v>0.37965428939083246</v>
      </c>
      <c r="N57" s="479">
        <f>'Volume adjustments'!N315</f>
        <v>0.37965428939083246</v>
      </c>
      <c r="O57" s="479">
        <f>'Volume adjustments'!O315</f>
        <v>0</v>
      </c>
      <c r="P57" s="479">
        <f>'Volume adjustments'!P315</f>
        <v>0</v>
      </c>
      <c r="Q57" s="479">
        <f>'Volume adjustments'!Q315</f>
        <v>0.37965428939083246</v>
      </c>
      <c r="R57" s="479">
        <f>'Volume adjustments'!R315</f>
        <v>0</v>
      </c>
      <c r="S57" s="479">
        <f>'Volume adjustments'!S315</f>
        <v>0</v>
      </c>
      <c r="T57" s="479">
        <f>'Volume adjustments'!T315</f>
        <v>0</v>
      </c>
      <c r="U57" s="479">
        <f>'Volume adjustments'!U315</f>
        <v>0</v>
      </c>
      <c r="V57" s="479">
        <f>'Volume adjustments'!V315</f>
        <v>0</v>
      </c>
      <c r="W57" s="479">
        <f>'Volume adjustments'!W315</f>
        <v>0</v>
      </c>
      <c r="X57" s="479">
        <f>'Volume adjustments'!X315</f>
        <v>0</v>
      </c>
      <c r="Y57" s="479">
        <f>'Volume adjustments'!Y315</f>
        <v>0</v>
      </c>
    </row>
    <row r="58" spans="3:43" x14ac:dyDescent="0.25">
      <c r="E58" s="86"/>
      <c r="F58" s="293" t="s">
        <v>135</v>
      </c>
      <c r="G58" s="293" t="s">
        <v>94</v>
      </c>
      <c r="H58" s="379"/>
      <c r="J58" s="480">
        <f>'Volume adjustments'!J316</f>
        <v>0.37965428939083246</v>
      </c>
      <c r="K58" s="480">
        <f>'Volume adjustments'!K316</f>
        <v>0.37965428939083246</v>
      </c>
      <c r="L58" s="480">
        <f>'Volume adjustments'!L316</f>
        <v>0.37965428939083246</v>
      </c>
      <c r="M58" s="480">
        <f>'Volume adjustments'!M316</f>
        <v>0.37965428939083246</v>
      </c>
      <c r="N58" s="480">
        <f>'Volume adjustments'!N316</f>
        <v>0.37965428939083246</v>
      </c>
      <c r="O58" s="480">
        <f>'Volume adjustments'!O316</f>
        <v>0</v>
      </c>
      <c r="P58" s="480">
        <f>'Volume adjustments'!P316</f>
        <v>0</v>
      </c>
      <c r="Q58" s="480">
        <f>'Volume adjustments'!Q316</f>
        <v>0.37965428939083246</v>
      </c>
      <c r="R58" s="480">
        <f>'Volume adjustments'!R316</f>
        <v>0</v>
      </c>
      <c r="S58" s="480">
        <f>'Volume adjustments'!S316</f>
        <v>0</v>
      </c>
      <c r="T58" s="480">
        <f>'Volume adjustments'!T316</f>
        <v>0</v>
      </c>
      <c r="U58" s="480">
        <f>'Volume adjustments'!U316</f>
        <v>0</v>
      </c>
      <c r="V58" s="480">
        <f>'Volume adjustments'!V316</f>
        <v>0</v>
      </c>
      <c r="W58" s="480">
        <f>'Volume adjustments'!W316</f>
        <v>0</v>
      </c>
      <c r="X58" s="480">
        <f>'Volume adjustments'!X316</f>
        <v>0</v>
      </c>
      <c r="Y58" s="480">
        <f>'Volume adjustments'!Y316</f>
        <v>0</v>
      </c>
    </row>
    <row r="59" spans="3:43" x14ac:dyDescent="0.25">
      <c r="E59" s="86"/>
      <c r="F59" s="293" t="s">
        <v>136</v>
      </c>
      <c r="G59" s="293" t="s">
        <v>94</v>
      </c>
      <c r="H59" s="379"/>
      <c r="J59" s="480">
        <f>'Volume adjustments'!J317</f>
        <v>0.37965428939083246</v>
      </c>
      <c r="K59" s="480">
        <f>'Volume adjustments'!K317</f>
        <v>0.37965428939083246</v>
      </c>
      <c r="L59" s="480">
        <f>'Volume adjustments'!L317</f>
        <v>0.37965428939083246</v>
      </c>
      <c r="M59" s="480">
        <f>'Volume adjustments'!M317</f>
        <v>0.37965428939083246</v>
      </c>
      <c r="N59" s="480">
        <f>'Volume adjustments'!N317</f>
        <v>0.37965428939083246</v>
      </c>
      <c r="O59" s="480">
        <f>'Volume adjustments'!O317</f>
        <v>0</v>
      </c>
      <c r="P59" s="480">
        <f>'Volume adjustments'!P317</f>
        <v>0</v>
      </c>
      <c r="Q59" s="480">
        <f>'Volume adjustments'!Q317</f>
        <v>0.37965428939083246</v>
      </c>
      <c r="R59" s="480">
        <f>'Volume adjustments'!R317</f>
        <v>0</v>
      </c>
      <c r="S59" s="480">
        <f>'Volume adjustments'!S317</f>
        <v>0</v>
      </c>
      <c r="T59" s="480">
        <f>'Volume adjustments'!T317</f>
        <v>0</v>
      </c>
      <c r="U59" s="480">
        <f>'Volume adjustments'!U317</f>
        <v>0</v>
      </c>
      <c r="V59" s="480">
        <f>'Volume adjustments'!V317</f>
        <v>0</v>
      </c>
      <c r="W59" s="480">
        <f>'Volume adjustments'!W317</f>
        <v>0</v>
      </c>
      <c r="X59" s="480">
        <f>'Volume adjustments'!X317</f>
        <v>0</v>
      </c>
      <c r="Y59" s="480">
        <f>'Volume adjustments'!Y317</f>
        <v>0</v>
      </c>
    </row>
    <row r="60" spans="3:43" x14ac:dyDescent="0.25">
      <c r="E60" s="86"/>
      <c r="F60" s="293" t="s">
        <v>254</v>
      </c>
      <c r="G60" s="293" t="s">
        <v>94</v>
      </c>
      <c r="H60" s="379"/>
      <c r="J60" s="480">
        <f>'Volume adjustments'!J318</f>
        <v>0.37965428939083246</v>
      </c>
      <c r="K60" s="480">
        <f>'Volume adjustments'!K318</f>
        <v>0.37965428939083246</v>
      </c>
      <c r="L60" s="480">
        <f>'Volume adjustments'!L318</f>
        <v>0.37965428939083246</v>
      </c>
      <c r="M60" s="480">
        <f>'Volume adjustments'!M318</f>
        <v>0.37965428939083246</v>
      </c>
      <c r="N60" s="480">
        <f>'Volume adjustments'!N318</f>
        <v>0.37965428939083246</v>
      </c>
      <c r="O60" s="480">
        <f>'Volume adjustments'!O318</f>
        <v>0</v>
      </c>
      <c r="P60" s="480">
        <f>'Volume adjustments'!P318</f>
        <v>0</v>
      </c>
      <c r="Q60" s="480">
        <f>'Volume adjustments'!Q318</f>
        <v>0.37965428939083246</v>
      </c>
      <c r="R60" s="480">
        <f>'Volume adjustments'!R318</f>
        <v>1</v>
      </c>
      <c r="S60" s="480">
        <f>'Volume adjustments'!S318</f>
        <v>1</v>
      </c>
      <c r="T60" s="480">
        <f>'Volume adjustments'!T318</f>
        <v>1</v>
      </c>
      <c r="U60" s="480">
        <f>'Volume adjustments'!U318</f>
        <v>1</v>
      </c>
      <c r="V60" s="480">
        <f>'Volume adjustments'!V318</f>
        <v>1</v>
      </c>
      <c r="W60" s="480">
        <f>'Volume adjustments'!W318</f>
        <v>1</v>
      </c>
      <c r="X60" s="480">
        <f>'Volume adjustments'!X318</f>
        <v>1</v>
      </c>
      <c r="Y60" s="480">
        <f>'Volume adjustments'!Y318</f>
        <v>1</v>
      </c>
    </row>
    <row r="61" spans="3:43" x14ac:dyDescent="0.25">
      <c r="E61" s="86"/>
      <c r="F61" s="293" t="s">
        <v>255</v>
      </c>
      <c r="G61" s="293" t="s">
        <v>94</v>
      </c>
      <c r="H61" s="379"/>
      <c r="J61" s="480">
        <f>'Volume adjustments'!J319</f>
        <v>0.37965428939083246</v>
      </c>
      <c r="K61" s="480">
        <f>'Volume adjustments'!K319</f>
        <v>0.37965428939083246</v>
      </c>
      <c r="L61" s="480">
        <f>'Volume adjustments'!L319</f>
        <v>0.37965428939083246</v>
      </c>
      <c r="M61" s="480">
        <f>'Volume adjustments'!M319</f>
        <v>0.37965428939083246</v>
      </c>
      <c r="N61" s="480">
        <f>'Volume adjustments'!N319</f>
        <v>0.37965428939083246</v>
      </c>
      <c r="O61" s="480">
        <f>'Volume adjustments'!O319</f>
        <v>0</v>
      </c>
      <c r="P61" s="480">
        <f>'Volume adjustments'!P319</f>
        <v>0</v>
      </c>
      <c r="Q61" s="480">
        <f>'Volume adjustments'!Q319</f>
        <v>0.37965428939083246</v>
      </c>
      <c r="R61" s="480">
        <f>'Volume adjustments'!R319</f>
        <v>0</v>
      </c>
      <c r="S61" s="480">
        <f>'Volume adjustments'!S319</f>
        <v>0</v>
      </c>
      <c r="T61" s="480">
        <f>'Volume adjustments'!T319</f>
        <v>0</v>
      </c>
      <c r="U61" s="480">
        <f>'Volume adjustments'!U319</f>
        <v>0</v>
      </c>
      <c r="V61" s="480">
        <f>'Volume adjustments'!V319</f>
        <v>0</v>
      </c>
      <c r="W61" s="480">
        <f>'Volume adjustments'!W319</f>
        <v>0</v>
      </c>
      <c r="X61" s="480">
        <f>'Volume adjustments'!X319</f>
        <v>0</v>
      </c>
      <c r="Y61" s="480">
        <f>'Volume adjustments'!Y319</f>
        <v>0</v>
      </c>
    </row>
    <row r="62" spans="3:43" x14ac:dyDescent="0.25">
      <c r="E62" s="86"/>
      <c r="F62" s="293" t="s">
        <v>256</v>
      </c>
      <c r="G62" s="293" t="s">
        <v>94</v>
      </c>
      <c r="H62" s="379"/>
      <c r="J62" s="480">
        <f>'Volume adjustments'!J320</f>
        <v>0.37965428939083246</v>
      </c>
      <c r="K62" s="480">
        <f>'Volume adjustments'!K320</f>
        <v>0.37965428939083246</v>
      </c>
      <c r="L62" s="480">
        <f>'Volume adjustments'!L320</f>
        <v>0.37965428939083246</v>
      </c>
      <c r="M62" s="480">
        <f>'Volume adjustments'!M320</f>
        <v>0.37965428939083246</v>
      </c>
      <c r="N62" s="480">
        <f>'Volume adjustments'!N320</f>
        <v>0.37965428939083246</v>
      </c>
      <c r="O62" s="480">
        <f>'Volume adjustments'!O320</f>
        <v>0</v>
      </c>
      <c r="P62" s="480">
        <f>'Volume adjustments'!P320</f>
        <v>0</v>
      </c>
      <c r="Q62" s="480">
        <f>'Volume adjustments'!Q320</f>
        <v>0.37965428939083246</v>
      </c>
      <c r="R62" s="480">
        <f>'Volume adjustments'!R320</f>
        <v>0</v>
      </c>
      <c r="S62" s="480">
        <f>'Volume adjustments'!S320</f>
        <v>0</v>
      </c>
      <c r="T62" s="480">
        <f>'Volume adjustments'!T320</f>
        <v>0</v>
      </c>
      <c r="U62" s="480">
        <f>'Volume adjustments'!U320</f>
        <v>0</v>
      </c>
      <c r="V62" s="480">
        <f>'Volume adjustments'!V320</f>
        <v>0</v>
      </c>
      <c r="W62" s="480">
        <f>'Volume adjustments'!W320</f>
        <v>0</v>
      </c>
      <c r="X62" s="480">
        <f>'Volume adjustments'!X320</f>
        <v>0</v>
      </c>
      <c r="Y62" s="480">
        <f>'Volume adjustments'!Y320</f>
        <v>0</v>
      </c>
    </row>
    <row r="63" spans="3:43" x14ac:dyDescent="0.25">
      <c r="E63" s="86"/>
      <c r="F63" s="93" t="s">
        <v>257</v>
      </c>
      <c r="G63" s="93" t="s">
        <v>94</v>
      </c>
      <c r="H63" s="115"/>
      <c r="I63" s="93"/>
      <c r="J63" s="481">
        <f>'Volume adjustments'!J321</f>
        <v>0.37965428939083246</v>
      </c>
      <c r="K63" s="481">
        <f>'Volume adjustments'!K321</f>
        <v>0.37965428939083246</v>
      </c>
      <c r="L63" s="481">
        <f>'Volume adjustments'!L321</f>
        <v>0.37965428939083246</v>
      </c>
      <c r="M63" s="481">
        <f>'Volume adjustments'!M321</f>
        <v>0.37965428939083246</v>
      </c>
      <c r="N63" s="481">
        <f>'Volume adjustments'!N321</f>
        <v>0.37965428939083246</v>
      </c>
      <c r="O63" s="481">
        <f>'Volume adjustments'!O321</f>
        <v>0</v>
      </c>
      <c r="P63" s="481">
        <f>'Volume adjustments'!P321</f>
        <v>0</v>
      </c>
      <c r="Q63" s="481">
        <f>'Volume adjustments'!Q321</f>
        <v>0.37965428939083246</v>
      </c>
      <c r="R63" s="481">
        <f>'Volume adjustments'!R321</f>
        <v>0</v>
      </c>
      <c r="S63" s="481">
        <f>'Volume adjustments'!S321</f>
        <v>0</v>
      </c>
      <c r="T63" s="481">
        <f>'Volume adjustments'!T321</f>
        <v>0</v>
      </c>
      <c r="U63" s="481">
        <f>'Volume adjustments'!U321</f>
        <v>0</v>
      </c>
      <c r="V63" s="481">
        <f>'Volume adjustments'!V321</f>
        <v>0</v>
      </c>
      <c r="W63" s="481">
        <f>'Volume adjustments'!W321</f>
        <v>0</v>
      </c>
      <c r="X63" s="481">
        <f>'Volume adjustments'!X321</f>
        <v>0</v>
      </c>
      <c r="Y63" s="481">
        <f>'Volume adjustments'!Y321</f>
        <v>0</v>
      </c>
    </row>
    <row r="64" spans="3:43" x14ac:dyDescent="0.25">
      <c r="E64" s="293"/>
    </row>
    <row r="65" spans="4:43" ht="60" x14ac:dyDescent="0.25">
      <c r="E65" s="86" t="s">
        <v>415</v>
      </c>
      <c r="I65" s="293" t="s">
        <v>359</v>
      </c>
      <c r="J65" s="486" t="s">
        <v>928</v>
      </c>
      <c r="K65" s="486" t="s">
        <v>929</v>
      </c>
      <c r="L65" s="486" t="s">
        <v>930</v>
      </c>
      <c r="M65" s="486" t="s">
        <v>931</v>
      </c>
      <c r="N65" s="486" t="s">
        <v>932</v>
      </c>
      <c r="O65" s="486" t="s">
        <v>933</v>
      </c>
      <c r="P65" s="486" t="s">
        <v>934</v>
      </c>
      <c r="Q65" s="486" t="s">
        <v>935</v>
      </c>
      <c r="R65" s="486" t="s">
        <v>936</v>
      </c>
      <c r="S65" s="486" t="s">
        <v>937</v>
      </c>
      <c r="T65" s="486" t="s">
        <v>938</v>
      </c>
      <c r="U65" s="486" t="s">
        <v>939</v>
      </c>
      <c r="V65" s="486" t="s">
        <v>940</v>
      </c>
      <c r="W65" s="486" t="s">
        <v>941</v>
      </c>
      <c r="X65" s="486" t="s">
        <v>942</v>
      </c>
      <c r="Y65" s="486" t="s">
        <v>943</v>
      </c>
    </row>
    <row r="66" spans="4:43" x14ac:dyDescent="0.25">
      <c r="E66" s="86"/>
      <c r="F66" s="91" t="s">
        <v>134</v>
      </c>
      <c r="G66" s="91" t="s">
        <v>94</v>
      </c>
      <c r="H66" s="141"/>
      <c r="I66" s="91"/>
      <c r="J66" s="479">
        <f>'Volume adjustments'!J324</f>
        <v>0.54896300131614539</v>
      </c>
      <c r="K66" s="479">
        <f>'Volume adjustments'!K324</f>
        <v>0.54896300131614539</v>
      </c>
      <c r="L66" s="479">
        <f>'Volume adjustments'!L324</f>
        <v>0.54896300131614539</v>
      </c>
      <c r="M66" s="479">
        <f>'Volume adjustments'!M324</f>
        <v>0.54896300131614539</v>
      </c>
      <c r="N66" s="479">
        <f>'Volume adjustments'!N324</f>
        <v>0.54896300131614539</v>
      </c>
      <c r="O66" s="479">
        <f>'Volume adjustments'!O324</f>
        <v>0.27129203207220204</v>
      </c>
      <c r="P66" s="479">
        <f>'Volume adjustments'!P324</f>
        <v>0.17674798485106219</v>
      </c>
      <c r="Q66" s="479">
        <f>'Volume adjustments'!Q324</f>
        <v>0.54896300131614539</v>
      </c>
      <c r="R66" s="479">
        <f>'Volume adjustments'!R324</f>
        <v>0</v>
      </c>
      <c r="S66" s="479">
        <f>'Volume adjustments'!S324</f>
        <v>0</v>
      </c>
      <c r="T66" s="479">
        <f>'Volume adjustments'!T324</f>
        <v>0</v>
      </c>
      <c r="U66" s="479">
        <f>'Volume adjustments'!U324</f>
        <v>0</v>
      </c>
      <c r="V66" s="479">
        <f>'Volume adjustments'!V324</f>
        <v>0</v>
      </c>
      <c r="W66" s="479">
        <f>'Volume adjustments'!W324</f>
        <v>0</v>
      </c>
      <c r="X66" s="479">
        <f>'Volume adjustments'!X324</f>
        <v>0</v>
      </c>
      <c r="Y66" s="479">
        <f>'Volume adjustments'!Y324</f>
        <v>0</v>
      </c>
    </row>
    <row r="67" spans="4:43" x14ac:dyDescent="0.25">
      <c r="E67" s="86"/>
      <c r="F67" s="293" t="s">
        <v>135</v>
      </c>
      <c r="G67" s="293" t="s">
        <v>94</v>
      </c>
      <c r="H67" s="379"/>
      <c r="J67" s="480">
        <f>'Volume adjustments'!J325</f>
        <v>0.54896300131614539</v>
      </c>
      <c r="K67" s="480">
        <f>'Volume adjustments'!K325</f>
        <v>0.54896300131614539</v>
      </c>
      <c r="L67" s="480">
        <f>'Volume adjustments'!L325</f>
        <v>0.54896300131614539</v>
      </c>
      <c r="M67" s="480">
        <f>'Volume adjustments'!M325</f>
        <v>0.54896300131614539</v>
      </c>
      <c r="N67" s="480">
        <f>'Volume adjustments'!N325</f>
        <v>0.54896300131614539</v>
      </c>
      <c r="O67" s="480">
        <f>'Volume adjustments'!O325</f>
        <v>0.27129203207220204</v>
      </c>
      <c r="P67" s="480">
        <f>'Volume adjustments'!P325</f>
        <v>0.17674798485106219</v>
      </c>
      <c r="Q67" s="480">
        <f>'Volume adjustments'!Q325</f>
        <v>0.54896300131614539</v>
      </c>
      <c r="R67" s="480">
        <f>'Volume adjustments'!R325</f>
        <v>0</v>
      </c>
      <c r="S67" s="480">
        <f>'Volume adjustments'!S325</f>
        <v>0</v>
      </c>
      <c r="T67" s="480">
        <f>'Volume adjustments'!T325</f>
        <v>0</v>
      </c>
      <c r="U67" s="480">
        <f>'Volume adjustments'!U325</f>
        <v>0</v>
      </c>
      <c r="V67" s="480">
        <f>'Volume adjustments'!V325</f>
        <v>0</v>
      </c>
      <c r="W67" s="480">
        <f>'Volume adjustments'!W325</f>
        <v>0</v>
      </c>
      <c r="X67" s="480">
        <f>'Volume adjustments'!X325</f>
        <v>0</v>
      </c>
      <c r="Y67" s="480">
        <f>'Volume adjustments'!Y325</f>
        <v>0</v>
      </c>
    </row>
    <row r="68" spans="4:43" x14ac:dyDescent="0.25">
      <c r="E68" s="86"/>
      <c r="F68" s="293" t="s">
        <v>136</v>
      </c>
      <c r="G68" s="293" t="s">
        <v>94</v>
      </c>
      <c r="H68" s="379"/>
      <c r="J68" s="480">
        <f>'Volume adjustments'!J326</f>
        <v>0.54896300131614539</v>
      </c>
      <c r="K68" s="480">
        <f>'Volume adjustments'!K326</f>
        <v>0.54896300131614539</v>
      </c>
      <c r="L68" s="480">
        <f>'Volume adjustments'!L326</f>
        <v>0.54896300131614539</v>
      </c>
      <c r="M68" s="480">
        <f>'Volume adjustments'!M326</f>
        <v>0.54896300131614539</v>
      </c>
      <c r="N68" s="480">
        <f>'Volume adjustments'!N326</f>
        <v>0.54896300131614539</v>
      </c>
      <c r="O68" s="480">
        <f>'Volume adjustments'!O326</f>
        <v>0.27129203207220204</v>
      </c>
      <c r="P68" s="480">
        <f>'Volume adjustments'!P326</f>
        <v>0.17674798485106219</v>
      </c>
      <c r="Q68" s="480">
        <f>'Volume adjustments'!Q326</f>
        <v>0.54896300131614539</v>
      </c>
      <c r="R68" s="480">
        <f>'Volume adjustments'!R326</f>
        <v>0</v>
      </c>
      <c r="S68" s="480">
        <f>'Volume adjustments'!S326</f>
        <v>0</v>
      </c>
      <c r="T68" s="480">
        <f>'Volume adjustments'!T326</f>
        <v>0</v>
      </c>
      <c r="U68" s="480">
        <f>'Volume adjustments'!U326</f>
        <v>0</v>
      </c>
      <c r="V68" s="480">
        <f>'Volume adjustments'!V326</f>
        <v>0</v>
      </c>
      <c r="W68" s="480">
        <f>'Volume adjustments'!W326</f>
        <v>0</v>
      </c>
      <c r="X68" s="480">
        <f>'Volume adjustments'!X326</f>
        <v>0</v>
      </c>
      <c r="Y68" s="480">
        <f>'Volume adjustments'!Y326</f>
        <v>0</v>
      </c>
    </row>
    <row r="69" spans="4:43" x14ac:dyDescent="0.25">
      <c r="E69" s="86"/>
      <c r="F69" s="293" t="s">
        <v>254</v>
      </c>
      <c r="G69" s="293" t="s">
        <v>94</v>
      </c>
      <c r="H69" s="379"/>
      <c r="J69" s="480">
        <f>'Volume adjustments'!J327</f>
        <v>0.54896300131614539</v>
      </c>
      <c r="K69" s="480">
        <f>'Volume adjustments'!K327</f>
        <v>0.54896300131614539</v>
      </c>
      <c r="L69" s="480">
        <f>'Volume adjustments'!L327</f>
        <v>0.54896300131614539</v>
      </c>
      <c r="M69" s="480">
        <f>'Volume adjustments'!M327</f>
        <v>0.54896300131614539</v>
      </c>
      <c r="N69" s="480">
        <f>'Volume adjustments'!N327</f>
        <v>0.54896300131614539</v>
      </c>
      <c r="O69" s="480">
        <f>'Volume adjustments'!O327</f>
        <v>0.27129203207220204</v>
      </c>
      <c r="P69" s="480">
        <f>'Volume adjustments'!P327</f>
        <v>0.17674798485106219</v>
      </c>
      <c r="Q69" s="480">
        <f>'Volume adjustments'!Q327</f>
        <v>0.54896300131614539</v>
      </c>
      <c r="R69" s="480">
        <f>'Volume adjustments'!R327</f>
        <v>1</v>
      </c>
      <c r="S69" s="480">
        <f>'Volume adjustments'!S327</f>
        <v>1</v>
      </c>
      <c r="T69" s="480">
        <f>'Volume adjustments'!T327</f>
        <v>1</v>
      </c>
      <c r="U69" s="480">
        <f>'Volume adjustments'!U327</f>
        <v>1</v>
      </c>
      <c r="V69" s="480">
        <f>'Volume adjustments'!V327</f>
        <v>1</v>
      </c>
      <c r="W69" s="480">
        <f>'Volume adjustments'!W327</f>
        <v>1</v>
      </c>
      <c r="X69" s="480">
        <f>'Volume adjustments'!X327</f>
        <v>1</v>
      </c>
      <c r="Y69" s="480">
        <f>'Volume adjustments'!Y327</f>
        <v>1</v>
      </c>
    </row>
    <row r="70" spans="4:43" x14ac:dyDescent="0.25">
      <c r="E70" s="86"/>
      <c r="F70" s="293" t="s">
        <v>255</v>
      </c>
      <c r="G70" s="293" t="s">
        <v>94</v>
      </c>
      <c r="H70" s="379"/>
      <c r="J70" s="480">
        <f>'Volume adjustments'!J328</f>
        <v>0.54896300131614539</v>
      </c>
      <c r="K70" s="480">
        <f>'Volume adjustments'!K328</f>
        <v>0.54896300131614539</v>
      </c>
      <c r="L70" s="480">
        <f>'Volume adjustments'!L328</f>
        <v>0.54896300131614539</v>
      </c>
      <c r="M70" s="480">
        <f>'Volume adjustments'!M328</f>
        <v>0.54896300131614539</v>
      </c>
      <c r="N70" s="480">
        <f>'Volume adjustments'!N328</f>
        <v>0.54896300131614539</v>
      </c>
      <c r="O70" s="480">
        <f>'Volume adjustments'!O328</f>
        <v>0.27129203207220204</v>
      </c>
      <c r="P70" s="480">
        <f>'Volume adjustments'!P328</f>
        <v>0.17674798485106219</v>
      </c>
      <c r="Q70" s="480">
        <f>'Volume adjustments'!Q328</f>
        <v>0.54896300131614539</v>
      </c>
      <c r="R70" s="480">
        <f>'Volume adjustments'!R328</f>
        <v>0</v>
      </c>
      <c r="S70" s="480">
        <f>'Volume adjustments'!S328</f>
        <v>0</v>
      </c>
      <c r="T70" s="480">
        <f>'Volume adjustments'!T328</f>
        <v>0</v>
      </c>
      <c r="U70" s="480">
        <f>'Volume adjustments'!U328</f>
        <v>0</v>
      </c>
      <c r="V70" s="480">
        <f>'Volume adjustments'!V328</f>
        <v>0</v>
      </c>
      <c r="W70" s="480">
        <f>'Volume adjustments'!W328</f>
        <v>0</v>
      </c>
      <c r="X70" s="480">
        <f>'Volume adjustments'!X328</f>
        <v>0</v>
      </c>
      <c r="Y70" s="480">
        <f>'Volume adjustments'!Y328</f>
        <v>0</v>
      </c>
    </row>
    <row r="71" spans="4:43" x14ac:dyDescent="0.25">
      <c r="E71" s="86"/>
      <c r="F71" s="293" t="s">
        <v>256</v>
      </c>
      <c r="G71" s="293" t="s">
        <v>94</v>
      </c>
      <c r="H71" s="379"/>
      <c r="J71" s="480">
        <f>'Volume adjustments'!J329</f>
        <v>0.54896300131614539</v>
      </c>
      <c r="K71" s="480">
        <f>'Volume adjustments'!K329</f>
        <v>0.54896300131614539</v>
      </c>
      <c r="L71" s="480">
        <f>'Volume adjustments'!L329</f>
        <v>0.54896300131614539</v>
      </c>
      <c r="M71" s="480">
        <f>'Volume adjustments'!M329</f>
        <v>0.54896300131614539</v>
      </c>
      <c r="N71" s="480">
        <f>'Volume adjustments'!N329</f>
        <v>0.54896300131614539</v>
      </c>
      <c r="O71" s="480">
        <f>'Volume adjustments'!O329</f>
        <v>0.27129203207220204</v>
      </c>
      <c r="P71" s="480">
        <f>'Volume adjustments'!P329</f>
        <v>0.17674798485106219</v>
      </c>
      <c r="Q71" s="480">
        <f>'Volume adjustments'!Q329</f>
        <v>0.54896300131614539</v>
      </c>
      <c r="R71" s="480">
        <f>'Volume adjustments'!R329</f>
        <v>0</v>
      </c>
      <c r="S71" s="480">
        <f>'Volume adjustments'!S329</f>
        <v>0</v>
      </c>
      <c r="T71" s="480">
        <f>'Volume adjustments'!T329</f>
        <v>0</v>
      </c>
      <c r="U71" s="480">
        <f>'Volume adjustments'!U329</f>
        <v>0</v>
      </c>
      <c r="V71" s="480">
        <f>'Volume adjustments'!V329</f>
        <v>0</v>
      </c>
      <c r="W71" s="480">
        <f>'Volume adjustments'!W329</f>
        <v>0</v>
      </c>
      <c r="X71" s="480">
        <f>'Volume adjustments'!X329</f>
        <v>0</v>
      </c>
      <c r="Y71" s="480">
        <f>'Volume adjustments'!Y329</f>
        <v>0</v>
      </c>
    </row>
    <row r="72" spans="4:43" x14ac:dyDescent="0.25">
      <c r="E72" s="86"/>
      <c r="F72" s="93" t="s">
        <v>257</v>
      </c>
      <c r="G72" s="93" t="s">
        <v>94</v>
      </c>
      <c r="H72" s="115"/>
      <c r="I72" s="93"/>
      <c r="J72" s="481">
        <f>'Volume adjustments'!J330</f>
        <v>0.54896300131614539</v>
      </c>
      <c r="K72" s="481">
        <f>'Volume adjustments'!K330</f>
        <v>0.54896300131614539</v>
      </c>
      <c r="L72" s="481">
        <f>'Volume adjustments'!L330</f>
        <v>0.54896300131614539</v>
      </c>
      <c r="M72" s="481">
        <f>'Volume adjustments'!M330</f>
        <v>0.54896300131614539</v>
      </c>
      <c r="N72" s="481">
        <f>'Volume adjustments'!N330</f>
        <v>0.54896300131614539</v>
      </c>
      <c r="O72" s="481">
        <f>'Volume adjustments'!O330</f>
        <v>0.27129203207220204</v>
      </c>
      <c r="P72" s="481">
        <f>'Volume adjustments'!P330</f>
        <v>0.17674798485106219</v>
      </c>
      <c r="Q72" s="481">
        <f>'Volume adjustments'!Q330</f>
        <v>0.54896300131614539</v>
      </c>
      <c r="R72" s="481">
        <f>'Volume adjustments'!R330</f>
        <v>0</v>
      </c>
      <c r="S72" s="481">
        <f>'Volume adjustments'!S330</f>
        <v>0</v>
      </c>
      <c r="T72" s="481">
        <f>'Volume adjustments'!T330</f>
        <v>0</v>
      </c>
      <c r="U72" s="481">
        <f>'Volume adjustments'!U330</f>
        <v>0</v>
      </c>
      <c r="V72" s="481">
        <f>'Volume adjustments'!V330</f>
        <v>0</v>
      </c>
      <c r="W72" s="481">
        <f>'Volume adjustments'!W330</f>
        <v>0</v>
      </c>
      <c r="X72" s="481">
        <f>'Volume adjustments'!X330</f>
        <v>0</v>
      </c>
      <c r="Y72" s="481">
        <f>'Volume adjustments'!Y330</f>
        <v>0</v>
      </c>
    </row>
    <row r="73" spans="4:43" x14ac:dyDescent="0.25">
      <c r="E73" s="293"/>
    </row>
    <row r="74" spans="4:43" x14ac:dyDescent="0.25">
      <c r="D74" s="293"/>
      <c r="E74" s="86" t="s">
        <v>414</v>
      </c>
      <c r="I74" s="293" t="s">
        <v>359</v>
      </c>
      <c r="AQ74" s="293" t="s">
        <v>917</v>
      </c>
    </row>
    <row r="75" spans="4:43" x14ac:dyDescent="0.2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0.37965428939083246</v>
      </c>
      <c r="K75" s="180">
        <f t="shared" ref="K75:AO75" si="0">INDEX($J57:$Y57,K$54)</f>
        <v>0.37965428939083246</v>
      </c>
      <c r="L75" s="180">
        <f t="shared" si="0"/>
        <v>0.37965428939083246</v>
      </c>
      <c r="M75" s="180">
        <f t="shared" si="0"/>
        <v>0.37965428939083246</v>
      </c>
      <c r="N75" s="180">
        <f t="shared" si="0"/>
        <v>0.37965428939083246</v>
      </c>
      <c r="O75" s="180">
        <f t="shared" si="0"/>
        <v>0.37965428939083246</v>
      </c>
      <c r="P75" s="180">
        <f t="shared" si="0"/>
        <v>0.37965428939083246</v>
      </c>
      <c r="Q75" s="180">
        <f t="shared" si="0"/>
        <v>0.37965428939083246</v>
      </c>
      <c r="R75" s="180">
        <f t="shared" si="0"/>
        <v>0.37965428939083246</v>
      </c>
      <c r="S75" s="180">
        <f t="shared" si="0"/>
        <v>0.37965428939083246</v>
      </c>
      <c r="T75" s="180">
        <f t="shared" si="0"/>
        <v>0.37965428939083246</v>
      </c>
      <c r="U75" s="180">
        <f t="shared" si="0"/>
        <v>0.37965428939083246</v>
      </c>
      <c r="V75" s="180">
        <f t="shared" si="0"/>
        <v>0.37965428939083246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0.37965428939083246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25">
      <c r="D76" s="293"/>
      <c r="E76" s="86"/>
      <c r="F76" s="293" t="s">
        <v>135</v>
      </c>
      <c r="G76" s="293" t="s">
        <v>94</v>
      </c>
      <c r="H76" s="379"/>
      <c r="J76" s="390">
        <f t="shared" ref="J76:AO81" si="1">INDEX($J58:$Y58,J$54)</f>
        <v>0.37965428939083246</v>
      </c>
      <c r="K76" s="390">
        <f t="shared" si="1"/>
        <v>0.37965428939083246</v>
      </c>
      <c r="L76" s="390">
        <f t="shared" si="1"/>
        <v>0.37965428939083246</v>
      </c>
      <c r="M76" s="390">
        <f t="shared" si="1"/>
        <v>0.37965428939083246</v>
      </c>
      <c r="N76" s="390">
        <f t="shared" si="1"/>
        <v>0.37965428939083246</v>
      </c>
      <c r="O76" s="390">
        <f t="shared" si="1"/>
        <v>0.37965428939083246</v>
      </c>
      <c r="P76" s="390">
        <f t="shared" si="1"/>
        <v>0.37965428939083246</v>
      </c>
      <c r="Q76" s="390">
        <f t="shared" si="1"/>
        <v>0.37965428939083246</v>
      </c>
      <c r="R76" s="390">
        <f t="shared" si="1"/>
        <v>0.37965428939083246</v>
      </c>
      <c r="S76" s="390">
        <f t="shared" si="1"/>
        <v>0.37965428939083246</v>
      </c>
      <c r="T76" s="390">
        <f t="shared" si="1"/>
        <v>0.37965428939083246</v>
      </c>
      <c r="U76" s="390">
        <f t="shared" si="1"/>
        <v>0.37965428939083246</v>
      </c>
      <c r="V76" s="390">
        <f t="shared" si="1"/>
        <v>0.37965428939083246</v>
      </c>
      <c r="W76" s="390">
        <f t="shared" si="1"/>
        <v>0</v>
      </c>
      <c r="X76" s="390">
        <f t="shared" si="1"/>
        <v>0</v>
      </c>
      <c r="Y76" s="390">
        <f t="shared" si="1"/>
        <v>0</v>
      </c>
      <c r="Z76" s="390">
        <f t="shared" si="1"/>
        <v>0</v>
      </c>
      <c r="AA76" s="390">
        <f t="shared" si="1"/>
        <v>0</v>
      </c>
      <c r="AB76" s="390">
        <f t="shared" si="1"/>
        <v>0</v>
      </c>
      <c r="AC76" s="390">
        <f t="shared" si="1"/>
        <v>0</v>
      </c>
      <c r="AD76" s="390">
        <f t="shared" si="1"/>
        <v>0</v>
      </c>
      <c r="AE76" s="390">
        <f t="shared" si="1"/>
        <v>0</v>
      </c>
      <c r="AF76" s="390">
        <f t="shared" si="1"/>
        <v>0</v>
      </c>
      <c r="AG76" s="390">
        <f t="shared" si="1"/>
        <v>0.37965428939083246</v>
      </c>
      <c r="AH76" s="390">
        <f t="shared" si="1"/>
        <v>0</v>
      </c>
      <c r="AI76" s="390">
        <f t="shared" si="1"/>
        <v>0</v>
      </c>
      <c r="AJ76" s="390">
        <f t="shared" si="1"/>
        <v>0</v>
      </c>
      <c r="AK76" s="390">
        <f t="shared" si="1"/>
        <v>0</v>
      </c>
      <c r="AL76" s="390">
        <f t="shared" si="1"/>
        <v>0</v>
      </c>
      <c r="AM76" s="390">
        <f t="shared" si="1"/>
        <v>0</v>
      </c>
      <c r="AN76" s="390">
        <f t="shared" si="1"/>
        <v>0</v>
      </c>
      <c r="AO76" s="390">
        <f t="shared" si="1"/>
        <v>0</v>
      </c>
    </row>
    <row r="77" spans="4:43" x14ac:dyDescent="0.25">
      <c r="D77" s="293"/>
      <c r="E77" s="86"/>
      <c r="F77" s="293" t="s">
        <v>136</v>
      </c>
      <c r="G77" s="293" t="s">
        <v>94</v>
      </c>
      <c r="H77" s="379"/>
      <c r="J77" s="390">
        <f t="shared" si="1"/>
        <v>0.37965428939083246</v>
      </c>
      <c r="K77" s="390">
        <f t="shared" si="1"/>
        <v>0.37965428939083246</v>
      </c>
      <c r="L77" s="390">
        <f t="shared" si="1"/>
        <v>0.37965428939083246</v>
      </c>
      <c r="M77" s="390">
        <f t="shared" si="1"/>
        <v>0.37965428939083246</v>
      </c>
      <c r="N77" s="390">
        <f t="shared" si="1"/>
        <v>0.37965428939083246</v>
      </c>
      <c r="O77" s="390">
        <f t="shared" si="1"/>
        <v>0.37965428939083246</v>
      </c>
      <c r="P77" s="390">
        <f t="shared" si="1"/>
        <v>0.37965428939083246</v>
      </c>
      <c r="Q77" s="390">
        <f t="shared" si="1"/>
        <v>0.37965428939083246</v>
      </c>
      <c r="R77" s="390">
        <f t="shared" si="1"/>
        <v>0.37965428939083246</v>
      </c>
      <c r="S77" s="390">
        <f t="shared" si="1"/>
        <v>0.37965428939083246</v>
      </c>
      <c r="T77" s="390">
        <f t="shared" si="1"/>
        <v>0.37965428939083246</v>
      </c>
      <c r="U77" s="390">
        <f t="shared" si="1"/>
        <v>0.37965428939083246</v>
      </c>
      <c r="V77" s="390">
        <f t="shared" si="1"/>
        <v>0.37965428939083246</v>
      </c>
      <c r="W77" s="390">
        <f t="shared" si="1"/>
        <v>0</v>
      </c>
      <c r="X77" s="390">
        <f t="shared" si="1"/>
        <v>0</v>
      </c>
      <c r="Y77" s="390">
        <f t="shared" si="1"/>
        <v>0</v>
      </c>
      <c r="Z77" s="390">
        <f t="shared" si="1"/>
        <v>0</v>
      </c>
      <c r="AA77" s="390">
        <f t="shared" si="1"/>
        <v>0</v>
      </c>
      <c r="AB77" s="390">
        <f t="shared" si="1"/>
        <v>0</v>
      </c>
      <c r="AC77" s="390">
        <f t="shared" si="1"/>
        <v>0</v>
      </c>
      <c r="AD77" s="390">
        <f t="shared" si="1"/>
        <v>0</v>
      </c>
      <c r="AE77" s="390">
        <f t="shared" si="1"/>
        <v>0</v>
      </c>
      <c r="AF77" s="390">
        <f t="shared" si="1"/>
        <v>0</v>
      </c>
      <c r="AG77" s="390">
        <f t="shared" si="1"/>
        <v>0.37965428939083246</v>
      </c>
      <c r="AH77" s="390">
        <f t="shared" si="1"/>
        <v>0</v>
      </c>
      <c r="AI77" s="390">
        <f t="shared" si="1"/>
        <v>0</v>
      </c>
      <c r="AJ77" s="390">
        <f t="shared" si="1"/>
        <v>0</v>
      </c>
      <c r="AK77" s="390">
        <f t="shared" si="1"/>
        <v>0</v>
      </c>
      <c r="AL77" s="390">
        <f t="shared" si="1"/>
        <v>0</v>
      </c>
      <c r="AM77" s="390">
        <f t="shared" si="1"/>
        <v>0</v>
      </c>
      <c r="AN77" s="390">
        <f t="shared" si="1"/>
        <v>0</v>
      </c>
      <c r="AO77" s="390">
        <f t="shared" si="1"/>
        <v>0</v>
      </c>
    </row>
    <row r="78" spans="4:43" x14ac:dyDescent="0.25">
      <c r="D78" s="293"/>
      <c r="E78" s="86"/>
      <c r="F78" s="293" t="s">
        <v>254</v>
      </c>
      <c r="G78" s="293" t="s">
        <v>94</v>
      </c>
      <c r="H78" s="379"/>
      <c r="J78" s="390">
        <f t="shared" si="1"/>
        <v>0.37965428939083246</v>
      </c>
      <c r="K78" s="390">
        <f t="shared" si="1"/>
        <v>0.37965428939083246</v>
      </c>
      <c r="L78" s="390">
        <f t="shared" si="1"/>
        <v>0.37965428939083246</v>
      </c>
      <c r="M78" s="390">
        <f t="shared" si="1"/>
        <v>0.37965428939083246</v>
      </c>
      <c r="N78" s="390">
        <f t="shared" si="1"/>
        <v>0.37965428939083246</v>
      </c>
      <c r="O78" s="390">
        <f t="shared" si="1"/>
        <v>0.37965428939083246</v>
      </c>
      <c r="P78" s="390">
        <f t="shared" si="1"/>
        <v>0.37965428939083246</v>
      </c>
      <c r="Q78" s="390">
        <f t="shared" si="1"/>
        <v>0.37965428939083246</v>
      </c>
      <c r="R78" s="390">
        <f t="shared" si="1"/>
        <v>0.37965428939083246</v>
      </c>
      <c r="S78" s="390">
        <f t="shared" si="1"/>
        <v>0.37965428939083246</v>
      </c>
      <c r="T78" s="390">
        <f t="shared" si="1"/>
        <v>0.37965428939083246</v>
      </c>
      <c r="U78" s="390">
        <f t="shared" si="1"/>
        <v>0.37965428939083246</v>
      </c>
      <c r="V78" s="390">
        <f t="shared" si="1"/>
        <v>0.37965428939083246</v>
      </c>
      <c r="W78" s="390">
        <f t="shared" si="1"/>
        <v>0</v>
      </c>
      <c r="X78" s="390">
        <f t="shared" si="1"/>
        <v>0</v>
      </c>
      <c r="Y78" s="390">
        <f t="shared" si="1"/>
        <v>0</v>
      </c>
      <c r="Z78" s="390">
        <f t="shared" si="1"/>
        <v>0</v>
      </c>
      <c r="AA78" s="390">
        <f t="shared" si="1"/>
        <v>0</v>
      </c>
      <c r="AB78" s="390">
        <f t="shared" si="1"/>
        <v>0</v>
      </c>
      <c r="AC78" s="390">
        <f t="shared" si="1"/>
        <v>0</v>
      </c>
      <c r="AD78" s="390">
        <f t="shared" si="1"/>
        <v>0</v>
      </c>
      <c r="AE78" s="390">
        <f t="shared" si="1"/>
        <v>0</v>
      </c>
      <c r="AF78" s="390">
        <f t="shared" si="1"/>
        <v>0</v>
      </c>
      <c r="AG78" s="390">
        <f t="shared" si="1"/>
        <v>0.37965428939083246</v>
      </c>
      <c r="AH78" s="390">
        <f t="shared" si="1"/>
        <v>1</v>
      </c>
      <c r="AI78" s="390">
        <f t="shared" si="1"/>
        <v>1</v>
      </c>
      <c r="AJ78" s="390">
        <f t="shared" si="1"/>
        <v>1</v>
      </c>
      <c r="AK78" s="390">
        <f t="shared" si="1"/>
        <v>1</v>
      </c>
      <c r="AL78" s="390">
        <f t="shared" si="1"/>
        <v>1</v>
      </c>
      <c r="AM78" s="390">
        <f t="shared" si="1"/>
        <v>1</v>
      </c>
      <c r="AN78" s="390">
        <f t="shared" si="1"/>
        <v>1</v>
      </c>
      <c r="AO78" s="390">
        <f t="shared" si="1"/>
        <v>1</v>
      </c>
    </row>
    <row r="79" spans="4:43" x14ac:dyDescent="0.25">
      <c r="D79" s="293"/>
      <c r="E79" s="86"/>
      <c r="F79" s="293" t="s">
        <v>255</v>
      </c>
      <c r="G79" s="293" t="s">
        <v>94</v>
      </c>
      <c r="H79" s="379"/>
      <c r="J79" s="390">
        <f t="shared" si="1"/>
        <v>0.37965428939083246</v>
      </c>
      <c r="K79" s="390">
        <f t="shared" si="1"/>
        <v>0.37965428939083246</v>
      </c>
      <c r="L79" s="390">
        <f t="shared" si="1"/>
        <v>0.37965428939083246</v>
      </c>
      <c r="M79" s="390">
        <f t="shared" si="1"/>
        <v>0.37965428939083246</v>
      </c>
      <c r="N79" s="390">
        <f t="shared" si="1"/>
        <v>0.37965428939083246</v>
      </c>
      <c r="O79" s="390">
        <f t="shared" si="1"/>
        <v>0.37965428939083246</v>
      </c>
      <c r="P79" s="390">
        <f t="shared" si="1"/>
        <v>0.37965428939083246</v>
      </c>
      <c r="Q79" s="390">
        <f t="shared" si="1"/>
        <v>0.37965428939083246</v>
      </c>
      <c r="R79" s="390">
        <f t="shared" si="1"/>
        <v>0.37965428939083246</v>
      </c>
      <c r="S79" s="390">
        <f t="shared" si="1"/>
        <v>0.37965428939083246</v>
      </c>
      <c r="T79" s="390">
        <f t="shared" si="1"/>
        <v>0.37965428939083246</v>
      </c>
      <c r="U79" s="390">
        <f t="shared" si="1"/>
        <v>0.37965428939083246</v>
      </c>
      <c r="V79" s="390">
        <f t="shared" si="1"/>
        <v>0.37965428939083246</v>
      </c>
      <c r="W79" s="390">
        <f t="shared" si="1"/>
        <v>0</v>
      </c>
      <c r="X79" s="390">
        <f t="shared" si="1"/>
        <v>0</v>
      </c>
      <c r="Y79" s="390">
        <f t="shared" si="1"/>
        <v>0</v>
      </c>
      <c r="Z79" s="390">
        <f t="shared" si="1"/>
        <v>0</v>
      </c>
      <c r="AA79" s="390">
        <f t="shared" si="1"/>
        <v>0</v>
      </c>
      <c r="AB79" s="390">
        <f t="shared" si="1"/>
        <v>0</v>
      </c>
      <c r="AC79" s="390">
        <f t="shared" si="1"/>
        <v>0</v>
      </c>
      <c r="AD79" s="390">
        <f t="shared" si="1"/>
        <v>0</v>
      </c>
      <c r="AE79" s="390">
        <f t="shared" si="1"/>
        <v>0</v>
      </c>
      <c r="AF79" s="390">
        <f t="shared" si="1"/>
        <v>0</v>
      </c>
      <c r="AG79" s="390">
        <f t="shared" si="1"/>
        <v>0.37965428939083246</v>
      </c>
      <c r="AH79" s="390">
        <f t="shared" si="1"/>
        <v>0</v>
      </c>
      <c r="AI79" s="390">
        <f t="shared" si="1"/>
        <v>0</v>
      </c>
      <c r="AJ79" s="390">
        <f t="shared" si="1"/>
        <v>0</v>
      </c>
      <c r="AK79" s="390">
        <f t="shared" si="1"/>
        <v>0</v>
      </c>
      <c r="AL79" s="390">
        <f t="shared" si="1"/>
        <v>0</v>
      </c>
      <c r="AM79" s="390">
        <f t="shared" si="1"/>
        <v>0</v>
      </c>
      <c r="AN79" s="390">
        <f t="shared" si="1"/>
        <v>0</v>
      </c>
      <c r="AO79" s="390">
        <f t="shared" si="1"/>
        <v>0</v>
      </c>
    </row>
    <row r="80" spans="4:43" x14ac:dyDescent="0.25">
      <c r="D80" s="293"/>
      <c r="E80" s="86"/>
      <c r="F80" s="293" t="s">
        <v>256</v>
      </c>
      <c r="G80" s="293" t="s">
        <v>94</v>
      </c>
      <c r="H80" s="379"/>
      <c r="J80" s="390">
        <f t="shared" si="1"/>
        <v>0.37965428939083246</v>
      </c>
      <c r="K80" s="390">
        <f t="shared" si="1"/>
        <v>0.37965428939083246</v>
      </c>
      <c r="L80" s="390">
        <f t="shared" si="1"/>
        <v>0.37965428939083246</v>
      </c>
      <c r="M80" s="390">
        <f t="shared" si="1"/>
        <v>0.37965428939083246</v>
      </c>
      <c r="N80" s="390">
        <f t="shared" si="1"/>
        <v>0.37965428939083246</v>
      </c>
      <c r="O80" s="390">
        <f t="shared" si="1"/>
        <v>0.37965428939083246</v>
      </c>
      <c r="P80" s="390">
        <f t="shared" si="1"/>
        <v>0.37965428939083246</v>
      </c>
      <c r="Q80" s="390">
        <f t="shared" si="1"/>
        <v>0.37965428939083246</v>
      </c>
      <c r="R80" s="390">
        <f t="shared" si="1"/>
        <v>0.37965428939083246</v>
      </c>
      <c r="S80" s="390">
        <f t="shared" si="1"/>
        <v>0.37965428939083246</v>
      </c>
      <c r="T80" s="390">
        <f t="shared" si="1"/>
        <v>0.37965428939083246</v>
      </c>
      <c r="U80" s="390">
        <f t="shared" si="1"/>
        <v>0.37965428939083246</v>
      </c>
      <c r="V80" s="390">
        <f t="shared" si="1"/>
        <v>0.37965428939083246</v>
      </c>
      <c r="W80" s="390">
        <f t="shared" si="1"/>
        <v>0</v>
      </c>
      <c r="X80" s="390">
        <f t="shared" si="1"/>
        <v>0</v>
      </c>
      <c r="Y80" s="390">
        <f t="shared" si="1"/>
        <v>0</v>
      </c>
      <c r="Z80" s="390">
        <f t="shared" si="1"/>
        <v>0</v>
      </c>
      <c r="AA80" s="390">
        <f t="shared" si="1"/>
        <v>0</v>
      </c>
      <c r="AB80" s="390">
        <f t="shared" si="1"/>
        <v>0</v>
      </c>
      <c r="AC80" s="390">
        <f t="shared" si="1"/>
        <v>0</v>
      </c>
      <c r="AD80" s="390">
        <f t="shared" si="1"/>
        <v>0</v>
      </c>
      <c r="AE80" s="390">
        <f t="shared" si="1"/>
        <v>0</v>
      </c>
      <c r="AF80" s="390">
        <f t="shared" si="1"/>
        <v>0</v>
      </c>
      <c r="AG80" s="390">
        <f t="shared" si="1"/>
        <v>0.37965428939083246</v>
      </c>
      <c r="AH80" s="390">
        <f t="shared" si="1"/>
        <v>0</v>
      </c>
      <c r="AI80" s="390">
        <f t="shared" si="1"/>
        <v>0</v>
      </c>
      <c r="AJ80" s="390">
        <f t="shared" si="1"/>
        <v>0</v>
      </c>
      <c r="AK80" s="390">
        <f t="shared" si="1"/>
        <v>0</v>
      </c>
      <c r="AL80" s="390">
        <f t="shared" si="1"/>
        <v>0</v>
      </c>
      <c r="AM80" s="390">
        <f t="shared" si="1"/>
        <v>0</v>
      </c>
      <c r="AN80" s="390">
        <f t="shared" si="1"/>
        <v>0</v>
      </c>
      <c r="AO80" s="390">
        <f t="shared" si="1"/>
        <v>0</v>
      </c>
    </row>
    <row r="81" spans="3:43" x14ac:dyDescent="0.2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0.37965428939083246</v>
      </c>
      <c r="K81" s="181">
        <f t="shared" si="1"/>
        <v>0.37965428939083246</v>
      </c>
      <c r="L81" s="181">
        <f t="shared" si="1"/>
        <v>0.37965428939083246</v>
      </c>
      <c r="M81" s="181">
        <f t="shared" si="1"/>
        <v>0.37965428939083246</v>
      </c>
      <c r="N81" s="181">
        <f t="shared" si="1"/>
        <v>0.37965428939083246</v>
      </c>
      <c r="O81" s="181">
        <f t="shared" si="1"/>
        <v>0.37965428939083246</v>
      </c>
      <c r="P81" s="181">
        <f t="shared" si="1"/>
        <v>0.37965428939083246</v>
      </c>
      <c r="Q81" s="181">
        <f t="shared" si="1"/>
        <v>0.37965428939083246</v>
      </c>
      <c r="R81" s="181">
        <f t="shared" si="1"/>
        <v>0.37965428939083246</v>
      </c>
      <c r="S81" s="181">
        <f t="shared" si="1"/>
        <v>0.37965428939083246</v>
      </c>
      <c r="T81" s="181">
        <f t="shared" si="1"/>
        <v>0.37965428939083246</v>
      </c>
      <c r="U81" s="181">
        <f t="shared" si="1"/>
        <v>0.37965428939083246</v>
      </c>
      <c r="V81" s="181">
        <f t="shared" si="1"/>
        <v>0.37965428939083246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0.37965428939083246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25">
      <c r="D82" s="86"/>
      <c r="E82" s="293"/>
    </row>
    <row r="83" spans="3:43" x14ac:dyDescent="0.25">
      <c r="D83" s="293"/>
      <c r="E83" s="86" t="s">
        <v>415</v>
      </c>
      <c r="I83" s="293" t="s">
        <v>359</v>
      </c>
      <c r="AQ83" s="293" t="s">
        <v>917</v>
      </c>
    </row>
    <row r="84" spans="3:43" x14ac:dyDescent="0.2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0.54896300131614539</v>
      </c>
      <c r="K84" s="180">
        <f t="shared" ref="K84:AO84" si="2">INDEX($J66:$Y66,K$54)</f>
        <v>0.54896300131614539</v>
      </c>
      <c r="L84" s="180">
        <f t="shared" si="2"/>
        <v>0.54896300131614539</v>
      </c>
      <c r="M84" s="180">
        <f t="shared" si="2"/>
        <v>0.54896300131614539</v>
      </c>
      <c r="N84" s="180">
        <f t="shared" si="2"/>
        <v>0.54896300131614539</v>
      </c>
      <c r="O84" s="180">
        <f t="shared" si="2"/>
        <v>0.54896300131614539</v>
      </c>
      <c r="P84" s="180">
        <f t="shared" si="2"/>
        <v>0.54896300131614539</v>
      </c>
      <c r="Q84" s="180">
        <f t="shared" si="2"/>
        <v>0.54896300131614539</v>
      </c>
      <c r="R84" s="180">
        <f t="shared" si="2"/>
        <v>0.54896300131614539</v>
      </c>
      <c r="S84" s="180">
        <f t="shared" si="2"/>
        <v>0.54896300131614539</v>
      </c>
      <c r="T84" s="180">
        <f t="shared" si="2"/>
        <v>0.54896300131614539</v>
      </c>
      <c r="U84" s="180">
        <f t="shared" si="2"/>
        <v>0.54896300131614539</v>
      </c>
      <c r="V84" s="180">
        <f t="shared" si="2"/>
        <v>0.54896300131614539</v>
      </c>
      <c r="W84" s="180">
        <f t="shared" si="2"/>
        <v>0.27129203207220204</v>
      </c>
      <c r="X84" s="180">
        <f t="shared" si="2"/>
        <v>0.27129203207220204</v>
      </c>
      <c r="Y84" s="180">
        <f t="shared" si="2"/>
        <v>0.27129203207220204</v>
      </c>
      <c r="Z84" s="180">
        <f t="shared" si="2"/>
        <v>0.27129203207220204</v>
      </c>
      <c r="AA84" s="180">
        <f t="shared" si="2"/>
        <v>0.27129203207220204</v>
      </c>
      <c r="AB84" s="180">
        <f t="shared" si="2"/>
        <v>0.17674798485106219</v>
      </c>
      <c r="AC84" s="180">
        <f t="shared" si="2"/>
        <v>0.17674798485106219</v>
      </c>
      <c r="AD84" s="180">
        <f t="shared" si="2"/>
        <v>0.17674798485106219</v>
      </c>
      <c r="AE84" s="180">
        <f t="shared" si="2"/>
        <v>0.17674798485106219</v>
      </c>
      <c r="AF84" s="180">
        <f t="shared" si="2"/>
        <v>0.17674798485106219</v>
      </c>
      <c r="AG84" s="180">
        <f t="shared" si="2"/>
        <v>0.54896300131614539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25">
      <c r="D85" s="293"/>
      <c r="E85" s="86"/>
      <c r="F85" s="293" t="s">
        <v>135</v>
      </c>
      <c r="G85" s="293" t="s">
        <v>94</v>
      </c>
      <c r="H85" s="379"/>
      <c r="J85" s="390">
        <f t="shared" ref="J85:AO90" si="3">INDEX($J67:$Y67,J$54)</f>
        <v>0.54896300131614539</v>
      </c>
      <c r="K85" s="390">
        <f t="shared" si="3"/>
        <v>0.54896300131614539</v>
      </c>
      <c r="L85" s="390">
        <f t="shared" si="3"/>
        <v>0.54896300131614539</v>
      </c>
      <c r="M85" s="390">
        <f t="shared" si="3"/>
        <v>0.54896300131614539</v>
      </c>
      <c r="N85" s="390">
        <f t="shared" si="3"/>
        <v>0.54896300131614539</v>
      </c>
      <c r="O85" s="390">
        <f t="shared" si="3"/>
        <v>0.54896300131614539</v>
      </c>
      <c r="P85" s="390">
        <f t="shared" si="3"/>
        <v>0.54896300131614539</v>
      </c>
      <c r="Q85" s="390">
        <f t="shared" si="3"/>
        <v>0.54896300131614539</v>
      </c>
      <c r="R85" s="390">
        <f t="shared" si="3"/>
        <v>0.54896300131614539</v>
      </c>
      <c r="S85" s="390">
        <f t="shared" si="3"/>
        <v>0.54896300131614539</v>
      </c>
      <c r="T85" s="390">
        <f t="shared" si="3"/>
        <v>0.54896300131614539</v>
      </c>
      <c r="U85" s="390">
        <f t="shared" si="3"/>
        <v>0.54896300131614539</v>
      </c>
      <c r="V85" s="390">
        <f t="shared" si="3"/>
        <v>0.54896300131614539</v>
      </c>
      <c r="W85" s="390">
        <f t="shared" si="3"/>
        <v>0.27129203207220204</v>
      </c>
      <c r="X85" s="390">
        <f t="shared" si="3"/>
        <v>0.27129203207220204</v>
      </c>
      <c r="Y85" s="390">
        <f t="shared" si="3"/>
        <v>0.27129203207220204</v>
      </c>
      <c r="Z85" s="390">
        <f t="shared" si="3"/>
        <v>0.27129203207220204</v>
      </c>
      <c r="AA85" s="390">
        <f t="shared" si="3"/>
        <v>0.27129203207220204</v>
      </c>
      <c r="AB85" s="390">
        <f t="shared" si="3"/>
        <v>0.17674798485106219</v>
      </c>
      <c r="AC85" s="390">
        <f t="shared" si="3"/>
        <v>0.17674798485106219</v>
      </c>
      <c r="AD85" s="390">
        <f t="shared" si="3"/>
        <v>0.17674798485106219</v>
      </c>
      <c r="AE85" s="390">
        <f t="shared" si="3"/>
        <v>0.17674798485106219</v>
      </c>
      <c r="AF85" s="390">
        <f t="shared" si="3"/>
        <v>0.17674798485106219</v>
      </c>
      <c r="AG85" s="390">
        <f t="shared" si="3"/>
        <v>0.54896300131614539</v>
      </c>
      <c r="AH85" s="390">
        <f t="shared" si="3"/>
        <v>0</v>
      </c>
      <c r="AI85" s="390">
        <f t="shared" si="3"/>
        <v>0</v>
      </c>
      <c r="AJ85" s="390">
        <f t="shared" si="3"/>
        <v>0</v>
      </c>
      <c r="AK85" s="390">
        <f t="shared" si="3"/>
        <v>0</v>
      </c>
      <c r="AL85" s="390">
        <f t="shared" si="3"/>
        <v>0</v>
      </c>
      <c r="AM85" s="390">
        <f t="shared" si="3"/>
        <v>0</v>
      </c>
      <c r="AN85" s="390">
        <f t="shared" si="3"/>
        <v>0</v>
      </c>
      <c r="AO85" s="390">
        <f t="shared" si="3"/>
        <v>0</v>
      </c>
    </row>
    <row r="86" spans="3:43" x14ac:dyDescent="0.25">
      <c r="D86" s="293"/>
      <c r="E86" s="86"/>
      <c r="F86" s="293" t="s">
        <v>136</v>
      </c>
      <c r="G86" s="293" t="s">
        <v>94</v>
      </c>
      <c r="H86" s="379"/>
      <c r="J86" s="390">
        <f t="shared" si="3"/>
        <v>0.54896300131614539</v>
      </c>
      <c r="K86" s="390">
        <f t="shared" si="3"/>
        <v>0.54896300131614539</v>
      </c>
      <c r="L86" s="390">
        <f t="shared" si="3"/>
        <v>0.54896300131614539</v>
      </c>
      <c r="M86" s="390">
        <f t="shared" si="3"/>
        <v>0.54896300131614539</v>
      </c>
      <c r="N86" s="390">
        <f t="shared" si="3"/>
        <v>0.54896300131614539</v>
      </c>
      <c r="O86" s="390">
        <f t="shared" si="3"/>
        <v>0.54896300131614539</v>
      </c>
      <c r="P86" s="390">
        <f t="shared" si="3"/>
        <v>0.54896300131614539</v>
      </c>
      <c r="Q86" s="390">
        <f t="shared" si="3"/>
        <v>0.54896300131614539</v>
      </c>
      <c r="R86" s="390">
        <f t="shared" si="3"/>
        <v>0.54896300131614539</v>
      </c>
      <c r="S86" s="390">
        <f t="shared" si="3"/>
        <v>0.54896300131614539</v>
      </c>
      <c r="T86" s="390">
        <f t="shared" si="3"/>
        <v>0.54896300131614539</v>
      </c>
      <c r="U86" s="390">
        <f t="shared" si="3"/>
        <v>0.54896300131614539</v>
      </c>
      <c r="V86" s="390">
        <f t="shared" si="3"/>
        <v>0.54896300131614539</v>
      </c>
      <c r="W86" s="390">
        <f t="shared" si="3"/>
        <v>0.27129203207220204</v>
      </c>
      <c r="X86" s="390">
        <f t="shared" si="3"/>
        <v>0.27129203207220204</v>
      </c>
      <c r="Y86" s="390">
        <f t="shared" si="3"/>
        <v>0.27129203207220204</v>
      </c>
      <c r="Z86" s="390">
        <f t="shared" si="3"/>
        <v>0.27129203207220204</v>
      </c>
      <c r="AA86" s="390">
        <f t="shared" si="3"/>
        <v>0.27129203207220204</v>
      </c>
      <c r="AB86" s="390">
        <f t="shared" si="3"/>
        <v>0.17674798485106219</v>
      </c>
      <c r="AC86" s="390">
        <f t="shared" si="3"/>
        <v>0.17674798485106219</v>
      </c>
      <c r="AD86" s="390">
        <f t="shared" si="3"/>
        <v>0.17674798485106219</v>
      </c>
      <c r="AE86" s="390">
        <f t="shared" si="3"/>
        <v>0.17674798485106219</v>
      </c>
      <c r="AF86" s="390">
        <f t="shared" si="3"/>
        <v>0.17674798485106219</v>
      </c>
      <c r="AG86" s="390">
        <f t="shared" si="3"/>
        <v>0.54896300131614539</v>
      </c>
      <c r="AH86" s="390">
        <f t="shared" si="3"/>
        <v>0</v>
      </c>
      <c r="AI86" s="390">
        <f t="shared" si="3"/>
        <v>0</v>
      </c>
      <c r="AJ86" s="390">
        <f t="shared" si="3"/>
        <v>0</v>
      </c>
      <c r="AK86" s="390">
        <f t="shared" si="3"/>
        <v>0</v>
      </c>
      <c r="AL86" s="390">
        <f t="shared" si="3"/>
        <v>0</v>
      </c>
      <c r="AM86" s="390">
        <f t="shared" si="3"/>
        <v>0</v>
      </c>
      <c r="AN86" s="390">
        <f t="shared" si="3"/>
        <v>0</v>
      </c>
      <c r="AO86" s="390">
        <f t="shared" si="3"/>
        <v>0</v>
      </c>
    </row>
    <row r="87" spans="3:43" x14ac:dyDescent="0.25">
      <c r="D87" s="293"/>
      <c r="E87" s="86"/>
      <c r="F87" s="293" t="s">
        <v>254</v>
      </c>
      <c r="G87" s="293" t="s">
        <v>94</v>
      </c>
      <c r="H87" s="379"/>
      <c r="J87" s="390">
        <f t="shared" si="3"/>
        <v>0.54896300131614539</v>
      </c>
      <c r="K87" s="390">
        <f t="shared" si="3"/>
        <v>0.54896300131614539</v>
      </c>
      <c r="L87" s="390">
        <f t="shared" si="3"/>
        <v>0.54896300131614539</v>
      </c>
      <c r="M87" s="390">
        <f t="shared" si="3"/>
        <v>0.54896300131614539</v>
      </c>
      <c r="N87" s="390">
        <f t="shared" si="3"/>
        <v>0.54896300131614539</v>
      </c>
      <c r="O87" s="390">
        <f t="shared" si="3"/>
        <v>0.54896300131614539</v>
      </c>
      <c r="P87" s="390">
        <f t="shared" si="3"/>
        <v>0.54896300131614539</v>
      </c>
      <c r="Q87" s="390">
        <f t="shared" si="3"/>
        <v>0.54896300131614539</v>
      </c>
      <c r="R87" s="390">
        <f t="shared" si="3"/>
        <v>0.54896300131614539</v>
      </c>
      <c r="S87" s="390">
        <f t="shared" si="3"/>
        <v>0.54896300131614539</v>
      </c>
      <c r="T87" s="390">
        <f t="shared" si="3"/>
        <v>0.54896300131614539</v>
      </c>
      <c r="U87" s="390">
        <f t="shared" si="3"/>
        <v>0.54896300131614539</v>
      </c>
      <c r="V87" s="390">
        <f t="shared" si="3"/>
        <v>0.54896300131614539</v>
      </c>
      <c r="W87" s="390">
        <f t="shared" si="3"/>
        <v>0.27129203207220204</v>
      </c>
      <c r="X87" s="390">
        <f t="shared" si="3"/>
        <v>0.27129203207220204</v>
      </c>
      <c r="Y87" s="390">
        <f t="shared" si="3"/>
        <v>0.27129203207220204</v>
      </c>
      <c r="Z87" s="390">
        <f t="shared" si="3"/>
        <v>0.27129203207220204</v>
      </c>
      <c r="AA87" s="390">
        <f t="shared" si="3"/>
        <v>0.27129203207220204</v>
      </c>
      <c r="AB87" s="390">
        <f t="shared" si="3"/>
        <v>0.17674798485106219</v>
      </c>
      <c r="AC87" s="390">
        <f t="shared" si="3"/>
        <v>0.17674798485106219</v>
      </c>
      <c r="AD87" s="390">
        <f t="shared" si="3"/>
        <v>0.17674798485106219</v>
      </c>
      <c r="AE87" s="390">
        <f t="shared" si="3"/>
        <v>0.17674798485106219</v>
      </c>
      <c r="AF87" s="390">
        <f t="shared" si="3"/>
        <v>0.17674798485106219</v>
      </c>
      <c r="AG87" s="390">
        <f t="shared" si="3"/>
        <v>0.54896300131614539</v>
      </c>
      <c r="AH87" s="390">
        <f t="shared" si="3"/>
        <v>1</v>
      </c>
      <c r="AI87" s="390">
        <f t="shared" si="3"/>
        <v>1</v>
      </c>
      <c r="AJ87" s="390">
        <f t="shared" si="3"/>
        <v>1</v>
      </c>
      <c r="AK87" s="390">
        <f t="shared" si="3"/>
        <v>1</v>
      </c>
      <c r="AL87" s="390">
        <f t="shared" si="3"/>
        <v>1</v>
      </c>
      <c r="AM87" s="390">
        <f t="shared" si="3"/>
        <v>1</v>
      </c>
      <c r="AN87" s="390">
        <f t="shared" si="3"/>
        <v>1</v>
      </c>
      <c r="AO87" s="390">
        <f t="shared" si="3"/>
        <v>1</v>
      </c>
    </row>
    <row r="88" spans="3:43" x14ac:dyDescent="0.25">
      <c r="D88" s="293"/>
      <c r="E88" s="86"/>
      <c r="F88" s="293" t="s">
        <v>255</v>
      </c>
      <c r="G88" s="293" t="s">
        <v>94</v>
      </c>
      <c r="H88" s="379"/>
      <c r="J88" s="390">
        <f t="shared" si="3"/>
        <v>0.54896300131614539</v>
      </c>
      <c r="K88" s="390">
        <f t="shared" si="3"/>
        <v>0.54896300131614539</v>
      </c>
      <c r="L88" s="390">
        <f t="shared" si="3"/>
        <v>0.54896300131614539</v>
      </c>
      <c r="M88" s="390">
        <f t="shared" si="3"/>
        <v>0.54896300131614539</v>
      </c>
      <c r="N88" s="390">
        <f t="shared" si="3"/>
        <v>0.54896300131614539</v>
      </c>
      <c r="O88" s="390">
        <f t="shared" si="3"/>
        <v>0.54896300131614539</v>
      </c>
      <c r="P88" s="390">
        <f t="shared" si="3"/>
        <v>0.54896300131614539</v>
      </c>
      <c r="Q88" s="390">
        <f t="shared" si="3"/>
        <v>0.54896300131614539</v>
      </c>
      <c r="R88" s="390">
        <f t="shared" si="3"/>
        <v>0.54896300131614539</v>
      </c>
      <c r="S88" s="390">
        <f t="shared" si="3"/>
        <v>0.54896300131614539</v>
      </c>
      <c r="T88" s="390">
        <f t="shared" si="3"/>
        <v>0.54896300131614539</v>
      </c>
      <c r="U88" s="390">
        <f t="shared" si="3"/>
        <v>0.54896300131614539</v>
      </c>
      <c r="V88" s="390">
        <f t="shared" si="3"/>
        <v>0.54896300131614539</v>
      </c>
      <c r="W88" s="390">
        <f t="shared" si="3"/>
        <v>0.27129203207220204</v>
      </c>
      <c r="X88" s="390">
        <f t="shared" si="3"/>
        <v>0.27129203207220204</v>
      </c>
      <c r="Y88" s="390">
        <f t="shared" si="3"/>
        <v>0.27129203207220204</v>
      </c>
      <c r="Z88" s="390">
        <f t="shared" si="3"/>
        <v>0.27129203207220204</v>
      </c>
      <c r="AA88" s="390">
        <f t="shared" si="3"/>
        <v>0.27129203207220204</v>
      </c>
      <c r="AB88" s="390">
        <f t="shared" si="3"/>
        <v>0.17674798485106219</v>
      </c>
      <c r="AC88" s="390">
        <f t="shared" si="3"/>
        <v>0.17674798485106219</v>
      </c>
      <c r="AD88" s="390">
        <f t="shared" si="3"/>
        <v>0.17674798485106219</v>
      </c>
      <c r="AE88" s="390">
        <f t="shared" si="3"/>
        <v>0.17674798485106219</v>
      </c>
      <c r="AF88" s="390">
        <f t="shared" si="3"/>
        <v>0.17674798485106219</v>
      </c>
      <c r="AG88" s="390">
        <f t="shared" si="3"/>
        <v>0.54896300131614539</v>
      </c>
      <c r="AH88" s="390">
        <f t="shared" si="3"/>
        <v>0</v>
      </c>
      <c r="AI88" s="390">
        <f t="shared" si="3"/>
        <v>0</v>
      </c>
      <c r="AJ88" s="390">
        <f t="shared" si="3"/>
        <v>0</v>
      </c>
      <c r="AK88" s="390">
        <f t="shared" si="3"/>
        <v>0</v>
      </c>
      <c r="AL88" s="390">
        <f t="shared" si="3"/>
        <v>0</v>
      </c>
      <c r="AM88" s="390">
        <f t="shared" si="3"/>
        <v>0</v>
      </c>
      <c r="AN88" s="390">
        <f t="shared" si="3"/>
        <v>0</v>
      </c>
      <c r="AO88" s="390">
        <f t="shared" si="3"/>
        <v>0</v>
      </c>
    </row>
    <row r="89" spans="3:43" x14ac:dyDescent="0.25">
      <c r="D89" s="293"/>
      <c r="E89" s="86"/>
      <c r="F89" s="293" t="s">
        <v>256</v>
      </c>
      <c r="G89" s="293" t="s">
        <v>94</v>
      </c>
      <c r="H89" s="379"/>
      <c r="J89" s="390">
        <f t="shared" si="3"/>
        <v>0.54896300131614539</v>
      </c>
      <c r="K89" s="390">
        <f t="shared" si="3"/>
        <v>0.54896300131614539</v>
      </c>
      <c r="L89" s="390">
        <f t="shared" si="3"/>
        <v>0.54896300131614539</v>
      </c>
      <c r="M89" s="390">
        <f t="shared" si="3"/>
        <v>0.54896300131614539</v>
      </c>
      <c r="N89" s="390">
        <f t="shared" si="3"/>
        <v>0.54896300131614539</v>
      </c>
      <c r="O89" s="390">
        <f t="shared" si="3"/>
        <v>0.54896300131614539</v>
      </c>
      <c r="P89" s="390">
        <f t="shared" si="3"/>
        <v>0.54896300131614539</v>
      </c>
      <c r="Q89" s="390">
        <f t="shared" si="3"/>
        <v>0.54896300131614539</v>
      </c>
      <c r="R89" s="390">
        <f t="shared" si="3"/>
        <v>0.54896300131614539</v>
      </c>
      <c r="S89" s="390">
        <f t="shared" si="3"/>
        <v>0.54896300131614539</v>
      </c>
      <c r="T89" s="390">
        <f t="shared" si="3"/>
        <v>0.54896300131614539</v>
      </c>
      <c r="U89" s="390">
        <f t="shared" si="3"/>
        <v>0.54896300131614539</v>
      </c>
      <c r="V89" s="390">
        <f t="shared" si="3"/>
        <v>0.54896300131614539</v>
      </c>
      <c r="W89" s="390">
        <f t="shared" si="3"/>
        <v>0.27129203207220204</v>
      </c>
      <c r="X89" s="390">
        <f t="shared" si="3"/>
        <v>0.27129203207220204</v>
      </c>
      <c r="Y89" s="390">
        <f t="shared" si="3"/>
        <v>0.27129203207220204</v>
      </c>
      <c r="Z89" s="390">
        <f t="shared" si="3"/>
        <v>0.27129203207220204</v>
      </c>
      <c r="AA89" s="390">
        <f t="shared" si="3"/>
        <v>0.27129203207220204</v>
      </c>
      <c r="AB89" s="390">
        <f t="shared" si="3"/>
        <v>0.17674798485106219</v>
      </c>
      <c r="AC89" s="390">
        <f t="shared" si="3"/>
        <v>0.17674798485106219</v>
      </c>
      <c r="AD89" s="390">
        <f t="shared" si="3"/>
        <v>0.17674798485106219</v>
      </c>
      <c r="AE89" s="390">
        <f t="shared" si="3"/>
        <v>0.17674798485106219</v>
      </c>
      <c r="AF89" s="390">
        <f t="shared" si="3"/>
        <v>0.17674798485106219</v>
      </c>
      <c r="AG89" s="390">
        <f t="shared" si="3"/>
        <v>0.54896300131614539</v>
      </c>
      <c r="AH89" s="390">
        <f t="shared" si="3"/>
        <v>0</v>
      </c>
      <c r="AI89" s="390">
        <f t="shared" si="3"/>
        <v>0</v>
      </c>
      <c r="AJ89" s="390">
        <f t="shared" si="3"/>
        <v>0</v>
      </c>
      <c r="AK89" s="390">
        <f t="shared" si="3"/>
        <v>0</v>
      </c>
      <c r="AL89" s="390">
        <f t="shared" si="3"/>
        <v>0</v>
      </c>
      <c r="AM89" s="390">
        <f t="shared" si="3"/>
        <v>0</v>
      </c>
      <c r="AN89" s="390">
        <f t="shared" si="3"/>
        <v>0</v>
      </c>
      <c r="AO89" s="390">
        <f t="shared" si="3"/>
        <v>0</v>
      </c>
    </row>
    <row r="90" spans="3:43" x14ac:dyDescent="0.2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0.54896300131614539</v>
      </c>
      <c r="K90" s="181">
        <f t="shared" si="3"/>
        <v>0.54896300131614539</v>
      </c>
      <c r="L90" s="181">
        <f t="shared" si="3"/>
        <v>0.54896300131614539</v>
      </c>
      <c r="M90" s="181">
        <f t="shared" si="3"/>
        <v>0.54896300131614539</v>
      </c>
      <c r="N90" s="181">
        <f t="shared" si="3"/>
        <v>0.54896300131614539</v>
      </c>
      <c r="O90" s="181">
        <f t="shared" si="3"/>
        <v>0.54896300131614539</v>
      </c>
      <c r="P90" s="181">
        <f t="shared" si="3"/>
        <v>0.54896300131614539</v>
      </c>
      <c r="Q90" s="181">
        <f t="shared" si="3"/>
        <v>0.54896300131614539</v>
      </c>
      <c r="R90" s="181">
        <f t="shared" si="3"/>
        <v>0.54896300131614539</v>
      </c>
      <c r="S90" s="181">
        <f t="shared" si="3"/>
        <v>0.54896300131614539</v>
      </c>
      <c r="T90" s="181">
        <f t="shared" si="3"/>
        <v>0.54896300131614539</v>
      </c>
      <c r="U90" s="181">
        <f t="shared" si="3"/>
        <v>0.54896300131614539</v>
      </c>
      <c r="V90" s="181">
        <f t="shared" si="3"/>
        <v>0.54896300131614539</v>
      </c>
      <c r="W90" s="181">
        <f t="shared" si="3"/>
        <v>0.27129203207220204</v>
      </c>
      <c r="X90" s="181">
        <f t="shared" si="3"/>
        <v>0.27129203207220204</v>
      </c>
      <c r="Y90" s="181">
        <f t="shared" si="3"/>
        <v>0.27129203207220204</v>
      </c>
      <c r="Z90" s="181">
        <f t="shared" si="3"/>
        <v>0.27129203207220204</v>
      </c>
      <c r="AA90" s="181">
        <f t="shared" si="3"/>
        <v>0.27129203207220204</v>
      </c>
      <c r="AB90" s="181">
        <f t="shared" si="3"/>
        <v>0.17674798485106219</v>
      </c>
      <c r="AC90" s="181">
        <f t="shared" si="3"/>
        <v>0.17674798485106219</v>
      </c>
      <c r="AD90" s="181">
        <f t="shared" si="3"/>
        <v>0.17674798485106219</v>
      </c>
      <c r="AE90" s="181">
        <f t="shared" si="3"/>
        <v>0.17674798485106219</v>
      </c>
      <c r="AF90" s="181">
        <f t="shared" si="3"/>
        <v>0.17674798485106219</v>
      </c>
      <c r="AG90" s="181">
        <f t="shared" si="3"/>
        <v>0.54896300131614539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25">
      <c r="D91" s="86"/>
      <c r="E91" s="293"/>
    </row>
    <row r="92" spans="3:43" x14ac:dyDescent="0.25">
      <c r="C92" s="7" t="str">
        <f ca="1">INDEX('Version control'!$H$34:$H$60,MATCH($A$1,'Version control'!$F$34:$F$60,0),1)&amp;"-E: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25">
      <c r="E94" s="96" t="s">
        <v>260</v>
      </c>
      <c r="I94" s="293" t="s">
        <v>359</v>
      </c>
      <c r="AQ94" s="293" t="s">
        <v>700</v>
      </c>
    </row>
    <row r="95" spans="3:43" x14ac:dyDescent="0.25">
      <c r="C95" s="86"/>
      <c r="F95" s="91" t="s">
        <v>134</v>
      </c>
      <c r="G95" s="91" t="s">
        <v>427</v>
      </c>
      <c r="H95" s="141">
        <f>'Fixed inputs'!H25</f>
        <v>3</v>
      </c>
    </row>
    <row r="96" spans="3:43" x14ac:dyDescent="0.25">
      <c r="C96" s="86"/>
      <c r="F96" s="293" t="s">
        <v>135</v>
      </c>
      <c r="G96" s="293" t="s">
        <v>427</v>
      </c>
      <c r="H96" s="379">
        <f>'Fixed inputs'!H26</f>
        <v>3</v>
      </c>
    </row>
    <row r="97" spans="2:43" x14ac:dyDescent="0.25">
      <c r="C97" s="86"/>
      <c r="F97" s="293" t="s">
        <v>136</v>
      </c>
      <c r="G97" s="293" t="s">
        <v>427</v>
      </c>
      <c r="H97" s="379">
        <f>'Fixed inputs'!H27</f>
        <v>3</v>
      </c>
    </row>
    <row r="98" spans="2:43" x14ac:dyDescent="0.25">
      <c r="C98" s="86"/>
      <c r="F98" s="293" t="s">
        <v>254</v>
      </c>
      <c r="G98" s="293" t="s">
        <v>427</v>
      </c>
      <c r="H98" s="379">
        <f>'Fixed inputs'!H28</f>
        <v>2</v>
      </c>
    </row>
    <row r="99" spans="2:43" x14ac:dyDescent="0.25">
      <c r="C99" s="86"/>
      <c r="F99" s="293" t="s">
        <v>255</v>
      </c>
      <c r="G99" s="293" t="s">
        <v>427</v>
      </c>
      <c r="H99" s="379">
        <f>'Fixed inputs'!H29</f>
        <v>2</v>
      </c>
    </row>
    <row r="100" spans="2:43" x14ac:dyDescent="0.25">
      <c r="C100" s="86"/>
      <c r="F100" s="293" t="s">
        <v>256</v>
      </c>
      <c r="G100" s="293" t="s">
        <v>427</v>
      </c>
      <c r="H100" s="379">
        <f>'Fixed inputs'!H30</f>
        <v>2</v>
      </c>
    </row>
    <row r="101" spans="2:43" x14ac:dyDescent="0.25">
      <c r="C101" s="86"/>
      <c r="F101" s="93" t="s">
        <v>257</v>
      </c>
      <c r="G101" s="93" t="s">
        <v>427</v>
      </c>
      <c r="H101" s="115">
        <f>'Fixed inputs'!H31</f>
        <v>3</v>
      </c>
    </row>
    <row r="102" spans="2:43" x14ac:dyDescent="0.25">
      <c r="C102" s="86"/>
    </row>
    <row r="103" spans="2:43" x14ac:dyDescent="0.25">
      <c r="B103" s="95" t="s">
        <v>771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25">
      <c r="C105" s="82" t="s">
        <v>772</v>
      </c>
    </row>
    <row r="107" spans="2:43" x14ac:dyDescent="0.25">
      <c r="C107" s="7" t="str">
        <f ca="1">INDEX('Version control'!$H$34:$H$60,MATCH($A$1,'Version control'!$F$34:$F$60,0),1)&amp;"-F: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25">
      <c r="D109" s="293"/>
      <c r="E109" s="96" t="s">
        <v>773</v>
      </c>
      <c r="F109" s="96"/>
    </row>
    <row r="110" spans="2:43" x14ac:dyDescent="0.25">
      <c r="D110" s="293"/>
      <c r="E110" s="86"/>
      <c r="F110" s="91" t="s">
        <v>134</v>
      </c>
      <c r="G110" s="91" t="s">
        <v>183</v>
      </c>
      <c r="H110" s="357"/>
      <c r="I110" s="346"/>
      <c r="J110" s="359">
        <f xml:space="preserve"> J20 + J32</f>
        <v>10.771355700294261</v>
      </c>
      <c r="K110" s="359">
        <f t="shared" ref="K110:AO116" si="4" xml:space="preserve"> K20 + K32</f>
        <v>10.771355700294261</v>
      </c>
      <c r="L110" s="359">
        <f t="shared" si="4"/>
        <v>13.135796667877077</v>
      </c>
      <c r="M110" s="359">
        <f t="shared" si="4"/>
        <v>13.135796667877077</v>
      </c>
      <c r="N110" s="359">
        <f t="shared" si="4"/>
        <v>13.135796667877077</v>
      </c>
      <c r="O110" s="359">
        <f t="shared" si="4"/>
        <v>13.135796667877077</v>
      </c>
      <c r="P110" s="359">
        <f t="shared" si="4"/>
        <v>13.135796667877077</v>
      </c>
      <c r="Q110" s="359">
        <f t="shared" si="4"/>
        <v>13.135796667877077</v>
      </c>
      <c r="R110" s="359">
        <f t="shared" si="4"/>
        <v>8.6777395420743506</v>
      </c>
      <c r="S110" s="359">
        <f t="shared" si="4"/>
        <v>8.6777395420743506</v>
      </c>
      <c r="T110" s="359">
        <f t="shared" si="4"/>
        <v>8.6777395420743506</v>
      </c>
      <c r="U110" s="359">
        <f t="shared" si="4"/>
        <v>8.6777395420743506</v>
      </c>
      <c r="V110" s="359">
        <f t="shared" si="4"/>
        <v>8.6777395420743506</v>
      </c>
      <c r="W110" s="359">
        <f t="shared" si="4"/>
        <v>6.9484923191344734</v>
      </c>
      <c r="X110" s="359">
        <f t="shared" si="4"/>
        <v>6.9484923191344734</v>
      </c>
      <c r="Y110" s="359">
        <f t="shared" si="4"/>
        <v>6.9484923191344734</v>
      </c>
      <c r="Z110" s="359">
        <f t="shared" si="4"/>
        <v>6.9484923191344734</v>
      </c>
      <c r="AA110" s="359">
        <f t="shared" si="4"/>
        <v>6.9484923191344734</v>
      </c>
      <c r="AB110" s="359">
        <f t="shared" si="4"/>
        <v>5.2251387742031961</v>
      </c>
      <c r="AC110" s="359">
        <f t="shared" si="4"/>
        <v>5.2251387742031961</v>
      </c>
      <c r="AD110" s="359">
        <f t="shared" si="4"/>
        <v>5.2251387742031961</v>
      </c>
      <c r="AE110" s="359">
        <f t="shared" si="4"/>
        <v>5.2251387742031961</v>
      </c>
      <c r="AF110" s="359">
        <f t="shared" si="4"/>
        <v>5.2251387742031961</v>
      </c>
      <c r="AG110" s="359">
        <f t="shared" si="4"/>
        <v>19.902260736627216</v>
      </c>
      <c r="AH110" s="359">
        <f t="shared" si="4"/>
        <v>-8.083502385442868</v>
      </c>
      <c r="AI110" s="359">
        <f t="shared" si="4"/>
        <v>-7.3088931950806888</v>
      </c>
      <c r="AJ110" s="359">
        <f t="shared" si="4"/>
        <v>-8.083502385442868</v>
      </c>
      <c r="AK110" s="359">
        <f t="shared" si="4"/>
        <v>-8.083502385442868</v>
      </c>
      <c r="AL110" s="359">
        <f t="shared" si="4"/>
        <v>-7.3088931950806888</v>
      </c>
      <c r="AM110" s="359">
        <f t="shared" si="4"/>
        <v>-7.3088931950806888</v>
      </c>
      <c r="AN110" s="359">
        <f t="shared" si="4"/>
        <v>-5.3921382806734499</v>
      </c>
      <c r="AO110" s="359">
        <f t="shared" si="4"/>
        <v>-5.3921382806734499</v>
      </c>
      <c r="AP110" s="348"/>
      <c r="AQ110" s="348"/>
    </row>
    <row r="111" spans="2:43" x14ac:dyDescent="0.25">
      <c r="D111" s="293"/>
      <c r="E111" s="86"/>
      <c r="F111" s="293" t="s">
        <v>135</v>
      </c>
      <c r="G111" s="293" t="s">
        <v>183</v>
      </c>
      <c r="H111" s="415"/>
      <c r="I111" s="348"/>
      <c r="J111" s="416">
        <f t="shared" ref="J111:J116" si="5" xml:space="preserve"> J21 + J33</f>
        <v>1.9378384371204245</v>
      </c>
      <c r="K111" s="416">
        <f t="shared" si="4"/>
        <v>1.9378384371204245</v>
      </c>
      <c r="L111" s="416">
        <f t="shared" si="4"/>
        <v>2.3632170725283155</v>
      </c>
      <c r="M111" s="416">
        <f t="shared" si="4"/>
        <v>2.3632170725283155</v>
      </c>
      <c r="N111" s="416">
        <f t="shared" si="4"/>
        <v>2.3632170725283155</v>
      </c>
      <c r="O111" s="416">
        <f t="shared" si="4"/>
        <v>2.3632170725283155</v>
      </c>
      <c r="P111" s="416">
        <f t="shared" si="4"/>
        <v>2.3632170725283155</v>
      </c>
      <c r="Q111" s="416">
        <f t="shared" si="4"/>
        <v>2.3632170725283155</v>
      </c>
      <c r="R111" s="416">
        <f t="shared" si="4"/>
        <v>1.4430267840727677</v>
      </c>
      <c r="S111" s="416">
        <f t="shared" si="4"/>
        <v>1.4430267840727677</v>
      </c>
      <c r="T111" s="416">
        <f t="shared" si="4"/>
        <v>1.4430267840727677</v>
      </c>
      <c r="U111" s="416">
        <f t="shared" si="4"/>
        <v>1.4430267840727677</v>
      </c>
      <c r="V111" s="416">
        <f t="shared" si="4"/>
        <v>1.4430267840727677</v>
      </c>
      <c r="W111" s="416">
        <f t="shared" si="4"/>
        <v>0.94531157810868405</v>
      </c>
      <c r="X111" s="416">
        <f t="shared" si="4"/>
        <v>0.94531157810868405</v>
      </c>
      <c r="Y111" s="416">
        <f t="shared" si="4"/>
        <v>0.94531157810868405</v>
      </c>
      <c r="Z111" s="416">
        <f t="shared" si="4"/>
        <v>0.94531157810868405</v>
      </c>
      <c r="AA111" s="416">
        <f t="shared" si="4"/>
        <v>0.94531157810868405</v>
      </c>
      <c r="AB111" s="416">
        <f t="shared" si="4"/>
        <v>0.62394643951897777</v>
      </c>
      <c r="AC111" s="416">
        <f t="shared" si="4"/>
        <v>0.62394643951897777</v>
      </c>
      <c r="AD111" s="416">
        <f t="shared" si="4"/>
        <v>0.62394643951897777</v>
      </c>
      <c r="AE111" s="416">
        <f t="shared" si="4"/>
        <v>0.62394643951897777</v>
      </c>
      <c r="AF111" s="416">
        <f t="shared" si="4"/>
        <v>0.62394643951897777</v>
      </c>
      <c r="AG111" s="416">
        <f t="shared" si="4"/>
        <v>4.0774277634238896</v>
      </c>
      <c r="AH111" s="416">
        <f t="shared" si="4"/>
        <v>-1.4542757722352337</v>
      </c>
      <c r="AI111" s="416">
        <f t="shared" si="4"/>
        <v>-1.2593492541418145</v>
      </c>
      <c r="AJ111" s="416">
        <f t="shared" si="4"/>
        <v>-1.4542757722352337</v>
      </c>
      <c r="AK111" s="416">
        <f t="shared" si="4"/>
        <v>-1.4542757722352337</v>
      </c>
      <c r="AL111" s="416">
        <f t="shared" si="4"/>
        <v>-1.2593492541418145</v>
      </c>
      <c r="AM111" s="416">
        <f t="shared" si="4"/>
        <v>-1.2593492541418145</v>
      </c>
      <c r="AN111" s="416">
        <f t="shared" si="4"/>
        <v>-0.70810900515864061</v>
      </c>
      <c r="AO111" s="416">
        <f t="shared" si="4"/>
        <v>-0.70810900515864061</v>
      </c>
      <c r="AP111" s="348"/>
      <c r="AQ111" s="348"/>
    </row>
    <row r="112" spans="2:43" x14ac:dyDescent="0.25">
      <c r="D112" s="293"/>
      <c r="E112" s="86"/>
      <c r="F112" s="293" t="s">
        <v>136</v>
      </c>
      <c r="G112" s="293" t="s">
        <v>183</v>
      </c>
      <c r="H112" s="415"/>
      <c r="I112" s="348"/>
      <c r="J112" s="416">
        <f t="shared" si="5"/>
        <v>0.21452572109019707</v>
      </c>
      <c r="K112" s="416">
        <f t="shared" si="4"/>
        <v>0.21452572109019707</v>
      </c>
      <c r="L112" s="416">
        <f t="shared" si="4"/>
        <v>0.26161667395252336</v>
      </c>
      <c r="M112" s="416">
        <f t="shared" si="4"/>
        <v>0.26161667395252336</v>
      </c>
      <c r="N112" s="416">
        <f t="shared" si="4"/>
        <v>0.26161667395252336</v>
      </c>
      <c r="O112" s="416">
        <f t="shared" si="4"/>
        <v>0.26161667395252336</v>
      </c>
      <c r="P112" s="416">
        <f t="shared" si="4"/>
        <v>0.26161667395252336</v>
      </c>
      <c r="Q112" s="416">
        <f t="shared" si="4"/>
        <v>0.26161667395252336</v>
      </c>
      <c r="R112" s="416">
        <f t="shared" si="4"/>
        <v>0.16622991183513294</v>
      </c>
      <c r="S112" s="416">
        <f t="shared" si="4"/>
        <v>0.16622991183513294</v>
      </c>
      <c r="T112" s="416">
        <f t="shared" si="4"/>
        <v>0.16622991183513294</v>
      </c>
      <c r="U112" s="416">
        <f t="shared" si="4"/>
        <v>0.16622991183513294</v>
      </c>
      <c r="V112" s="416">
        <f t="shared" si="4"/>
        <v>0.16622991183513294</v>
      </c>
      <c r="W112" s="416">
        <f t="shared" si="4"/>
        <v>0.12136791889315691</v>
      </c>
      <c r="X112" s="416">
        <f t="shared" si="4"/>
        <v>0.12136791889315691</v>
      </c>
      <c r="Y112" s="416">
        <f t="shared" si="4"/>
        <v>0.12136791889315691</v>
      </c>
      <c r="Z112" s="416">
        <f t="shared" si="4"/>
        <v>0.12136791889315691</v>
      </c>
      <c r="AA112" s="416">
        <f t="shared" si="4"/>
        <v>0.12136791889315691</v>
      </c>
      <c r="AB112" s="416">
        <f t="shared" si="4"/>
        <v>7.9944079146318126E-2</v>
      </c>
      <c r="AC112" s="416">
        <f t="shared" si="4"/>
        <v>7.9944079146318126E-2</v>
      </c>
      <c r="AD112" s="416">
        <f t="shared" si="4"/>
        <v>7.9944079146318126E-2</v>
      </c>
      <c r="AE112" s="416">
        <f t="shared" si="4"/>
        <v>7.9944079146318126E-2</v>
      </c>
      <c r="AF112" s="416">
        <f t="shared" si="4"/>
        <v>7.9944079146318126E-2</v>
      </c>
      <c r="AG112" s="416">
        <f t="shared" si="4"/>
        <v>1.7417275138146</v>
      </c>
      <c r="AH112" s="416">
        <f t="shared" si="4"/>
        <v>-0.16099358580499623</v>
      </c>
      <c r="AI112" s="416">
        <f t="shared" si="4"/>
        <v>-0.14246284344281587</v>
      </c>
      <c r="AJ112" s="416">
        <f t="shared" si="4"/>
        <v>-0.16099358580499623</v>
      </c>
      <c r="AK112" s="416">
        <f t="shared" si="4"/>
        <v>-0.16099358580499623</v>
      </c>
      <c r="AL112" s="416">
        <f t="shared" si="4"/>
        <v>-0.14246284344281587</v>
      </c>
      <c r="AM112" s="416">
        <f t="shared" si="4"/>
        <v>-0.14246284344281587</v>
      </c>
      <c r="AN112" s="416">
        <f t="shared" si="4"/>
        <v>-8.9601370113660816E-2</v>
      </c>
      <c r="AO112" s="416">
        <f t="shared" si="4"/>
        <v>-8.9601370113660816E-2</v>
      </c>
      <c r="AP112" s="348"/>
      <c r="AQ112" s="348"/>
    </row>
    <row r="113" spans="3:43" x14ac:dyDescent="0.25">
      <c r="D113" s="293"/>
      <c r="E113" s="86"/>
      <c r="F113" s="293" t="s">
        <v>254</v>
      </c>
      <c r="G113" s="293" t="s">
        <v>252</v>
      </c>
      <c r="H113" s="379"/>
      <c r="J113" s="275">
        <f t="shared" si="5"/>
        <v>15.494215672111878</v>
      </c>
      <c r="K113" s="275">
        <f t="shared" si="4"/>
        <v>0</v>
      </c>
      <c r="L113" s="275">
        <f t="shared" si="4"/>
        <v>5.2097159572486822</v>
      </c>
      <c r="M113" s="275">
        <f t="shared" si="4"/>
        <v>9.2861799811927064</v>
      </c>
      <c r="N113" s="275">
        <f t="shared" si="4"/>
        <v>27.241485971005243</v>
      </c>
      <c r="O113" s="275">
        <f t="shared" si="4"/>
        <v>59.795024988884592</v>
      </c>
      <c r="P113" s="275">
        <f t="shared" si="4"/>
        <v>181.258695860698</v>
      </c>
      <c r="Q113" s="275">
        <f t="shared" si="4"/>
        <v>0</v>
      </c>
      <c r="R113" s="275">
        <f t="shared" si="4"/>
        <v>20.773710300729842</v>
      </c>
      <c r="S113" s="275">
        <f t="shared" si="4"/>
        <v>286.68092068857584</v>
      </c>
      <c r="T113" s="275">
        <f t="shared" si="4"/>
        <v>632.45012501162319</v>
      </c>
      <c r="U113" s="275">
        <f t="shared" si="4"/>
        <v>1051.1172505404518</v>
      </c>
      <c r="V113" s="275">
        <f t="shared" si="4"/>
        <v>2265.68223067492</v>
      </c>
      <c r="W113" s="275">
        <f t="shared" si="4"/>
        <v>7.331897753198767</v>
      </c>
      <c r="X113" s="275">
        <f t="shared" si="4"/>
        <v>273.23910814104477</v>
      </c>
      <c r="Y113" s="275">
        <f t="shared" si="4"/>
        <v>619.008312464092</v>
      </c>
      <c r="Z113" s="275">
        <f t="shared" si="4"/>
        <v>1037.6754379929205</v>
      </c>
      <c r="AA113" s="275">
        <f t="shared" si="4"/>
        <v>2252.2404181273901</v>
      </c>
      <c r="AB113" s="275">
        <f t="shared" si="4"/>
        <v>111.00934456389379</v>
      </c>
      <c r="AC113" s="275">
        <f t="shared" si="4"/>
        <v>1630.6754968428847</v>
      </c>
      <c r="AD113" s="275">
        <f t="shared" si="4"/>
        <v>5763.7646820535974</v>
      </c>
      <c r="AE113" s="275">
        <f t="shared" si="4"/>
        <v>11559.688815576574</v>
      </c>
      <c r="AF113" s="275">
        <f t="shared" si="4"/>
        <v>21623.892465230361</v>
      </c>
      <c r="AG113" s="275">
        <f t="shared" si="4"/>
        <v>0</v>
      </c>
      <c r="AH113" s="275">
        <f t="shared" si="4"/>
        <v>0</v>
      </c>
      <c r="AI113" s="275">
        <f t="shared" si="4"/>
        <v>0</v>
      </c>
      <c r="AJ113" s="275">
        <f t="shared" si="4"/>
        <v>0</v>
      </c>
      <c r="AK113" s="275">
        <f t="shared" si="4"/>
        <v>0</v>
      </c>
      <c r="AL113" s="275">
        <f t="shared" si="4"/>
        <v>0</v>
      </c>
      <c r="AM113" s="275">
        <f t="shared" si="4"/>
        <v>0</v>
      </c>
      <c r="AN113" s="275">
        <f t="shared" si="4"/>
        <v>81.061112421377317</v>
      </c>
      <c r="AO113" s="275">
        <f t="shared" si="4"/>
        <v>81.061112421377317</v>
      </c>
    </row>
    <row r="114" spans="3:43" x14ac:dyDescent="0.25">
      <c r="D114" s="293"/>
      <c r="E114" s="86"/>
      <c r="F114" s="293" t="s">
        <v>255</v>
      </c>
      <c r="G114" s="293" t="s">
        <v>251</v>
      </c>
      <c r="H114" s="379"/>
      <c r="J114" s="275">
        <f t="shared" si="5"/>
        <v>0</v>
      </c>
      <c r="K114" s="275">
        <f t="shared" si="4"/>
        <v>0</v>
      </c>
      <c r="L114" s="275">
        <f t="shared" si="4"/>
        <v>0</v>
      </c>
      <c r="M114" s="275">
        <f t="shared" si="4"/>
        <v>0</v>
      </c>
      <c r="N114" s="275">
        <f t="shared" si="4"/>
        <v>0</v>
      </c>
      <c r="O114" s="275">
        <f t="shared" si="4"/>
        <v>0</v>
      </c>
      <c r="P114" s="275">
        <f t="shared" si="4"/>
        <v>0</v>
      </c>
      <c r="Q114" s="275">
        <f t="shared" si="4"/>
        <v>0</v>
      </c>
      <c r="R114" s="275">
        <f t="shared" si="4"/>
        <v>2.9246805518159871</v>
      </c>
      <c r="S114" s="275">
        <f t="shared" si="4"/>
        <v>2.9246805518159871</v>
      </c>
      <c r="T114" s="275">
        <f t="shared" si="4"/>
        <v>2.9246805518159871</v>
      </c>
      <c r="U114" s="275">
        <f t="shared" si="4"/>
        <v>2.9246805518159871</v>
      </c>
      <c r="V114" s="275">
        <f t="shared" si="4"/>
        <v>2.9246805518159871</v>
      </c>
      <c r="W114" s="275">
        <f t="shared" si="4"/>
        <v>5.7785379748713108</v>
      </c>
      <c r="X114" s="275">
        <f t="shared" si="4"/>
        <v>5.7785379748713108</v>
      </c>
      <c r="Y114" s="275">
        <f t="shared" si="4"/>
        <v>5.7785379748713108</v>
      </c>
      <c r="Z114" s="275">
        <f t="shared" si="4"/>
        <v>5.7785379748713108</v>
      </c>
      <c r="AA114" s="275">
        <f t="shared" si="4"/>
        <v>5.7785379748713108</v>
      </c>
      <c r="AB114" s="275">
        <f t="shared" si="4"/>
        <v>4.6095828572289328</v>
      </c>
      <c r="AC114" s="275">
        <f t="shared" si="4"/>
        <v>4.6095828572289328</v>
      </c>
      <c r="AD114" s="275">
        <f t="shared" si="4"/>
        <v>4.6095828572289328</v>
      </c>
      <c r="AE114" s="275">
        <f t="shared" si="4"/>
        <v>4.6095828572289328</v>
      </c>
      <c r="AF114" s="275">
        <f t="shared" si="4"/>
        <v>4.6095828572289328</v>
      </c>
      <c r="AG114" s="275">
        <f t="shared" si="4"/>
        <v>0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25">
      <c r="D115" s="293"/>
      <c r="E115" s="86"/>
      <c r="F115" s="293" t="s">
        <v>256</v>
      </c>
      <c r="G115" s="293" t="s">
        <v>251</v>
      </c>
      <c r="H115" s="379"/>
      <c r="J115" s="275">
        <f t="shared" si="5"/>
        <v>0</v>
      </c>
      <c r="K115" s="275">
        <f t="shared" si="4"/>
        <v>0</v>
      </c>
      <c r="L115" s="275">
        <f t="shared" si="4"/>
        <v>0</v>
      </c>
      <c r="M115" s="275">
        <f t="shared" si="4"/>
        <v>0</v>
      </c>
      <c r="N115" s="275">
        <f t="shared" si="4"/>
        <v>0</v>
      </c>
      <c r="O115" s="275">
        <f t="shared" si="4"/>
        <v>0</v>
      </c>
      <c r="P115" s="275">
        <f t="shared" si="4"/>
        <v>0</v>
      </c>
      <c r="Q115" s="275">
        <f t="shared" si="4"/>
        <v>0</v>
      </c>
      <c r="R115" s="275">
        <f t="shared" si="4"/>
        <v>4.9763773941978364</v>
      </c>
      <c r="S115" s="275">
        <f t="shared" si="4"/>
        <v>4.9763773941978364</v>
      </c>
      <c r="T115" s="275">
        <f t="shared" si="4"/>
        <v>4.9763773941978364</v>
      </c>
      <c r="U115" s="275">
        <f t="shared" si="4"/>
        <v>4.9763773941978364</v>
      </c>
      <c r="V115" s="275">
        <f t="shared" si="4"/>
        <v>4.9763773941978364</v>
      </c>
      <c r="W115" s="275">
        <f t="shared" si="4"/>
        <v>7.8192629686414357</v>
      </c>
      <c r="X115" s="275">
        <f t="shared" si="4"/>
        <v>7.8192629686414357</v>
      </c>
      <c r="Y115" s="275">
        <f t="shared" si="4"/>
        <v>7.8192629686414357</v>
      </c>
      <c r="Z115" s="275">
        <f t="shared" si="4"/>
        <v>7.8192629686414357</v>
      </c>
      <c r="AA115" s="275">
        <f t="shared" si="4"/>
        <v>7.8192629686414357</v>
      </c>
      <c r="AB115" s="275">
        <f t="shared" si="4"/>
        <v>7.2778427537122079</v>
      </c>
      <c r="AC115" s="275">
        <f t="shared" si="4"/>
        <v>7.2778427537122079</v>
      </c>
      <c r="AD115" s="275">
        <f t="shared" si="4"/>
        <v>7.2778427537122079</v>
      </c>
      <c r="AE115" s="275">
        <f t="shared" si="4"/>
        <v>7.2778427537122079</v>
      </c>
      <c r="AF115" s="275">
        <f t="shared" si="4"/>
        <v>7.2778427537122079</v>
      </c>
      <c r="AG115" s="275">
        <f t="shared" si="4"/>
        <v>0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25">
      <c r="D116" s="293"/>
      <c r="E116" s="86"/>
      <c r="F116" s="93" t="s">
        <v>257</v>
      </c>
      <c r="G116" s="93" t="s">
        <v>258</v>
      </c>
      <c r="H116" s="360"/>
      <c r="I116" s="350"/>
      <c r="J116" s="361">
        <f t="shared" si="5"/>
        <v>0</v>
      </c>
      <c r="K116" s="361">
        <f t="shared" si="4"/>
        <v>0</v>
      </c>
      <c r="L116" s="361">
        <f t="shared" si="4"/>
        <v>0</v>
      </c>
      <c r="M116" s="361">
        <f t="shared" si="4"/>
        <v>0</v>
      </c>
      <c r="N116" s="361">
        <f t="shared" si="4"/>
        <v>0</v>
      </c>
      <c r="O116" s="361">
        <f t="shared" si="4"/>
        <v>0</v>
      </c>
      <c r="P116" s="361">
        <f t="shared" si="4"/>
        <v>0</v>
      </c>
      <c r="Q116" s="361">
        <f t="shared" si="4"/>
        <v>0</v>
      </c>
      <c r="R116" s="361">
        <f t="shared" si="4"/>
        <v>0.43526962220804583</v>
      </c>
      <c r="S116" s="361">
        <f t="shared" si="4"/>
        <v>0.43526962220804583</v>
      </c>
      <c r="T116" s="361">
        <f t="shared" si="4"/>
        <v>0.43526962220804583</v>
      </c>
      <c r="U116" s="361">
        <f t="shared" si="4"/>
        <v>0.43526962220804583</v>
      </c>
      <c r="V116" s="361">
        <f t="shared" si="4"/>
        <v>0.43526962220804583</v>
      </c>
      <c r="W116" s="361">
        <f t="shared" si="4"/>
        <v>0.28980193378804925</v>
      </c>
      <c r="X116" s="361">
        <f t="shared" si="4"/>
        <v>0.28980193378804925</v>
      </c>
      <c r="Y116" s="361">
        <f t="shared" si="4"/>
        <v>0.28980193378804925</v>
      </c>
      <c r="Z116" s="361">
        <f t="shared" si="4"/>
        <v>0.28980193378804925</v>
      </c>
      <c r="AA116" s="361">
        <f t="shared" si="4"/>
        <v>0.28980193378804925</v>
      </c>
      <c r="AB116" s="361">
        <f t="shared" si="4"/>
        <v>0.19257390160279983</v>
      </c>
      <c r="AC116" s="361">
        <f t="shared" si="4"/>
        <v>0.19257390160279983</v>
      </c>
      <c r="AD116" s="361">
        <f t="shared" si="4"/>
        <v>0.19257390160279983</v>
      </c>
      <c r="AE116" s="361">
        <f t="shared" si="4"/>
        <v>0.19257390160279983</v>
      </c>
      <c r="AF116" s="361">
        <f t="shared" si="4"/>
        <v>0.19257390160279983</v>
      </c>
      <c r="AG116" s="361">
        <f t="shared" si="4"/>
        <v>0</v>
      </c>
      <c r="AH116" s="361">
        <f t="shared" si="4"/>
        <v>0</v>
      </c>
      <c r="AI116" s="361">
        <f t="shared" si="4"/>
        <v>0</v>
      </c>
      <c r="AJ116" s="361">
        <f t="shared" si="4"/>
        <v>0.37290703611975162</v>
      </c>
      <c r="AK116" s="361">
        <f t="shared" si="4"/>
        <v>0</v>
      </c>
      <c r="AL116" s="361">
        <f t="shared" si="4"/>
        <v>0.3436237562338107</v>
      </c>
      <c r="AM116" s="361">
        <f t="shared" si="4"/>
        <v>0</v>
      </c>
      <c r="AN116" s="361">
        <f t="shared" si="4"/>
        <v>0.26472909957480251</v>
      </c>
      <c r="AO116" s="361">
        <f t="shared" si="4"/>
        <v>0</v>
      </c>
      <c r="AP116" s="348"/>
      <c r="AQ116" s="348"/>
    </row>
    <row r="117" spans="3:43" x14ac:dyDescent="0.2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25">
      <c r="C118" s="7" t="str">
        <f ca="1">INDEX('Version control'!$H$34:$H$60,MATCH($A$1,'Version control'!$F$34:$F$60,0),1)&amp;"-G: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2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25">
      <c r="E120" s="96" t="s">
        <v>984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985</v>
      </c>
    </row>
    <row r="121" spans="3:43" x14ac:dyDescent="0.25">
      <c r="E121" s="86"/>
      <c r="F121" s="91" t="s">
        <v>134</v>
      </c>
      <c r="G121" s="91" t="s">
        <v>183</v>
      </c>
      <c r="H121" s="357"/>
      <c r="I121" s="346"/>
      <c r="J121" s="443">
        <f xml:space="preserve"> J110 + J44</f>
        <v>10.771355700294261</v>
      </c>
      <c r="K121" s="443">
        <f t="shared" ref="K121:AO127" si="6" xml:space="preserve"> K110 + K44</f>
        <v>10.771355700294261</v>
      </c>
      <c r="L121" s="443">
        <f t="shared" si="6"/>
        <v>13.135796667877077</v>
      </c>
      <c r="M121" s="443">
        <f t="shared" si="6"/>
        <v>13.135796667877077</v>
      </c>
      <c r="N121" s="443">
        <f t="shared" si="6"/>
        <v>13.135796667877077</v>
      </c>
      <c r="O121" s="443">
        <f t="shared" si="6"/>
        <v>13.135796667877077</v>
      </c>
      <c r="P121" s="443">
        <f t="shared" si="6"/>
        <v>13.135796667877077</v>
      </c>
      <c r="Q121" s="443">
        <f t="shared" si="6"/>
        <v>13.135796667877077</v>
      </c>
      <c r="R121" s="443">
        <f t="shared" si="6"/>
        <v>8.6777395420743506</v>
      </c>
      <c r="S121" s="443">
        <f t="shared" si="6"/>
        <v>8.6777395420743506</v>
      </c>
      <c r="T121" s="443">
        <f t="shared" si="6"/>
        <v>8.6777395420743506</v>
      </c>
      <c r="U121" s="443">
        <f t="shared" si="6"/>
        <v>8.6777395420743506</v>
      </c>
      <c r="V121" s="443">
        <f t="shared" si="6"/>
        <v>8.6777395420743506</v>
      </c>
      <c r="W121" s="443">
        <f t="shared" si="6"/>
        <v>6.9484923191344734</v>
      </c>
      <c r="X121" s="443">
        <f t="shared" si="6"/>
        <v>6.9484923191344734</v>
      </c>
      <c r="Y121" s="443">
        <f t="shared" si="6"/>
        <v>6.9484923191344734</v>
      </c>
      <c r="Z121" s="443">
        <f t="shared" si="6"/>
        <v>6.9484923191344734</v>
      </c>
      <c r="AA121" s="443">
        <f t="shared" si="6"/>
        <v>6.9484923191344734</v>
      </c>
      <c r="AB121" s="443">
        <f t="shared" si="6"/>
        <v>5.2251387742031961</v>
      </c>
      <c r="AC121" s="443">
        <f t="shared" si="6"/>
        <v>5.2251387742031961</v>
      </c>
      <c r="AD121" s="443">
        <f t="shared" si="6"/>
        <v>5.2251387742031961</v>
      </c>
      <c r="AE121" s="443">
        <f t="shared" si="6"/>
        <v>5.2251387742031961</v>
      </c>
      <c r="AF121" s="443">
        <f t="shared" si="6"/>
        <v>5.2251387742031961</v>
      </c>
      <c r="AG121" s="443">
        <f t="shared" si="6"/>
        <v>19.902260736627216</v>
      </c>
      <c r="AH121" s="443">
        <f t="shared" si="6"/>
        <v>-8.083502385442868</v>
      </c>
      <c r="AI121" s="443">
        <f t="shared" si="6"/>
        <v>-7.3088931950806888</v>
      </c>
      <c r="AJ121" s="443">
        <f t="shared" si="6"/>
        <v>-8.083502385442868</v>
      </c>
      <c r="AK121" s="443">
        <f t="shared" si="6"/>
        <v>-8.083502385442868</v>
      </c>
      <c r="AL121" s="443">
        <f t="shared" si="6"/>
        <v>-7.3088931950806888</v>
      </c>
      <c r="AM121" s="443">
        <f t="shared" si="6"/>
        <v>-7.3088931950806888</v>
      </c>
      <c r="AN121" s="443">
        <f t="shared" si="6"/>
        <v>-5.3921382806734499</v>
      </c>
      <c r="AO121" s="443">
        <f t="shared" si="6"/>
        <v>-5.3921382806734499</v>
      </c>
      <c r="AP121" s="348"/>
      <c r="AQ121" s="348"/>
    </row>
    <row r="122" spans="3:43" x14ac:dyDescent="0.25">
      <c r="E122" s="86"/>
      <c r="F122" s="293" t="s">
        <v>135</v>
      </c>
      <c r="G122" s="293" t="s">
        <v>183</v>
      </c>
      <c r="H122" s="415"/>
      <c r="I122" s="348"/>
      <c r="J122" s="464">
        <f t="shared" ref="J122:J127" si="7" xml:space="preserve"> J111 + J45</f>
        <v>1.9378384371204245</v>
      </c>
      <c r="K122" s="464">
        <f t="shared" si="6"/>
        <v>1.9378384371204245</v>
      </c>
      <c r="L122" s="464">
        <f t="shared" si="6"/>
        <v>2.3632170725283155</v>
      </c>
      <c r="M122" s="464">
        <f t="shared" si="6"/>
        <v>2.3632170725283155</v>
      </c>
      <c r="N122" s="464">
        <f t="shared" si="6"/>
        <v>2.3632170725283155</v>
      </c>
      <c r="O122" s="464">
        <f t="shared" si="6"/>
        <v>2.3632170725283155</v>
      </c>
      <c r="P122" s="464">
        <f t="shared" si="6"/>
        <v>2.3632170725283155</v>
      </c>
      <c r="Q122" s="464">
        <f t="shared" si="6"/>
        <v>2.3632170725283155</v>
      </c>
      <c r="R122" s="464">
        <f t="shared" si="6"/>
        <v>1.4430267840727677</v>
      </c>
      <c r="S122" s="464">
        <f t="shared" si="6"/>
        <v>1.4430267840727677</v>
      </c>
      <c r="T122" s="464">
        <f t="shared" si="6"/>
        <v>1.4430267840727677</v>
      </c>
      <c r="U122" s="464">
        <f t="shared" si="6"/>
        <v>1.4430267840727677</v>
      </c>
      <c r="V122" s="464">
        <f t="shared" si="6"/>
        <v>1.4430267840727677</v>
      </c>
      <c r="W122" s="464">
        <f t="shared" si="6"/>
        <v>0.94531157810868405</v>
      </c>
      <c r="X122" s="464">
        <f t="shared" si="6"/>
        <v>0.94531157810868405</v>
      </c>
      <c r="Y122" s="464">
        <f t="shared" si="6"/>
        <v>0.94531157810868405</v>
      </c>
      <c r="Z122" s="464">
        <f t="shared" si="6"/>
        <v>0.94531157810868405</v>
      </c>
      <c r="AA122" s="464">
        <f t="shared" si="6"/>
        <v>0.94531157810868405</v>
      </c>
      <c r="AB122" s="464">
        <f t="shared" si="6"/>
        <v>0.62394643951897777</v>
      </c>
      <c r="AC122" s="464">
        <f t="shared" si="6"/>
        <v>0.62394643951897777</v>
      </c>
      <c r="AD122" s="464">
        <f t="shared" si="6"/>
        <v>0.62394643951897777</v>
      </c>
      <c r="AE122" s="464">
        <f t="shared" si="6"/>
        <v>0.62394643951897777</v>
      </c>
      <c r="AF122" s="464">
        <f t="shared" si="6"/>
        <v>0.62394643951897777</v>
      </c>
      <c r="AG122" s="464">
        <f t="shared" si="6"/>
        <v>4.0774277634238896</v>
      </c>
      <c r="AH122" s="464">
        <f t="shared" si="6"/>
        <v>-1.4542757722352337</v>
      </c>
      <c r="AI122" s="464">
        <f t="shared" si="6"/>
        <v>-1.2593492541418145</v>
      </c>
      <c r="AJ122" s="464">
        <f t="shared" si="6"/>
        <v>-1.4542757722352337</v>
      </c>
      <c r="AK122" s="464">
        <f t="shared" si="6"/>
        <v>-1.4542757722352337</v>
      </c>
      <c r="AL122" s="464">
        <f t="shared" si="6"/>
        <v>-1.2593492541418145</v>
      </c>
      <c r="AM122" s="464">
        <f t="shared" si="6"/>
        <v>-1.2593492541418145</v>
      </c>
      <c r="AN122" s="464">
        <f t="shared" si="6"/>
        <v>-0.70810900515864061</v>
      </c>
      <c r="AO122" s="464">
        <f t="shared" si="6"/>
        <v>-0.70810900515864061</v>
      </c>
      <c r="AP122" s="348"/>
      <c r="AQ122" s="348"/>
    </row>
    <row r="123" spans="3:43" x14ac:dyDescent="0.25">
      <c r="E123" s="86"/>
      <c r="F123" s="293" t="s">
        <v>136</v>
      </c>
      <c r="G123" s="293" t="s">
        <v>183</v>
      </c>
      <c r="H123" s="415"/>
      <c r="I123" s="348"/>
      <c r="J123" s="464">
        <f t="shared" si="7"/>
        <v>0.21452572109019707</v>
      </c>
      <c r="K123" s="464">
        <f t="shared" si="6"/>
        <v>0.21452572109019707</v>
      </c>
      <c r="L123" s="464">
        <f t="shared" si="6"/>
        <v>0.26161667395252336</v>
      </c>
      <c r="M123" s="464">
        <f t="shared" si="6"/>
        <v>0.26161667395252336</v>
      </c>
      <c r="N123" s="464">
        <f t="shared" si="6"/>
        <v>0.26161667395252336</v>
      </c>
      <c r="O123" s="464">
        <f t="shared" si="6"/>
        <v>0.26161667395252336</v>
      </c>
      <c r="P123" s="464">
        <f t="shared" si="6"/>
        <v>0.26161667395252336</v>
      </c>
      <c r="Q123" s="464">
        <f t="shared" si="6"/>
        <v>0.26161667395252336</v>
      </c>
      <c r="R123" s="464">
        <f t="shared" si="6"/>
        <v>0.16622991183513294</v>
      </c>
      <c r="S123" s="464">
        <f t="shared" si="6"/>
        <v>0.16622991183513294</v>
      </c>
      <c r="T123" s="464">
        <f t="shared" si="6"/>
        <v>0.16622991183513294</v>
      </c>
      <c r="U123" s="464">
        <f t="shared" si="6"/>
        <v>0.16622991183513294</v>
      </c>
      <c r="V123" s="464">
        <f t="shared" si="6"/>
        <v>0.16622991183513294</v>
      </c>
      <c r="W123" s="464">
        <f t="shared" si="6"/>
        <v>0.12136791889315691</v>
      </c>
      <c r="X123" s="464">
        <f t="shared" si="6"/>
        <v>0.12136791889315691</v>
      </c>
      <c r="Y123" s="464">
        <f t="shared" si="6"/>
        <v>0.12136791889315691</v>
      </c>
      <c r="Z123" s="464">
        <f t="shared" si="6"/>
        <v>0.12136791889315691</v>
      </c>
      <c r="AA123" s="464">
        <f t="shared" si="6"/>
        <v>0.12136791889315691</v>
      </c>
      <c r="AB123" s="464">
        <f t="shared" si="6"/>
        <v>7.9944079146318126E-2</v>
      </c>
      <c r="AC123" s="464">
        <f t="shared" si="6"/>
        <v>7.9944079146318126E-2</v>
      </c>
      <c r="AD123" s="464">
        <f t="shared" si="6"/>
        <v>7.9944079146318126E-2</v>
      </c>
      <c r="AE123" s="464">
        <f t="shared" si="6"/>
        <v>7.9944079146318126E-2</v>
      </c>
      <c r="AF123" s="464">
        <f t="shared" si="6"/>
        <v>7.9944079146318126E-2</v>
      </c>
      <c r="AG123" s="464">
        <f t="shared" si="6"/>
        <v>1.7417275138146</v>
      </c>
      <c r="AH123" s="464">
        <f t="shared" si="6"/>
        <v>-0.16099358580499623</v>
      </c>
      <c r="AI123" s="464">
        <f t="shared" si="6"/>
        <v>-0.14246284344281587</v>
      </c>
      <c r="AJ123" s="464">
        <f t="shared" si="6"/>
        <v>-0.16099358580499623</v>
      </c>
      <c r="AK123" s="464">
        <f t="shared" si="6"/>
        <v>-0.16099358580499623</v>
      </c>
      <c r="AL123" s="464">
        <f t="shared" si="6"/>
        <v>-0.14246284344281587</v>
      </c>
      <c r="AM123" s="464">
        <f t="shared" si="6"/>
        <v>-0.14246284344281587</v>
      </c>
      <c r="AN123" s="464">
        <f t="shared" si="6"/>
        <v>-8.9601370113660816E-2</v>
      </c>
      <c r="AO123" s="464">
        <f t="shared" si="6"/>
        <v>-8.9601370113660816E-2</v>
      </c>
      <c r="AP123" s="348"/>
      <c r="AQ123" s="348"/>
    </row>
    <row r="124" spans="3:43" x14ac:dyDescent="0.25">
      <c r="E124" s="86"/>
      <c r="F124" s="293" t="s">
        <v>254</v>
      </c>
      <c r="G124" s="293" t="s">
        <v>252</v>
      </c>
      <c r="H124" s="379"/>
      <c r="J124" s="264">
        <f t="shared" si="7"/>
        <v>15.64261232712559</v>
      </c>
      <c r="K124" s="264">
        <f t="shared" si="6"/>
        <v>0</v>
      </c>
      <c r="L124" s="264">
        <f t="shared" si="6"/>
        <v>5.276442469487546</v>
      </c>
      <c r="M124" s="264">
        <f t="shared" si="6"/>
        <v>9.3529064934315702</v>
      </c>
      <c r="N124" s="264">
        <f t="shared" si="6"/>
        <v>27.308212483244105</v>
      </c>
      <c r="O124" s="264">
        <f t="shared" si="6"/>
        <v>59.861751501123457</v>
      </c>
      <c r="P124" s="264">
        <f t="shared" si="6"/>
        <v>181.32542237293686</v>
      </c>
      <c r="Q124" s="264">
        <f t="shared" si="6"/>
        <v>0</v>
      </c>
      <c r="R124" s="264">
        <f t="shared" si="6"/>
        <v>20.840436812968704</v>
      </c>
      <c r="S124" s="264">
        <f t="shared" si="6"/>
        <v>286.7476472008147</v>
      </c>
      <c r="T124" s="264">
        <f t="shared" si="6"/>
        <v>632.5168515238621</v>
      </c>
      <c r="U124" s="264">
        <f t="shared" si="6"/>
        <v>1051.1839770526906</v>
      </c>
      <c r="V124" s="264">
        <f t="shared" si="6"/>
        <v>2265.7489571871588</v>
      </c>
      <c r="W124" s="264">
        <f t="shared" si="6"/>
        <v>7.3986242654376309</v>
      </c>
      <c r="X124" s="264">
        <f t="shared" si="6"/>
        <v>273.30583465328363</v>
      </c>
      <c r="Y124" s="264">
        <f t="shared" si="6"/>
        <v>619.07503897633092</v>
      </c>
      <c r="Z124" s="264">
        <f t="shared" si="6"/>
        <v>1037.7421645051593</v>
      </c>
      <c r="AA124" s="264">
        <f t="shared" si="6"/>
        <v>2252.3071446396289</v>
      </c>
      <c r="AB124" s="264">
        <f t="shared" si="6"/>
        <v>111.07607107613265</v>
      </c>
      <c r="AC124" s="264">
        <f t="shared" si="6"/>
        <v>1630.7422233551235</v>
      </c>
      <c r="AD124" s="264">
        <f t="shared" si="6"/>
        <v>5763.8314085658367</v>
      </c>
      <c r="AE124" s="264">
        <f t="shared" si="6"/>
        <v>11559.755542088813</v>
      </c>
      <c r="AF124" s="264">
        <f t="shared" si="6"/>
        <v>21623.959191742601</v>
      </c>
      <c r="AG124" s="264">
        <f t="shared" si="6"/>
        <v>0</v>
      </c>
      <c r="AH124" s="264">
        <f t="shared" si="6"/>
        <v>0</v>
      </c>
      <c r="AI124" s="264">
        <f t="shared" si="6"/>
        <v>0</v>
      </c>
      <c r="AJ124" s="264">
        <f t="shared" si="6"/>
        <v>0</v>
      </c>
      <c r="AK124" s="264">
        <f t="shared" si="6"/>
        <v>0</v>
      </c>
      <c r="AL124" s="264">
        <f t="shared" si="6"/>
        <v>0</v>
      </c>
      <c r="AM124" s="264">
        <f t="shared" si="6"/>
        <v>0</v>
      </c>
      <c r="AN124" s="264">
        <f t="shared" si="6"/>
        <v>81.061112421377317</v>
      </c>
      <c r="AO124" s="264">
        <f t="shared" si="6"/>
        <v>81.061112421377317</v>
      </c>
    </row>
    <row r="125" spans="3:43" x14ac:dyDescent="0.25">
      <c r="E125" s="86"/>
      <c r="F125" s="293" t="s">
        <v>255</v>
      </c>
      <c r="G125" s="293" t="s">
        <v>251</v>
      </c>
      <c r="H125" s="379"/>
      <c r="J125" s="264">
        <f t="shared" si="7"/>
        <v>0</v>
      </c>
      <c r="K125" s="264">
        <f t="shared" si="6"/>
        <v>0</v>
      </c>
      <c r="L125" s="264">
        <f t="shared" si="6"/>
        <v>0</v>
      </c>
      <c r="M125" s="264">
        <f t="shared" si="6"/>
        <v>0</v>
      </c>
      <c r="N125" s="264">
        <f t="shared" si="6"/>
        <v>0</v>
      </c>
      <c r="O125" s="264">
        <f t="shared" si="6"/>
        <v>0</v>
      </c>
      <c r="P125" s="264">
        <f t="shared" si="6"/>
        <v>0</v>
      </c>
      <c r="Q125" s="264">
        <f t="shared" si="6"/>
        <v>0</v>
      </c>
      <c r="R125" s="264">
        <f t="shared" si="6"/>
        <v>2.9246805518159871</v>
      </c>
      <c r="S125" s="264">
        <f t="shared" si="6"/>
        <v>2.9246805518159871</v>
      </c>
      <c r="T125" s="264">
        <f t="shared" si="6"/>
        <v>2.9246805518159871</v>
      </c>
      <c r="U125" s="264">
        <f t="shared" si="6"/>
        <v>2.9246805518159871</v>
      </c>
      <c r="V125" s="264">
        <f t="shared" si="6"/>
        <v>2.9246805518159871</v>
      </c>
      <c r="W125" s="264">
        <f t="shared" si="6"/>
        <v>5.7785379748713108</v>
      </c>
      <c r="X125" s="264">
        <f t="shared" si="6"/>
        <v>5.7785379748713108</v>
      </c>
      <c r="Y125" s="264">
        <f t="shared" si="6"/>
        <v>5.7785379748713108</v>
      </c>
      <c r="Z125" s="264">
        <f t="shared" si="6"/>
        <v>5.7785379748713108</v>
      </c>
      <c r="AA125" s="264">
        <f t="shared" si="6"/>
        <v>5.7785379748713108</v>
      </c>
      <c r="AB125" s="264">
        <f t="shared" si="6"/>
        <v>4.6095828572289328</v>
      </c>
      <c r="AC125" s="264">
        <f t="shared" si="6"/>
        <v>4.6095828572289328</v>
      </c>
      <c r="AD125" s="264">
        <f t="shared" si="6"/>
        <v>4.6095828572289328</v>
      </c>
      <c r="AE125" s="264">
        <f t="shared" si="6"/>
        <v>4.6095828572289328</v>
      </c>
      <c r="AF125" s="264">
        <f t="shared" si="6"/>
        <v>4.6095828572289328</v>
      </c>
      <c r="AG125" s="264">
        <f t="shared" si="6"/>
        <v>0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25">
      <c r="E126" s="86"/>
      <c r="F126" s="293" t="s">
        <v>256</v>
      </c>
      <c r="G126" s="293" t="s">
        <v>251</v>
      </c>
      <c r="H126" s="379"/>
      <c r="J126" s="264">
        <f t="shared" si="7"/>
        <v>0</v>
      </c>
      <c r="K126" s="264">
        <f t="shared" si="6"/>
        <v>0</v>
      </c>
      <c r="L126" s="264">
        <f t="shared" si="6"/>
        <v>0</v>
      </c>
      <c r="M126" s="264">
        <f t="shared" si="6"/>
        <v>0</v>
      </c>
      <c r="N126" s="264">
        <f t="shared" si="6"/>
        <v>0</v>
      </c>
      <c r="O126" s="264">
        <f t="shared" si="6"/>
        <v>0</v>
      </c>
      <c r="P126" s="264">
        <f t="shared" si="6"/>
        <v>0</v>
      </c>
      <c r="Q126" s="264">
        <f t="shared" si="6"/>
        <v>0</v>
      </c>
      <c r="R126" s="264">
        <f t="shared" si="6"/>
        <v>4.9763773941978364</v>
      </c>
      <c r="S126" s="264">
        <f t="shared" si="6"/>
        <v>4.9763773941978364</v>
      </c>
      <c r="T126" s="264">
        <f t="shared" si="6"/>
        <v>4.9763773941978364</v>
      </c>
      <c r="U126" s="264">
        <f t="shared" si="6"/>
        <v>4.9763773941978364</v>
      </c>
      <c r="V126" s="264">
        <f t="shared" si="6"/>
        <v>4.9763773941978364</v>
      </c>
      <c r="W126" s="264">
        <f t="shared" si="6"/>
        <v>7.8192629686414357</v>
      </c>
      <c r="X126" s="264">
        <f t="shared" si="6"/>
        <v>7.8192629686414357</v>
      </c>
      <c r="Y126" s="264">
        <f t="shared" si="6"/>
        <v>7.8192629686414357</v>
      </c>
      <c r="Z126" s="264">
        <f t="shared" si="6"/>
        <v>7.8192629686414357</v>
      </c>
      <c r="AA126" s="264">
        <f t="shared" si="6"/>
        <v>7.8192629686414357</v>
      </c>
      <c r="AB126" s="264">
        <f t="shared" si="6"/>
        <v>7.2778427537122079</v>
      </c>
      <c r="AC126" s="264">
        <f t="shared" si="6"/>
        <v>7.2778427537122079</v>
      </c>
      <c r="AD126" s="264">
        <f t="shared" si="6"/>
        <v>7.2778427537122079</v>
      </c>
      <c r="AE126" s="264">
        <f t="shared" si="6"/>
        <v>7.2778427537122079</v>
      </c>
      <c r="AF126" s="264">
        <f t="shared" si="6"/>
        <v>7.2778427537122079</v>
      </c>
      <c r="AG126" s="264">
        <f t="shared" si="6"/>
        <v>0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25">
      <c r="E127" s="86"/>
      <c r="F127" s="93" t="s">
        <v>257</v>
      </c>
      <c r="G127" s="93" t="s">
        <v>258</v>
      </c>
      <c r="H127" s="360"/>
      <c r="I127" s="350"/>
      <c r="J127" s="361">
        <f t="shared" si="7"/>
        <v>0</v>
      </c>
      <c r="K127" s="361">
        <f t="shared" si="6"/>
        <v>0</v>
      </c>
      <c r="L127" s="361">
        <f t="shared" si="6"/>
        <v>0</v>
      </c>
      <c r="M127" s="361">
        <f t="shared" si="6"/>
        <v>0</v>
      </c>
      <c r="N127" s="361">
        <f t="shared" si="6"/>
        <v>0</v>
      </c>
      <c r="O127" s="361">
        <f t="shared" si="6"/>
        <v>0</v>
      </c>
      <c r="P127" s="361">
        <f t="shared" si="6"/>
        <v>0</v>
      </c>
      <c r="Q127" s="361">
        <f t="shared" si="6"/>
        <v>0</v>
      </c>
      <c r="R127" s="361">
        <f t="shared" si="6"/>
        <v>0.43526962220804583</v>
      </c>
      <c r="S127" s="361">
        <f t="shared" si="6"/>
        <v>0.43526962220804583</v>
      </c>
      <c r="T127" s="361">
        <f t="shared" si="6"/>
        <v>0.43526962220804583</v>
      </c>
      <c r="U127" s="361">
        <f t="shared" si="6"/>
        <v>0.43526962220804583</v>
      </c>
      <c r="V127" s="361">
        <f t="shared" si="6"/>
        <v>0.43526962220804583</v>
      </c>
      <c r="W127" s="361">
        <f t="shared" si="6"/>
        <v>0.28980193378804925</v>
      </c>
      <c r="X127" s="361">
        <f t="shared" si="6"/>
        <v>0.28980193378804925</v>
      </c>
      <c r="Y127" s="361">
        <f t="shared" si="6"/>
        <v>0.28980193378804925</v>
      </c>
      <c r="Z127" s="361">
        <f t="shared" si="6"/>
        <v>0.28980193378804925</v>
      </c>
      <c r="AA127" s="361">
        <f t="shared" si="6"/>
        <v>0.28980193378804925</v>
      </c>
      <c r="AB127" s="361">
        <f t="shared" si="6"/>
        <v>0.19257390160279983</v>
      </c>
      <c r="AC127" s="361">
        <f t="shared" si="6"/>
        <v>0.19257390160279983</v>
      </c>
      <c r="AD127" s="361">
        <f t="shared" si="6"/>
        <v>0.19257390160279983</v>
      </c>
      <c r="AE127" s="361">
        <f t="shared" si="6"/>
        <v>0.19257390160279983</v>
      </c>
      <c r="AF127" s="361">
        <f t="shared" si="6"/>
        <v>0.19257390160279983</v>
      </c>
      <c r="AG127" s="361">
        <f t="shared" si="6"/>
        <v>0</v>
      </c>
      <c r="AH127" s="361">
        <f t="shared" si="6"/>
        <v>0</v>
      </c>
      <c r="AI127" s="361">
        <f t="shared" si="6"/>
        <v>0</v>
      </c>
      <c r="AJ127" s="361">
        <f t="shared" si="6"/>
        <v>0.37290703611975162</v>
      </c>
      <c r="AK127" s="361">
        <f t="shared" si="6"/>
        <v>0</v>
      </c>
      <c r="AL127" s="361">
        <f t="shared" si="6"/>
        <v>0.3436237562338107</v>
      </c>
      <c r="AM127" s="361">
        <f t="shared" si="6"/>
        <v>0</v>
      </c>
      <c r="AN127" s="361">
        <f t="shared" si="6"/>
        <v>0.26472909957480251</v>
      </c>
      <c r="AO127" s="361">
        <f t="shared" si="6"/>
        <v>0</v>
      </c>
      <c r="AP127" s="348"/>
      <c r="AQ127" s="348"/>
    </row>
    <row r="128" spans="3:43" x14ac:dyDescent="0.2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25">
      <c r="E129" s="96" t="s">
        <v>986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985</v>
      </c>
    </row>
    <row r="130" spans="3:43" x14ac:dyDescent="0.25">
      <c r="E130" s="86"/>
      <c r="F130" s="91" t="s">
        <v>134</v>
      </c>
      <c r="G130" s="91" t="s">
        <v>183</v>
      </c>
      <c r="H130" s="357"/>
      <c r="I130" s="346"/>
      <c r="J130" s="359">
        <f t="shared" ref="J130:AJ136" si="8" xml:space="preserve"> J110 * (1 - J75) + J44</f>
        <v>6.6819643061231515</v>
      </c>
      <c r="K130" s="359">
        <f t="shared" si="8"/>
        <v>6.6819643061231515</v>
      </c>
      <c r="L130" s="359">
        <f t="shared" si="8"/>
        <v>8.1487351183517411</v>
      </c>
      <c r="M130" s="359">
        <f t="shared" si="8"/>
        <v>8.1487351183517411</v>
      </c>
      <c r="N130" s="359">
        <f t="shared" si="8"/>
        <v>8.1487351183517411</v>
      </c>
      <c r="O130" s="359">
        <f t="shared" si="8"/>
        <v>8.1487351183517411</v>
      </c>
      <c r="P130" s="359">
        <f t="shared" si="8"/>
        <v>8.1487351183517411</v>
      </c>
      <c r="Q130" s="359">
        <f t="shared" si="8"/>
        <v>8.1487351183517411</v>
      </c>
      <c r="R130" s="359">
        <f t="shared" si="8"/>
        <v>5.3831985027093854</v>
      </c>
      <c r="S130" s="359">
        <f t="shared" si="8"/>
        <v>5.3831985027093854</v>
      </c>
      <c r="T130" s="359">
        <f t="shared" si="8"/>
        <v>5.3831985027093854</v>
      </c>
      <c r="U130" s="359">
        <f t="shared" si="8"/>
        <v>5.3831985027093854</v>
      </c>
      <c r="V130" s="359">
        <f t="shared" si="8"/>
        <v>5.3831985027093854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59">
        <f t="shared" si="8"/>
        <v>12.346282079391944</v>
      </c>
      <c r="AH130" s="359">
        <f t="shared" si="8"/>
        <v>-8.083502385442868</v>
      </c>
      <c r="AI130" s="358"/>
      <c r="AJ130" s="359">
        <f t="shared" si="8"/>
        <v>-8.083502385442868</v>
      </c>
      <c r="AK130" s="358"/>
      <c r="AL130" s="358"/>
      <c r="AM130" s="358"/>
      <c r="AN130" s="358"/>
      <c r="AO130" s="358"/>
      <c r="AP130" s="348"/>
      <c r="AQ130" s="348"/>
    </row>
    <row r="131" spans="3:43" x14ac:dyDescent="0.25">
      <c r="E131" s="86"/>
      <c r="F131" s="293" t="s">
        <v>135</v>
      </c>
      <c r="G131" s="293" t="s">
        <v>183</v>
      </c>
      <c r="H131" s="415"/>
      <c r="I131" s="348"/>
      <c r="J131" s="464">
        <f t="shared" si="8"/>
        <v>1.2021297623212284</v>
      </c>
      <c r="K131" s="464">
        <f t="shared" si="8"/>
        <v>1.2021297623212284</v>
      </c>
      <c r="L131" s="464">
        <f t="shared" si="8"/>
        <v>1.4660115741812945</v>
      </c>
      <c r="M131" s="464">
        <f t="shared" si="8"/>
        <v>1.4660115741812945</v>
      </c>
      <c r="N131" s="464">
        <f t="shared" si="8"/>
        <v>1.4660115741812945</v>
      </c>
      <c r="O131" s="464">
        <f t="shared" si="8"/>
        <v>1.4660115741812945</v>
      </c>
      <c r="P131" s="464">
        <f t="shared" si="8"/>
        <v>1.4660115741812945</v>
      </c>
      <c r="Q131" s="464">
        <f t="shared" si="8"/>
        <v>1.4660115741812945</v>
      </c>
      <c r="R131" s="464">
        <f t="shared" si="8"/>
        <v>0.89517547579368284</v>
      </c>
      <c r="S131" s="464">
        <f t="shared" si="8"/>
        <v>0.89517547579368284</v>
      </c>
      <c r="T131" s="464">
        <f t="shared" si="8"/>
        <v>0.89517547579368284</v>
      </c>
      <c r="U131" s="464">
        <f t="shared" si="8"/>
        <v>0.89517547579368284</v>
      </c>
      <c r="V131" s="464">
        <f t="shared" si="8"/>
        <v>0.89517547579368284</v>
      </c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464">
        <f t="shared" si="8"/>
        <v>2.5294148233587417</v>
      </c>
      <c r="AH131" s="464">
        <f t="shared" si="8"/>
        <v>-1.4542757722352337</v>
      </c>
      <c r="AI131" s="417"/>
      <c r="AJ131" s="464">
        <f t="shared" si="8"/>
        <v>-1.4542757722352337</v>
      </c>
      <c r="AK131" s="417"/>
      <c r="AL131" s="417"/>
      <c r="AM131" s="417"/>
      <c r="AN131" s="417"/>
      <c r="AO131" s="417"/>
      <c r="AP131" s="348"/>
      <c r="AQ131" s="348"/>
    </row>
    <row r="132" spans="3:43" x14ac:dyDescent="0.25">
      <c r="E132" s="86"/>
      <c r="F132" s="293" t="s">
        <v>136</v>
      </c>
      <c r="G132" s="293" t="s">
        <v>183</v>
      </c>
      <c r="H132" s="415"/>
      <c r="I132" s="348"/>
      <c r="J132" s="464">
        <f t="shared" si="8"/>
        <v>0.13308011089364238</v>
      </c>
      <c r="K132" s="464">
        <f t="shared" si="8"/>
        <v>0.13308011089364238</v>
      </c>
      <c r="L132" s="464">
        <f t="shared" si="8"/>
        <v>0.16229278151028501</v>
      </c>
      <c r="M132" s="464">
        <f t="shared" si="8"/>
        <v>0.16229278151028501</v>
      </c>
      <c r="N132" s="464">
        <f t="shared" si="8"/>
        <v>0.16229278151028501</v>
      </c>
      <c r="O132" s="464">
        <f t="shared" si="8"/>
        <v>0.16229278151028501</v>
      </c>
      <c r="P132" s="464">
        <f t="shared" si="8"/>
        <v>0.16229278151028501</v>
      </c>
      <c r="Q132" s="464">
        <f t="shared" si="8"/>
        <v>0.16229278151028501</v>
      </c>
      <c r="R132" s="464">
        <f t="shared" si="8"/>
        <v>0.10312001278186482</v>
      </c>
      <c r="S132" s="464">
        <f t="shared" si="8"/>
        <v>0.10312001278186482</v>
      </c>
      <c r="T132" s="464">
        <f t="shared" si="8"/>
        <v>0.10312001278186482</v>
      </c>
      <c r="U132" s="464">
        <f t="shared" si="8"/>
        <v>0.10312001278186482</v>
      </c>
      <c r="V132" s="464">
        <f t="shared" si="8"/>
        <v>0.10312001278186482</v>
      </c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464">
        <f t="shared" si="8"/>
        <v>1.0804731922448567</v>
      </c>
      <c r="AH132" s="464">
        <f t="shared" si="8"/>
        <v>-0.16099358580499623</v>
      </c>
      <c r="AI132" s="417"/>
      <c r="AJ132" s="464">
        <f t="shared" si="8"/>
        <v>-0.16099358580499623</v>
      </c>
      <c r="AK132" s="417"/>
      <c r="AL132" s="417"/>
      <c r="AM132" s="417"/>
      <c r="AN132" s="417"/>
      <c r="AO132" s="417"/>
      <c r="AP132" s="348"/>
      <c r="AQ132" s="348"/>
    </row>
    <row r="133" spans="3:43" x14ac:dyDescent="0.25">
      <c r="E133" s="86"/>
      <c r="F133" s="293" t="s">
        <v>254</v>
      </c>
      <c r="G133" s="293" t="s">
        <v>252</v>
      </c>
      <c r="H133" s="379"/>
      <c r="J133" s="264">
        <f t="shared" si="8"/>
        <v>9.760166886461656</v>
      </c>
      <c r="K133" s="264">
        <f t="shared" si="8"/>
        <v>0</v>
      </c>
      <c r="L133" s="264">
        <f t="shared" si="8"/>
        <v>3.2985514598102168</v>
      </c>
      <c r="M133" s="264">
        <f t="shared" si="8"/>
        <v>5.8273684315164793</v>
      </c>
      <c r="N133" s="264">
        <f t="shared" si="8"/>
        <v>16.965865484971779</v>
      </c>
      <c r="O133" s="264">
        <f t="shared" si="8"/>
        <v>37.160313779861411</v>
      </c>
      <c r="P133" s="264">
        <f t="shared" si="8"/>
        <v>112.50978100003454</v>
      </c>
      <c r="Q133" s="264">
        <f t="shared" si="8"/>
        <v>0</v>
      </c>
      <c r="R133" s="264">
        <f t="shared" si="8"/>
        <v>12.953608590734101</v>
      </c>
      <c r="S133" s="264">
        <f t="shared" si="8"/>
        <v>177.90800597488385</v>
      </c>
      <c r="T133" s="264">
        <f t="shared" si="8"/>
        <v>392.4044487374311</v>
      </c>
      <c r="U133" s="264">
        <f t="shared" si="8"/>
        <v>652.12280423230982</v>
      </c>
      <c r="V133" s="264">
        <f t="shared" si="8"/>
        <v>1405.572979914836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>
        <f t="shared" si="8"/>
        <v>0</v>
      </c>
      <c r="AH133" s="264">
        <f t="shared" si="8"/>
        <v>0</v>
      </c>
      <c r="AI133" s="279"/>
      <c r="AJ133" s="264">
        <f t="shared" si="8"/>
        <v>0</v>
      </c>
      <c r="AK133" s="279"/>
      <c r="AL133" s="279"/>
      <c r="AM133" s="279"/>
      <c r="AN133" s="279"/>
      <c r="AO133" s="279"/>
    </row>
    <row r="134" spans="3:43" x14ac:dyDescent="0.25">
      <c r="E134" s="86"/>
      <c r="F134" s="293" t="s">
        <v>255</v>
      </c>
      <c r="G134" s="293" t="s">
        <v>251</v>
      </c>
      <c r="H134" s="379"/>
      <c r="J134" s="264">
        <f t="shared" si="8"/>
        <v>0</v>
      </c>
      <c r="K134" s="264">
        <f t="shared" si="8"/>
        <v>0</v>
      </c>
      <c r="L134" s="264">
        <f t="shared" si="8"/>
        <v>0</v>
      </c>
      <c r="M134" s="264">
        <f t="shared" si="8"/>
        <v>0</v>
      </c>
      <c r="N134" s="264">
        <f t="shared" si="8"/>
        <v>0</v>
      </c>
      <c r="O134" s="264">
        <f t="shared" si="8"/>
        <v>0</v>
      </c>
      <c r="P134" s="264">
        <f t="shared" si="8"/>
        <v>0</v>
      </c>
      <c r="Q134" s="264">
        <f t="shared" si="8"/>
        <v>0</v>
      </c>
      <c r="R134" s="264">
        <f t="shared" si="8"/>
        <v>1.8143130352211008</v>
      </c>
      <c r="S134" s="264">
        <f t="shared" si="8"/>
        <v>1.8143130352211008</v>
      </c>
      <c r="T134" s="264">
        <f t="shared" si="8"/>
        <v>1.8143130352211008</v>
      </c>
      <c r="U134" s="264">
        <f t="shared" si="8"/>
        <v>1.8143130352211008</v>
      </c>
      <c r="V134" s="264">
        <f t="shared" si="8"/>
        <v>1.8143130352211008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>
        <f t="shared" si="8"/>
        <v>0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25">
      <c r="E135" s="86"/>
      <c r="F135" s="293" t="s">
        <v>256</v>
      </c>
      <c r="G135" s="293" t="s">
        <v>251</v>
      </c>
      <c r="H135" s="379"/>
      <c r="J135" s="264">
        <f t="shared" si="8"/>
        <v>0</v>
      </c>
      <c r="K135" s="264">
        <f t="shared" si="8"/>
        <v>0</v>
      </c>
      <c r="L135" s="264">
        <f t="shared" si="8"/>
        <v>0</v>
      </c>
      <c r="M135" s="264">
        <f t="shared" si="8"/>
        <v>0</v>
      </c>
      <c r="N135" s="264">
        <f t="shared" si="8"/>
        <v>0</v>
      </c>
      <c r="O135" s="264">
        <f t="shared" si="8"/>
        <v>0</v>
      </c>
      <c r="P135" s="264">
        <f t="shared" si="8"/>
        <v>0</v>
      </c>
      <c r="Q135" s="264">
        <f t="shared" si="8"/>
        <v>0</v>
      </c>
      <c r="R135" s="264">
        <f t="shared" si="8"/>
        <v>3.0870743708630544</v>
      </c>
      <c r="S135" s="264">
        <f t="shared" si="8"/>
        <v>3.0870743708630544</v>
      </c>
      <c r="T135" s="264">
        <f t="shared" si="8"/>
        <v>3.0870743708630544</v>
      </c>
      <c r="U135" s="264">
        <f t="shared" si="8"/>
        <v>3.0870743708630544</v>
      </c>
      <c r="V135" s="264">
        <f t="shared" si="8"/>
        <v>3.0870743708630544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>
        <f t="shared" si="8"/>
        <v>0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25">
      <c r="E136" s="86"/>
      <c r="F136" s="93" t="s">
        <v>257</v>
      </c>
      <c r="G136" s="93" t="s">
        <v>258</v>
      </c>
      <c r="H136" s="360"/>
      <c r="I136" s="350"/>
      <c r="J136" s="361">
        <f t="shared" si="8"/>
        <v>0</v>
      </c>
      <c r="K136" s="361">
        <f t="shared" si="8"/>
        <v>0</v>
      </c>
      <c r="L136" s="361">
        <f t="shared" si="8"/>
        <v>0</v>
      </c>
      <c r="M136" s="361">
        <f t="shared" si="8"/>
        <v>0</v>
      </c>
      <c r="N136" s="361">
        <f t="shared" si="8"/>
        <v>0</v>
      </c>
      <c r="O136" s="361">
        <f t="shared" si="8"/>
        <v>0</v>
      </c>
      <c r="P136" s="361">
        <f t="shared" si="8"/>
        <v>0</v>
      </c>
      <c r="Q136" s="361">
        <f t="shared" si="8"/>
        <v>0</v>
      </c>
      <c r="R136" s="361">
        <f t="shared" si="8"/>
        <v>0.27001764309523407</v>
      </c>
      <c r="S136" s="361">
        <f t="shared" si="8"/>
        <v>0.27001764309523407</v>
      </c>
      <c r="T136" s="361">
        <f t="shared" si="8"/>
        <v>0.27001764309523407</v>
      </c>
      <c r="U136" s="361">
        <f t="shared" si="8"/>
        <v>0.27001764309523407</v>
      </c>
      <c r="V136" s="361">
        <f t="shared" si="8"/>
        <v>0.27001764309523407</v>
      </c>
      <c r="W136" s="355"/>
      <c r="X136" s="355"/>
      <c r="Y136" s="355"/>
      <c r="Z136" s="355"/>
      <c r="AA136" s="355"/>
      <c r="AB136" s="355"/>
      <c r="AC136" s="355"/>
      <c r="AD136" s="355"/>
      <c r="AE136" s="355"/>
      <c r="AF136" s="355"/>
      <c r="AG136" s="361">
        <f t="shared" si="8"/>
        <v>0</v>
      </c>
      <c r="AH136" s="361">
        <f t="shared" si="8"/>
        <v>0</v>
      </c>
      <c r="AI136" s="355"/>
      <c r="AJ136" s="361">
        <f t="shared" si="8"/>
        <v>0.37290703611975162</v>
      </c>
      <c r="AK136" s="355"/>
      <c r="AL136" s="355"/>
      <c r="AM136" s="355"/>
      <c r="AN136" s="355"/>
      <c r="AO136" s="355"/>
      <c r="AP136" s="348"/>
      <c r="AQ136" s="348"/>
    </row>
    <row r="137" spans="3:43" x14ac:dyDescent="0.2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25">
      <c r="E138" s="96" t="s">
        <v>987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985</v>
      </c>
    </row>
    <row r="139" spans="3:43" x14ac:dyDescent="0.25">
      <c r="C139" s="86"/>
      <c r="F139" s="91" t="s">
        <v>134</v>
      </c>
      <c r="G139" s="91" t="s">
        <v>183</v>
      </c>
      <c r="H139" s="357"/>
      <c r="I139" s="346"/>
      <c r="J139" s="359">
        <f t="shared" ref="J139:AN145" si="9">J110 * (1 - J84) + J44</f>
        <v>4.8582799468169524</v>
      </c>
      <c r="K139" s="359">
        <f t="shared" si="9"/>
        <v>4.8582799468169524</v>
      </c>
      <c r="L139" s="359">
        <f t="shared" si="9"/>
        <v>5.9247303044006552</v>
      </c>
      <c r="M139" s="359">
        <f t="shared" si="9"/>
        <v>5.9247303044006552</v>
      </c>
      <c r="N139" s="359">
        <f t="shared" si="9"/>
        <v>5.9247303044006552</v>
      </c>
      <c r="O139" s="359">
        <f t="shared" si="9"/>
        <v>5.9247303044006552</v>
      </c>
      <c r="P139" s="359">
        <f t="shared" si="9"/>
        <v>5.9247303044006552</v>
      </c>
      <c r="Q139" s="359">
        <f t="shared" si="9"/>
        <v>5.9247303044006552</v>
      </c>
      <c r="R139" s="359">
        <f t="shared" si="9"/>
        <v>3.913981598417422</v>
      </c>
      <c r="S139" s="359">
        <f t="shared" si="9"/>
        <v>3.913981598417422</v>
      </c>
      <c r="T139" s="359">
        <f t="shared" si="9"/>
        <v>3.913981598417422</v>
      </c>
      <c r="U139" s="359">
        <f t="shared" si="9"/>
        <v>3.913981598417422</v>
      </c>
      <c r="V139" s="359">
        <f t="shared" si="9"/>
        <v>3.913981598417422</v>
      </c>
      <c r="W139" s="359">
        <f t="shared" si="9"/>
        <v>5.063421718038394</v>
      </c>
      <c r="X139" s="359">
        <f t="shared" si="9"/>
        <v>5.063421718038394</v>
      </c>
      <c r="Y139" s="359">
        <f t="shared" si="9"/>
        <v>5.063421718038394</v>
      </c>
      <c r="Z139" s="359">
        <f t="shared" si="9"/>
        <v>5.063421718038394</v>
      </c>
      <c r="AA139" s="359">
        <f t="shared" si="9"/>
        <v>5.063421718038394</v>
      </c>
      <c r="AB139" s="359">
        <f t="shared" si="9"/>
        <v>4.3016060252956319</v>
      </c>
      <c r="AC139" s="359">
        <f t="shared" si="9"/>
        <v>4.3016060252956319</v>
      </c>
      <c r="AD139" s="359">
        <f t="shared" si="9"/>
        <v>4.3016060252956319</v>
      </c>
      <c r="AE139" s="359">
        <f t="shared" si="9"/>
        <v>4.3016060252956319</v>
      </c>
      <c r="AF139" s="359">
        <f t="shared" si="9"/>
        <v>4.3016060252956319</v>
      </c>
      <c r="AG139" s="359">
        <f t="shared" si="9"/>
        <v>8.9766559496718603</v>
      </c>
      <c r="AH139" s="359">
        <f t="shared" si="9"/>
        <v>-8.083502385442868</v>
      </c>
      <c r="AI139" s="359">
        <f t="shared" si="9"/>
        <v>-7.3088931950806888</v>
      </c>
      <c r="AJ139" s="359">
        <f t="shared" si="9"/>
        <v>-8.083502385442868</v>
      </c>
      <c r="AK139" s="358"/>
      <c r="AL139" s="359">
        <f t="shared" si="9"/>
        <v>-7.3088931950806888</v>
      </c>
      <c r="AM139" s="358"/>
      <c r="AN139" s="359">
        <f t="shared" si="9"/>
        <v>-5.3921382806734499</v>
      </c>
      <c r="AO139" s="358"/>
      <c r="AP139" s="348"/>
      <c r="AQ139" s="348"/>
    </row>
    <row r="140" spans="3:43" x14ac:dyDescent="0.25">
      <c r="C140" s="86"/>
      <c r="F140" s="293" t="s">
        <v>135</v>
      </c>
      <c r="G140" s="293" t="s">
        <v>183</v>
      </c>
      <c r="H140" s="415"/>
      <c r="I140" s="348"/>
      <c r="J140" s="464">
        <f t="shared" si="9"/>
        <v>0.8740368326130078</v>
      </c>
      <c r="K140" s="464">
        <f t="shared" si="9"/>
        <v>0.8740368326130078</v>
      </c>
      <c r="L140" s="464">
        <f t="shared" si="9"/>
        <v>1.0658983356316165</v>
      </c>
      <c r="M140" s="464">
        <f t="shared" si="9"/>
        <v>1.0658983356316165</v>
      </c>
      <c r="N140" s="464">
        <f t="shared" si="9"/>
        <v>1.0658983356316165</v>
      </c>
      <c r="O140" s="464">
        <f t="shared" si="9"/>
        <v>1.0658983356316165</v>
      </c>
      <c r="P140" s="464">
        <f t="shared" si="9"/>
        <v>1.0658983356316165</v>
      </c>
      <c r="Q140" s="464">
        <f t="shared" si="9"/>
        <v>1.0658983356316165</v>
      </c>
      <c r="R140" s="464">
        <f t="shared" si="9"/>
        <v>0.65085846970859584</v>
      </c>
      <c r="S140" s="464">
        <f t="shared" si="9"/>
        <v>0.65085846970859584</v>
      </c>
      <c r="T140" s="464">
        <f t="shared" si="9"/>
        <v>0.65085846970859584</v>
      </c>
      <c r="U140" s="464">
        <f t="shared" si="9"/>
        <v>0.65085846970859584</v>
      </c>
      <c r="V140" s="464">
        <f t="shared" si="9"/>
        <v>0.65085846970859584</v>
      </c>
      <c r="W140" s="464">
        <f t="shared" si="9"/>
        <v>0.68885607914219893</v>
      </c>
      <c r="X140" s="464">
        <f t="shared" si="9"/>
        <v>0.68885607914219893</v>
      </c>
      <c r="Y140" s="464">
        <f t="shared" si="9"/>
        <v>0.68885607914219893</v>
      </c>
      <c r="Z140" s="464">
        <f t="shared" si="9"/>
        <v>0.68885607914219893</v>
      </c>
      <c r="AA140" s="464">
        <f t="shared" si="9"/>
        <v>0.68885607914219893</v>
      </c>
      <c r="AB140" s="464">
        <f t="shared" si="9"/>
        <v>0.51366516367900328</v>
      </c>
      <c r="AC140" s="464">
        <f t="shared" si="9"/>
        <v>0.51366516367900328</v>
      </c>
      <c r="AD140" s="464">
        <f t="shared" si="9"/>
        <v>0.51366516367900328</v>
      </c>
      <c r="AE140" s="464">
        <f t="shared" si="9"/>
        <v>0.51366516367900328</v>
      </c>
      <c r="AF140" s="464">
        <f t="shared" si="9"/>
        <v>0.51366516367900328</v>
      </c>
      <c r="AG140" s="464">
        <f t="shared" si="9"/>
        <v>1.8390707807649331</v>
      </c>
      <c r="AH140" s="464">
        <f t="shared" si="9"/>
        <v>-1.4542757722352337</v>
      </c>
      <c r="AI140" s="464">
        <f t="shared" si="9"/>
        <v>-1.2593492541418145</v>
      </c>
      <c r="AJ140" s="464">
        <f t="shared" si="9"/>
        <v>-1.4542757722352337</v>
      </c>
      <c r="AK140" s="417"/>
      <c r="AL140" s="464">
        <f t="shared" si="9"/>
        <v>-1.2593492541418145</v>
      </c>
      <c r="AM140" s="417"/>
      <c r="AN140" s="464">
        <f t="shared" si="9"/>
        <v>-0.70810900515864061</v>
      </c>
      <c r="AO140" s="417"/>
      <c r="AP140" s="348"/>
      <c r="AQ140" s="348"/>
    </row>
    <row r="141" spans="3:43" x14ac:dyDescent="0.25">
      <c r="C141" s="86"/>
      <c r="F141" s="293" t="s">
        <v>136</v>
      </c>
      <c r="G141" s="293" t="s">
        <v>183</v>
      </c>
      <c r="H141" s="415"/>
      <c r="I141" s="348"/>
      <c r="J141" s="464">
        <f t="shared" si="9"/>
        <v>9.6759037381012172E-2</v>
      </c>
      <c r="K141" s="464">
        <f t="shared" si="9"/>
        <v>9.6759037381012172E-2</v>
      </c>
      <c r="L141" s="464">
        <f t="shared" si="9"/>
        <v>0.1179987994251987</v>
      </c>
      <c r="M141" s="464">
        <f t="shared" si="9"/>
        <v>0.1179987994251987</v>
      </c>
      <c r="N141" s="464">
        <f t="shared" si="9"/>
        <v>0.1179987994251987</v>
      </c>
      <c r="O141" s="464">
        <f t="shared" si="9"/>
        <v>0.1179987994251987</v>
      </c>
      <c r="P141" s="464">
        <f t="shared" si="9"/>
        <v>0.1179987994251987</v>
      </c>
      <c r="Q141" s="464">
        <f t="shared" si="9"/>
        <v>0.1179987994251987</v>
      </c>
      <c r="R141" s="464">
        <f t="shared" si="9"/>
        <v>7.4975840525600121E-2</v>
      </c>
      <c r="S141" s="464">
        <f t="shared" si="9"/>
        <v>7.4975840525600121E-2</v>
      </c>
      <c r="T141" s="464">
        <f t="shared" si="9"/>
        <v>7.4975840525600121E-2</v>
      </c>
      <c r="U141" s="464">
        <f t="shared" si="9"/>
        <v>7.4975840525600121E-2</v>
      </c>
      <c r="V141" s="464">
        <f t="shared" si="9"/>
        <v>7.4975840525600121E-2</v>
      </c>
      <c r="W141" s="464">
        <f t="shared" si="9"/>
        <v>8.8441769548258165E-2</v>
      </c>
      <c r="X141" s="464">
        <f t="shared" si="9"/>
        <v>8.8441769548258165E-2</v>
      </c>
      <c r="Y141" s="464">
        <f t="shared" si="9"/>
        <v>8.8441769548258165E-2</v>
      </c>
      <c r="Z141" s="464">
        <f t="shared" si="9"/>
        <v>8.8441769548258165E-2</v>
      </c>
      <c r="AA141" s="464">
        <f t="shared" si="9"/>
        <v>8.8441769548258165E-2</v>
      </c>
      <c r="AB141" s="464">
        <f t="shared" si="9"/>
        <v>6.5814124256432571E-2</v>
      </c>
      <c r="AC141" s="464">
        <f t="shared" si="9"/>
        <v>6.5814124256432571E-2</v>
      </c>
      <c r="AD141" s="464">
        <f t="shared" si="9"/>
        <v>6.5814124256432571E-2</v>
      </c>
      <c r="AE141" s="464">
        <f t="shared" si="9"/>
        <v>6.5814124256432571E-2</v>
      </c>
      <c r="AF141" s="464">
        <f t="shared" si="9"/>
        <v>6.5814124256432571E-2</v>
      </c>
      <c r="AG141" s="464">
        <f t="shared" si="9"/>
        <v>0.78558355035602911</v>
      </c>
      <c r="AH141" s="464">
        <f t="shared" si="9"/>
        <v>-0.16099358580499623</v>
      </c>
      <c r="AI141" s="464">
        <f t="shared" si="9"/>
        <v>-0.14246284344281587</v>
      </c>
      <c r="AJ141" s="464">
        <f t="shared" si="9"/>
        <v>-0.16099358580499623</v>
      </c>
      <c r="AK141" s="417"/>
      <c r="AL141" s="464">
        <f t="shared" si="9"/>
        <v>-0.14246284344281587</v>
      </c>
      <c r="AM141" s="417"/>
      <c r="AN141" s="464">
        <f t="shared" si="9"/>
        <v>-8.9601370113660816E-2</v>
      </c>
      <c r="AO141" s="417"/>
      <c r="AP141" s="348"/>
      <c r="AQ141" s="348"/>
    </row>
    <row r="142" spans="3:43" x14ac:dyDescent="0.25">
      <c r="C142" s="86"/>
      <c r="F142" s="293" t="s">
        <v>254</v>
      </c>
      <c r="G142" s="293" t="s">
        <v>252</v>
      </c>
      <c r="H142" s="379"/>
      <c r="J142" s="264">
        <f t="shared" si="9"/>
        <v>7.1368611887233966</v>
      </c>
      <c r="K142" s="264">
        <f t="shared" si="9"/>
        <v>0</v>
      </c>
      <c r="L142" s="264">
        <f t="shared" si="9"/>
        <v>2.4165011615916936</v>
      </c>
      <c r="M142" s="264">
        <f t="shared" si="9"/>
        <v>4.2551372601941155</v>
      </c>
      <c r="N142" s="264">
        <f t="shared" si="9"/>
        <v>12.3536445842894</v>
      </c>
      <c r="O142" s="264">
        <f t="shared" si="9"/>
        <v>27.036495119451455</v>
      </c>
      <c r="P142" s="264">
        <f t="shared" si="9"/>
        <v>81.821104678597706</v>
      </c>
      <c r="Q142" s="264">
        <f t="shared" si="9"/>
        <v>0</v>
      </c>
      <c r="R142" s="264">
        <f t="shared" si="9"/>
        <v>9.4364384578079274</v>
      </c>
      <c r="S142" s="264">
        <f t="shared" si="9"/>
        <v>129.37042855953825</v>
      </c>
      <c r="T142" s="264">
        <f t="shared" si="9"/>
        <v>285.32513271471004</v>
      </c>
      <c r="U142" s="264">
        <f t="shared" si="9"/>
        <v>474.15949646082947</v>
      </c>
      <c r="V142" s="264">
        <f t="shared" si="9"/>
        <v>1021.9732398071956</v>
      </c>
      <c r="W142" s="264">
        <f t="shared" si="9"/>
        <v>5.4095388250267247</v>
      </c>
      <c r="X142" s="264">
        <f t="shared" si="9"/>
        <v>199.1782417641034</v>
      </c>
      <c r="Y142" s="264">
        <f t="shared" si="9"/>
        <v>451.14301601836274</v>
      </c>
      <c r="Z142" s="264">
        <f t="shared" si="9"/>
        <v>756.22908630064762</v>
      </c>
      <c r="AA142" s="264">
        <f t="shared" si="9"/>
        <v>1641.2922648907031</v>
      </c>
      <c r="AB142" s="264">
        <f t="shared" si="9"/>
        <v>91.455393124827197</v>
      </c>
      <c r="AC142" s="264">
        <f t="shared" si="9"/>
        <v>1342.523615342139</v>
      </c>
      <c r="AD142" s="264">
        <f t="shared" si="9"/>
        <v>4745.0976158571402</v>
      </c>
      <c r="AE142" s="264">
        <f t="shared" si="9"/>
        <v>9516.6038384302901</v>
      </c>
      <c r="AF142" s="264">
        <f t="shared" si="9"/>
        <v>17801.979773877065</v>
      </c>
      <c r="AG142" s="264">
        <f t="shared" si="9"/>
        <v>0</v>
      </c>
      <c r="AH142" s="264">
        <f t="shared" si="9"/>
        <v>0</v>
      </c>
      <c r="AI142" s="264">
        <f t="shared" si="9"/>
        <v>0</v>
      </c>
      <c r="AJ142" s="264">
        <f t="shared" si="9"/>
        <v>0</v>
      </c>
      <c r="AK142" s="279"/>
      <c r="AL142" s="264">
        <f t="shared" si="9"/>
        <v>0</v>
      </c>
      <c r="AM142" s="279"/>
      <c r="AN142" s="264">
        <f t="shared" si="9"/>
        <v>0</v>
      </c>
      <c r="AO142" s="279"/>
    </row>
    <row r="143" spans="3:43" x14ac:dyDescent="0.25">
      <c r="C143" s="86"/>
      <c r="F143" s="293" t="s">
        <v>255</v>
      </c>
      <c r="G143" s="293" t="s">
        <v>251</v>
      </c>
      <c r="H143" s="379"/>
      <c r="J143" s="264">
        <f t="shared" si="9"/>
        <v>0</v>
      </c>
      <c r="K143" s="264">
        <f t="shared" si="9"/>
        <v>0</v>
      </c>
      <c r="L143" s="264">
        <f t="shared" si="9"/>
        <v>0</v>
      </c>
      <c r="M143" s="264">
        <f t="shared" si="9"/>
        <v>0</v>
      </c>
      <c r="N143" s="264">
        <f t="shared" si="9"/>
        <v>0</v>
      </c>
      <c r="O143" s="264">
        <f t="shared" si="9"/>
        <v>0</v>
      </c>
      <c r="P143" s="264">
        <f t="shared" si="9"/>
        <v>0</v>
      </c>
      <c r="Q143" s="264">
        <f t="shared" si="9"/>
        <v>0</v>
      </c>
      <c r="R143" s="264">
        <f t="shared" si="9"/>
        <v>1.3191391382001225</v>
      </c>
      <c r="S143" s="264">
        <f t="shared" si="9"/>
        <v>1.3191391382001225</v>
      </c>
      <c r="T143" s="264">
        <f t="shared" si="9"/>
        <v>1.3191391382001225</v>
      </c>
      <c r="U143" s="264">
        <f t="shared" si="9"/>
        <v>1.3191391382001225</v>
      </c>
      <c r="V143" s="264">
        <f t="shared" si="9"/>
        <v>1.3191391382001225</v>
      </c>
      <c r="W143" s="264">
        <f t="shared" si="9"/>
        <v>4.2108666652620856</v>
      </c>
      <c r="X143" s="264">
        <f t="shared" si="9"/>
        <v>4.2108666652620856</v>
      </c>
      <c r="Y143" s="264">
        <f t="shared" si="9"/>
        <v>4.2108666652620856</v>
      </c>
      <c r="Z143" s="264">
        <f t="shared" si="9"/>
        <v>4.2108666652620856</v>
      </c>
      <c r="AA143" s="264">
        <f t="shared" si="9"/>
        <v>4.2108666652620856</v>
      </c>
      <c r="AB143" s="264">
        <f t="shared" si="9"/>
        <v>3.7948483762097172</v>
      </c>
      <c r="AC143" s="264">
        <f t="shared" si="9"/>
        <v>3.7948483762097172</v>
      </c>
      <c r="AD143" s="264">
        <f t="shared" si="9"/>
        <v>3.7948483762097172</v>
      </c>
      <c r="AE143" s="264">
        <f t="shared" si="9"/>
        <v>3.7948483762097172</v>
      </c>
      <c r="AF143" s="264">
        <f t="shared" si="9"/>
        <v>3.7948483762097172</v>
      </c>
      <c r="AG143" s="264">
        <f t="shared" si="9"/>
        <v>0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25">
      <c r="C144" s="86"/>
      <c r="F144" s="293" t="s">
        <v>256</v>
      </c>
      <c r="G144" s="293" t="s">
        <v>251</v>
      </c>
      <c r="H144" s="379"/>
      <c r="J144" s="264">
        <f t="shared" si="9"/>
        <v>0</v>
      </c>
      <c r="K144" s="264">
        <f t="shared" si="9"/>
        <v>0</v>
      </c>
      <c r="L144" s="264">
        <f t="shared" si="9"/>
        <v>0</v>
      </c>
      <c r="M144" s="264">
        <f t="shared" si="9"/>
        <v>0</v>
      </c>
      <c r="N144" s="264">
        <f t="shared" si="9"/>
        <v>0</v>
      </c>
      <c r="O144" s="264">
        <f t="shared" si="9"/>
        <v>0</v>
      </c>
      <c r="P144" s="264">
        <f t="shared" si="9"/>
        <v>0</v>
      </c>
      <c r="Q144" s="264">
        <f t="shared" si="9"/>
        <v>0</v>
      </c>
      <c r="R144" s="264">
        <f t="shared" si="9"/>
        <v>2.2445303241971732</v>
      </c>
      <c r="S144" s="264">
        <f t="shared" si="9"/>
        <v>2.2445303241971732</v>
      </c>
      <c r="T144" s="264">
        <f t="shared" si="9"/>
        <v>2.2445303241971732</v>
      </c>
      <c r="U144" s="264">
        <f t="shared" si="9"/>
        <v>2.2445303241971732</v>
      </c>
      <c r="V144" s="264">
        <f t="shared" si="9"/>
        <v>2.2445303241971732</v>
      </c>
      <c r="W144" s="264">
        <f t="shared" si="9"/>
        <v>5.6979592285717811</v>
      </c>
      <c r="X144" s="264">
        <f t="shared" si="9"/>
        <v>5.6979592285717811</v>
      </c>
      <c r="Y144" s="264">
        <f t="shared" si="9"/>
        <v>5.6979592285717811</v>
      </c>
      <c r="Z144" s="264">
        <f t="shared" si="9"/>
        <v>5.6979592285717811</v>
      </c>
      <c r="AA144" s="264">
        <f t="shared" si="9"/>
        <v>5.6979592285717811</v>
      </c>
      <c r="AB144" s="264">
        <f t="shared" si="9"/>
        <v>5.9914987129306692</v>
      </c>
      <c r="AC144" s="264">
        <f t="shared" si="9"/>
        <v>5.9914987129306692</v>
      </c>
      <c r="AD144" s="264">
        <f t="shared" si="9"/>
        <v>5.9914987129306692</v>
      </c>
      <c r="AE144" s="264">
        <f t="shared" si="9"/>
        <v>5.9914987129306692</v>
      </c>
      <c r="AF144" s="264">
        <f t="shared" si="9"/>
        <v>5.9914987129306692</v>
      </c>
      <c r="AG144" s="264">
        <f t="shared" si="9"/>
        <v>0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25">
      <c r="C145" s="86"/>
      <c r="F145" s="93" t="s">
        <v>257</v>
      </c>
      <c r="G145" s="93" t="s">
        <v>258</v>
      </c>
      <c r="H145" s="360"/>
      <c r="I145" s="350"/>
      <c r="J145" s="361">
        <f t="shared" si="9"/>
        <v>0</v>
      </c>
      <c r="K145" s="361">
        <f t="shared" si="9"/>
        <v>0</v>
      </c>
      <c r="L145" s="361">
        <f t="shared" si="9"/>
        <v>0</v>
      </c>
      <c r="M145" s="361">
        <f t="shared" si="9"/>
        <v>0</v>
      </c>
      <c r="N145" s="361">
        <f t="shared" si="9"/>
        <v>0</v>
      </c>
      <c r="O145" s="361">
        <f t="shared" si="9"/>
        <v>0</v>
      </c>
      <c r="P145" s="361">
        <f t="shared" si="9"/>
        <v>0</v>
      </c>
      <c r="Q145" s="361">
        <f t="shared" si="9"/>
        <v>0</v>
      </c>
      <c r="R145" s="361">
        <f t="shared" si="9"/>
        <v>0.19632270401897225</v>
      </c>
      <c r="S145" s="361">
        <f t="shared" si="9"/>
        <v>0.19632270401897225</v>
      </c>
      <c r="T145" s="361">
        <f t="shared" si="9"/>
        <v>0.19632270401897225</v>
      </c>
      <c r="U145" s="361">
        <f t="shared" si="9"/>
        <v>0.19632270401897225</v>
      </c>
      <c r="V145" s="361">
        <f t="shared" si="9"/>
        <v>0.19632270401897225</v>
      </c>
      <c r="W145" s="361">
        <f t="shared" si="9"/>
        <v>0.21118097827223561</v>
      </c>
      <c r="X145" s="361">
        <f t="shared" si="9"/>
        <v>0.21118097827223561</v>
      </c>
      <c r="Y145" s="361">
        <f t="shared" si="9"/>
        <v>0.21118097827223561</v>
      </c>
      <c r="Z145" s="361">
        <f t="shared" si="9"/>
        <v>0.21118097827223561</v>
      </c>
      <c r="AA145" s="361">
        <f t="shared" si="9"/>
        <v>0.21118097827223561</v>
      </c>
      <c r="AB145" s="361">
        <f t="shared" si="9"/>
        <v>0.15853685255959821</v>
      </c>
      <c r="AC145" s="361">
        <f t="shared" si="9"/>
        <v>0.15853685255959821</v>
      </c>
      <c r="AD145" s="361">
        <f t="shared" si="9"/>
        <v>0.15853685255959821</v>
      </c>
      <c r="AE145" s="361">
        <f t="shared" si="9"/>
        <v>0.15853685255959821</v>
      </c>
      <c r="AF145" s="361">
        <f t="shared" si="9"/>
        <v>0.15853685255959821</v>
      </c>
      <c r="AG145" s="361">
        <f t="shared" si="9"/>
        <v>0</v>
      </c>
      <c r="AH145" s="361">
        <f t="shared" si="9"/>
        <v>0</v>
      </c>
      <c r="AI145" s="361">
        <f t="shared" si="9"/>
        <v>0</v>
      </c>
      <c r="AJ145" s="361">
        <f t="shared" si="9"/>
        <v>0.37290703611975162</v>
      </c>
      <c r="AK145" s="355"/>
      <c r="AL145" s="361">
        <f t="shared" si="9"/>
        <v>0.3436237562338107</v>
      </c>
      <c r="AM145" s="355"/>
      <c r="AN145" s="361">
        <f t="shared" si="9"/>
        <v>0.26472909957480251</v>
      </c>
      <c r="AO145" s="355"/>
      <c r="AP145" s="348"/>
      <c r="AQ145" s="348"/>
    </row>
    <row r="146" spans="1:43" x14ac:dyDescent="0.25">
      <c r="A146" s="348"/>
      <c r="B146" s="348"/>
      <c r="C146" s="348"/>
      <c r="D146" s="348"/>
      <c r="E146" s="348"/>
      <c r="F146" s="348"/>
      <c r="G146" s="348"/>
      <c r="H146" s="348"/>
      <c r="I146" s="348"/>
      <c r="J146" s="348"/>
      <c r="K146" s="348"/>
      <c r="L146" s="348"/>
      <c r="M146" s="348"/>
      <c r="N146" s="348"/>
      <c r="O146" s="348"/>
      <c r="P146" s="348"/>
      <c r="Q146" s="348"/>
      <c r="R146" s="348"/>
      <c r="S146" s="348"/>
      <c r="T146" s="348"/>
      <c r="U146" s="348"/>
      <c r="V146" s="348"/>
      <c r="W146" s="348"/>
      <c r="X146" s="348"/>
      <c r="Y146" s="348"/>
      <c r="Z146" s="348"/>
      <c r="AA146" s="348"/>
      <c r="AB146" s="348"/>
      <c r="AC146" s="348"/>
      <c r="AD146" s="348"/>
      <c r="AE146" s="348"/>
      <c r="AF146" s="348"/>
      <c r="AG146" s="348"/>
      <c r="AH146" s="348"/>
      <c r="AI146" s="348"/>
      <c r="AJ146" s="348"/>
      <c r="AK146" s="348"/>
      <c r="AL146" s="348"/>
      <c r="AM146" s="348"/>
      <c r="AN146" s="348"/>
      <c r="AO146" s="348"/>
      <c r="AP146" s="348"/>
      <c r="AQ146" s="348"/>
    </row>
    <row r="147" spans="1:43" x14ac:dyDescent="0.25">
      <c r="C147" s="7" t="str">
        <f ca="1">INDEX('Version control'!$H$34:$H$60,MATCH($A$1,'Version control'!$F$34:$F$60,0),1)&amp;"-H: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2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25">
      <c r="E149" s="96" t="s">
        <v>774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700</v>
      </c>
    </row>
    <row r="150" spans="1:43" x14ac:dyDescent="0.25">
      <c r="E150" s="86"/>
      <c r="F150" s="91" t="s">
        <v>134</v>
      </c>
      <c r="G150" s="91" t="s">
        <v>183</v>
      </c>
      <c r="H150" s="357"/>
      <c r="I150" s="346"/>
      <c r="J150" s="347">
        <f t="shared" ref="J150:AO156" si="10">ROUND(J121, $H95)</f>
        <v>10.771000000000001</v>
      </c>
      <c r="K150" s="347">
        <f t="shared" si="10"/>
        <v>10.771000000000001</v>
      </c>
      <c r="L150" s="347">
        <f t="shared" si="10"/>
        <v>13.135999999999999</v>
      </c>
      <c r="M150" s="347">
        <f t="shared" si="10"/>
        <v>13.135999999999999</v>
      </c>
      <c r="N150" s="347">
        <f t="shared" si="10"/>
        <v>13.135999999999999</v>
      </c>
      <c r="O150" s="347">
        <f t="shared" si="10"/>
        <v>13.135999999999999</v>
      </c>
      <c r="P150" s="347">
        <f t="shared" si="10"/>
        <v>13.135999999999999</v>
      </c>
      <c r="Q150" s="347">
        <f t="shared" si="10"/>
        <v>13.135999999999999</v>
      </c>
      <c r="R150" s="347">
        <f t="shared" si="10"/>
        <v>8.6780000000000008</v>
      </c>
      <c r="S150" s="347">
        <f t="shared" si="10"/>
        <v>8.6780000000000008</v>
      </c>
      <c r="T150" s="347">
        <f t="shared" si="10"/>
        <v>8.6780000000000008</v>
      </c>
      <c r="U150" s="347">
        <f t="shared" si="10"/>
        <v>8.6780000000000008</v>
      </c>
      <c r="V150" s="347">
        <f t="shared" si="10"/>
        <v>8.6780000000000008</v>
      </c>
      <c r="W150" s="347">
        <f t="shared" si="10"/>
        <v>6.9480000000000004</v>
      </c>
      <c r="X150" s="347">
        <f t="shared" si="10"/>
        <v>6.9480000000000004</v>
      </c>
      <c r="Y150" s="347">
        <f t="shared" si="10"/>
        <v>6.9480000000000004</v>
      </c>
      <c r="Z150" s="347">
        <f t="shared" si="10"/>
        <v>6.9480000000000004</v>
      </c>
      <c r="AA150" s="347">
        <f t="shared" si="10"/>
        <v>6.9480000000000004</v>
      </c>
      <c r="AB150" s="347">
        <f t="shared" si="10"/>
        <v>5.2249999999999996</v>
      </c>
      <c r="AC150" s="347">
        <f t="shared" si="10"/>
        <v>5.2249999999999996</v>
      </c>
      <c r="AD150" s="347">
        <f t="shared" si="10"/>
        <v>5.2249999999999996</v>
      </c>
      <c r="AE150" s="347">
        <f t="shared" si="10"/>
        <v>5.2249999999999996</v>
      </c>
      <c r="AF150" s="347">
        <f t="shared" si="10"/>
        <v>5.2249999999999996</v>
      </c>
      <c r="AG150" s="347">
        <f t="shared" si="10"/>
        <v>19.902000000000001</v>
      </c>
      <c r="AH150" s="347">
        <f t="shared" si="10"/>
        <v>-8.0839999999999996</v>
      </c>
      <c r="AI150" s="347">
        <f t="shared" si="10"/>
        <v>-7.3090000000000002</v>
      </c>
      <c r="AJ150" s="347">
        <f t="shared" si="10"/>
        <v>-8.0839999999999996</v>
      </c>
      <c r="AK150" s="347">
        <f t="shared" si="10"/>
        <v>-8.0839999999999996</v>
      </c>
      <c r="AL150" s="347">
        <f t="shared" si="10"/>
        <v>-7.3090000000000002</v>
      </c>
      <c r="AM150" s="347">
        <f t="shared" si="10"/>
        <v>-7.3090000000000002</v>
      </c>
      <c r="AN150" s="347">
        <f t="shared" si="10"/>
        <v>-5.3920000000000003</v>
      </c>
      <c r="AO150" s="347">
        <f t="shared" si="10"/>
        <v>-5.3920000000000003</v>
      </c>
      <c r="AP150" s="348"/>
      <c r="AQ150" s="348"/>
    </row>
    <row r="151" spans="1:43" x14ac:dyDescent="0.25">
      <c r="E151" s="86"/>
      <c r="F151" s="293" t="s">
        <v>135</v>
      </c>
      <c r="G151" s="293" t="s">
        <v>183</v>
      </c>
      <c r="H151" s="415"/>
      <c r="I151" s="348"/>
      <c r="J151" s="349">
        <f t="shared" si="10"/>
        <v>1.9379999999999999</v>
      </c>
      <c r="K151" s="349">
        <f t="shared" si="10"/>
        <v>1.9379999999999999</v>
      </c>
      <c r="L151" s="349">
        <f t="shared" si="10"/>
        <v>2.363</v>
      </c>
      <c r="M151" s="349">
        <f t="shared" si="10"/>
        <v>2.363</v>
      </c>
      <c r="N151" s="349">
        <f t="shared" si="10"/>
        <v>2.363</v>
      </c>
      <c r="O151" s="349">
        <f t="shared" si="10"/>
        <v>2.363</v>
      </c>
      <c r="P151" s="349">
        <f t="shared" si="10"/>
        <v>2.363</v>
      </c>
      <c r="Q151" s="349">
        <f t="shared" si="10"/>
        <v>2.363</v>
      </c>
      <c r="R151" s="349">
        <f t="shared" si="10"/>
        <v>1.4430000000000001</v>
      </c>
      <c r="S151" s="349">
        <f t="shared" si="10"/>
        <v>1.4430000000000001</v>
      </c>
      <c r="T151" s="349">
        <f t="shared" si="10"/>
        <v>1.4430000000000001</v>
      </c>
      <c r="U151" s="349">
        <f t="shared" si="10"/>
        <v>1.4430000000000001</v>
      </c>
      <c r="V151" s="349">
        <f t="shared" si="10"/>
        <v>1.4430000000000001</v>
      </c>
      <c r="W151" s="349">
        <f t="shared" si="10"/>
        <v>0.94499999999999995</v>
      </c>
      <c r="X151" s="349">
        <f t="shared" si="10"/>
        <v>0.94499999999999995</v>
      </c>
      <c r="Y151" s="349">
        <f t="shared" si="10"/>
        <v>0.94499999999999995</v>
      </c>
      <c r="Z151" s="349">
        <f t="shared" si="10"/>
        <v>0.94499999999999995</v>
      </c>
      <c r="AA151" s="349">
        <f t="shared" si="10"/>
        <v>0.94499999999999995</v>
      </c>
      <c r="AB151" s="349">
        <f t="shared" si="10"/>
        <v>0.624</v>
      </c>
      <c r="AC151" s="349">
        <f t="shared" si="10"/>
        <v>0.624</v>
      </c>
      <c r="AD151" s="349">
        <f t="shared" si="10"/>
        <v>0.624</v>
      </c>
      <c r="AE151" s="349">
        <f t="shared" si="10"/>
        <v>0.624</v>
      </c>
      <c r="AF151" s="349">
        <f t="shared" si="10"/>
        <v>0.624</v>
      </c>
      <c r="AG151" s="349">
        <f t="shared" si="10"/>
        <v>4.077</v>
      </c>
      <c r="AH151" s="349">
        <f t="shared" si="10"/>
        <v>-1.454</v>
      </c>
      <c r="AI151" s="349">
        <f t="shared" si="10"/>
        <v>-1.2589999999999999</v>
      </c>
      <c r="AJ151" s="349">
        <f t="shared" si="10"/>
        <v>-1.454</v>
      </c>
      <c r="AK151" s="349">
        <f t="shared" si="10"/>
        <v>-1.454</v>
      </c>
      <c r="AL151" s="349">
        <f t="shared" si="10"/>
        <v>-1.2589999999999999</v>
      </c>
      <c r="AM151" s="349">
        <f t="shared" si="10"/>
        <v>-1.2589999999999999</v>
      </c>
      <c r="AN151" s="349">
        <f t="shared" si="10"/>
        <v>-0.70799999999999996</v>
      </c>
      <c r="AO151" s="349">
        <f t="shared" si="10"/>
        <v>-0.70799999999999996</v>
      </c>
      <c r="AP151" s="348"/>
      <c r="AQ151" s="348"/>
    </row>
    <row r="152" spans="1:43" x14ac:dyDescent="0.25">
      <c r="E152" s="86"/>
      <c r="F152" s="293" t="s">
        <v>136</v>
      </c>
      <c r="G152" s="293" t="s">
        <v>183</v>
      </c>
      <c r="H152" s="415"/>
      <c r="I152" s="348"/>
      <c r="J152" s="349">
        <f t="shared" si="10"/>
        <v>0.215</v>
      </c>
      <c r="K152" s="349">
        <f t="shared" si="10"/>
        <v>0.215</v>
      </c>
      <c r="L152" s="349">
        <f t="shared" si="10"/>
        <v>0.26200000000000001</v>
      </c>
      <c r="M152" s="349">
        <f t="shared" si="10"/>
        <v>0.26200000000000001</v>
      </c>
      <c r="N152" s="349">
        <f t="shared" si="10"/>
        <v>0.26200000000000001</v>
      </c>
      <c r="O152" s="349">
        <f t="shared" si="10"/>
        <v>0.26200000000000001</v>
      </c>
      <c r="P152" s="349">
        <f t="shared" si="10"/>
        <v>0.26200000000000001</v>
      </c>
      <c r="Q152" s="349">
        <f t="shared" si="10"/>
        <v>0.26200000000000001</v>
      </c>
      <c r="R152" s="349">
        <f t="shared" si="10"/>
        <v>0.16600000000000001</v>
      </c>
      <c r="S152" s="349">
        <f t="shared" si="10"/>
        <v>0.16600000000000001</v>
      </c>
      <c r="T152" s="349">
        <f t="shared" si="10"/>
        <v>0.16600000000000001</v>
      </c>
      <c r="U152" s="349">
        <f t="shared" si="10"/>
        <v>0.16600000000000001</v>
      </c>
      <c r="V152" s="349">
        <f t="shared" si="10"/>
        <v>0.16600000000000001</v>
      </c>
      <c r="W152" s="349">
        <f t="shared" si="10"/>
        <v>0.121</v>
      </c>
      <c r="X152" s="349">
        <f t="shared" si="10"/>
        <v>0.121</v>
      </c>
      <c r="Y152" s="349">
        <f t="shared" si="10"/>
        <v>0.121</v>
      </c>
      <c r="Z152" s="349">
        <f t="shared" si="10"/>
        <v>0.121</v>
      </c>
      <c r="AA152" s="349">
        <f t="shared" si="10"/>
        <v>0.121</v>
      </c>
      <c r="AB152" s="349">
        <f t="shared" si="10"/>
        <v>0.08</v>
      </c>
      <c r="AC152" s="349">
        <f t="shared" si="10"/>
        <v>0.08</v>
      </c>
      <c r="AD152" s="349">
        <f t="shared" si="10"/>
        <v>0.08</v>
      </c>
      <c r="AE152" s="349">
        <f t="shared" si="10"/>
        <v>0.08</v>
      </c>
      <c r="AF152" s="349">
        <f t="shared" si="10"/>
        <v>0.08</v>
      </c>
      <c r="AG152" s="349">
        <f t="shared" si="10"/>
        <v>1.742</v>
      </c>
      <c r="AH152" s="349">
        <f t="shared" si="10"/>
        <v>-0.161</v>
      </c>
      <c r="AI152" s="349">
        <f t="shared" si="10"/>
        <v>-0.14199999999999999</v>
      </c>
      <c r="AJ152" s="349">
        <f t="shared" si="10"/>
        <v>-0.161</v>
      </c>
      <c r="AK152" s="349">
        <f t="shared" si="10"/>
        <v>-0.161</v>
      </c>
      <c r="AL152" s="349">
        <f t="shared" si="10"/>
        <v>-0.14199999999999999</v>
      </c>
      <c r="AM152" s="349">
        <f t="shared" si="10"/>
        <v>-0.14199999999999999</v>
      </c>
      <c r="AN152" s="349">
        <f t="shared" si="10"/>
        <v>-0.09</v>
      </c>
      <c r="AO152" s="349">
        <f t="shared" si="10"/>
        <v>-0.09</v>
      </c>
      <c r="AP152" s="348"/>
      <c r="AQ152" s="348"/>
    </row>
    <row r="153" spans="1:43" x14ac:dyDescent="0.25">
      <c r="E153" s="86"/>
      <c r="F153" s="293" t="s">
        <v>254</v>
      </c>
      <c r="G153" s="293" t="s">
        <v>252</v>
      </c>
      <c r="H153" s="379"/>
      <c r="J153" s="256">
        <f t="shared" si="10"/>
        <v>15.64</v>
      </c>
      <c r="K153" s="256">
        <f t="shared" si="10"/>
        <v>0</v>
      </c>
      <c r="L153" s="256">
        <f t="shared" si="10"/>
        <v>5.28</v>
      </c>
      <c r="M153" s="256">
        <f t="shared" si="10"/>
        <v>9.35</v>
      </c>
      <c r="N153" s="256">
        <f t="shared" si="10"/>
        <v>27.31</v>
      </c>
      <c r="O153" s="256">
        <f t="shared" si="10"/>
        <v>59.86</v>
      </c>
      <c r="P153" s="256">
        <f t="shared" si="10"/>
        <v>181.33</v>
      </c>
      <c r="Q153" s="256">
        <f t="shared" si="10"/>
        <v>0</v>
      </c>
      <c r="R153" s="256">
        <f t="shared" si="10"/>
        <v>20.84</v>
      </c>
      <c r="S153" s="256">
        <f t="shared" si="10"/>
        <v>286.75</v>
      </c>
      <c r="T153" s="256">
        <f t="shared" si="10"/>
        <v>632.52</v>
      </c>
      <c r="U153" s="256">
        <f t="shared" si="10"/>
        <v>1051.18</v>
      </c>
      <c r="V153" s="256">
        <f t="shared" si="10"/>
        <v>2265.75</v>
      </c>
      <c r="W153" s="256">
        <f t="shared" si="10"/>
        <v>7.4</v>
      </c>
      <c r="X153" s="256">
        <f t="shared" si="10"/>
        <v>273.31</v>
      </c>
      <c r="Y153" s="256">
        <f t="shared" si="10"/>
        <v>619.08000000000004</v>
      </c>
      <c r="Z153" s="256">
        <f t="shared" si="10"/>
        <v>1037.74</v>
      </c>
      <c r="AA153" s="256">
        <f t="shared" si="10"/>
        <v>2252.31</v>
      </c>
      <c r="AB153" s="256">
        <f t="shared" si="10"/>
        <v>111.08</v>
      </c>
      <c r="AC153" s="256">
        <f t="shared" si="10"/>
        <v>1630.74</v>
      </c>
      <c r="AD153" s="256">
        <f t="shared" si="10"/>
        <v>5763.83</v>
      </c>
      <c r="AE153" s="256">
        <f t="shared" si="10"/>
        <v>11559.76</v>
      </c>
      <c r="AF153" s="256">
        <f t="shared" si="10"/>
        <v>21623.96</v>
      </c>
      <c r="AG153" s="256">
        <f t="shared" si="10"/>
        <v>0</v>
      </c>
      <c r="AH153" s="256">
        <f t="shared" si="10"/>
        <v>0</v>
      </c>
      <c r="AI153" s="256">
        <f t="shared" si="10"/>
        <v>0</v>
      </c>
      <c r="AJ153" s="256">
        <f t="shared" si="10"/>
        <v>0</v>
      </c>
      <c r="AK153" s="256">
        <f t="shared" si="10"/>
        <v>0</v>
      </c>
      <c r="AL153" s="256">
        <f t="shared" si="10"/>
        <v>0</v>
      </c>
      <c r="AM153" s="256">
        <f t="shared" si="10"/>
        <v>0</v>
      </c>
      <c r="AN153" s="256">
        <f t="shared" si="10"/>
        <v>81.06</v>
      </c>
      <c r="AO153" s="256">
        <f t="shared" si="10"/>
        <v>81.06</v>
      </c>
    </row>
    <row r="154" spans="1:43" x14ac:dyDescent="0.25">
      <c r="E154" s="86"/>
      <c r="F154" s="293" t="s">
        <v>255</v>
      </c>
      <c r="G154" s="293" t="s">
        <v>251</v>
      </c>
      <c r="H154" s="379"/>
      <c r="J154" s="256">
        <f t="shared" si="10"/>
        <v>0</v>
      </c>
      <c r="K154" s="256">
        <f t="shared" si="10"/>
        <v>0</v>
      </c>
      <c r="L154" s="256">
        <f t="shared" si="10"/>
        <v>0</v>
      </c>
      <c r="M154" s="256">
        <f t="shared" si="10"/>
        <v>0</v>
      </c>
      <c r="N154" s="256">
        <f t="shared" si="10"/>
        <v>0</v>
      </c>
      <c r="O154" s="256">
        <f t="shared" si="10"/>
        <v>0</v>
      </c>
      <c r="P154" s="256">
        <f t="shared" si="10"/>
        <v>0</v>
      </c>
      <c r="Q154" s="256">
        <f t="shared" si="10"/>
        <v>0</v>
      </c>
      <c r="R154" s="256">
        <f t="shared" si="10"/>
        <v>2.92</v>
      </c>
      <c r="S154" s="256">
        <f t="shared" si="10"/>
        <v>2.92</v>
      </c>
      <c r="T154" s="256">
        <f t="shared" si="10"/>
        <v>2.92</v>
      </c>
      <c r="U154" s="256">
        <f t="shared" si="10"/>
        <v>2.92</v>
      </c>
      <c r="V154" s="256">
        <f t="shared" si="10"/>
        <v>2.92</v>
      </c>
      <c r="W154" s="256">
        <f t="shared" si="10"/>
        <v>5.78</v>
      </c>
      <c r="X154" s="256">
        <f t="shared" si="10"/>
        <v>5.78</v>
      </c>
      <c r="Y154" s="256">
        <f t="shared" si="10"/>
        <v>5.78</v>
      </c>
      <c r="Z154" s="256">
        <f t="shared" si="10"/>
        <v>5.78</v>
      </c>
      <c r="AA154" s="256">
        <f t="shared" si="10"/>
        <v>5.78</v>
      </c>
      <c r="AB154" s="256">
        <f t="shared" si="10"/>
        <v>4.6100000000000003</v>
      </c>
      <c r="AC154" s="256">
        <f t="shared" si="10"/>
        <v>4.6100000000000003</v>
      </c>
      <c r="AD154" s="256">
        <f t="shared" si="10"/>
        <v>4.6100000000000003</v>
      </c>
      <c r="AE154" s="256">
        <f t="shared" si="10"/>
        <v>4.6100000000000003</v>
      </c>
      <c r="AF154" s="256">
        <f t="shared" si="10"/>
        <v>4.6100000000000003</v>
      </c>
      <c r="AG154" s="256">
        <f t="shared" si="10"/>
        <v>0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25">
      <c r="E155" s="86"/>
      <c r="F155" s="293" t="s">
        <v>256</v>
      </c>
      <c r="G155" s="293" t="s">
        <v>251</v>
      </c>
      <c r="H155" s="379"/>
      <c r="J155" s="256">
        <f t="shared" si="10"/>
        <v>0</v>
      </c>
      <c r="K155" s="256">
        <f t="shared" si="10"/>
        <v>0</v>
      </c>
      <c r="L155" s="256">
        <f t="shared" si="10"/>
        <v>0</v>
      </c>
      <c r="M155" s="256">
        <f t="shared" si="10"/>
        <v>0</v>
      </c>
      <c r="N155" s="256">
        <f t="shared" si="10"/>
        <v>0</v>
      </c>
      <c r="O155" s="256">
        <f t="shared" si="10"/>
        <v>0</v>
      </c>
      <c r="P155" s="256">
        <f t="shared" si="10"/>
        <v>0</v>
      </c>
      <c r="Q155" s="256">
        <f t="shared" si="10"/>
        <v>0</v>
      </c>
      <c r="R155" s="256">
        <f t="shared" si="10"/>
        <v>4.9800000000000004</v>
      </c>
      <c r="S155" s="256">
        <f t="shared" si="10"/>
        <v>4.9800000000000004</v>
      </c>
      <c r="T155" s="256">
        <f t="shared" si="10"/>
        <v>4.9800000000000004</v>
      </c>
      <c r="U155" s="256">
        <f t="shared" si="10"/>
        <v>4.9800000000000004</v>
      </c>
      <c r="V155" s="256">
        <f t="shared" si="10"/>
        <v>4.9800000000000004</v>
      </c>
      <c r="W155" s="256">
        <f t="shared" si="10"/>
        <v>7.82</v>
      </c>
      <c r="X155" s="256">
        <f t="shared" si="10"/>
        <v>7.82</v>
      </c>
      <c r="Y155" s="256">
        <f t="shared" si="10"/>
        <v>7.82</v>
      </c>
      <c r="Z155" s="256">
        <f t="shared" si="10"/>
        <v>7.82</v>
      </c>
      <c r="AA155" s="256">
        <f t="shared" si="10"/>
        <v>7.82</v>
      </c>
      <c r="AB155" s="256">
        <f t="shared" si="10"/>
        <v>7.28</v>
      </c>
      <c r="AC155" s="256">
        <f t="shared" si="10"/>
        <v>7.28</v>
      </c>
      <c r="AD155" s="256">
        <f t="shared" si="10"/>
        <v>7.28</v>
      </c>
      <c r="AE155" s="256">
        <f t="shared" si="10"/>
        <v>7.28</v>
      </c>
      <c r="AF155" s="256">
        <f t="shared" si="10"/>
        <v>7.28</v>
      </c>
      <c r="AG155" s="256">
        <f t="shared" si="10"/>
        <v>0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25">
      <c r="E156" s="86"/>
      <c r="F156" s="93" t="s">
        <v>257</v>
      </c>
      <c r="G156" s="93" t="s">
        <v>258</v>
      </c>
      <c r="H156" s="360"/>
      <c r="I156" s="350"/>
      <c r="J156" s="351">
        <f t="shared" si="10"/>
        <v>0</v>
      </c>
      <c r="K156" s="351">
        <f t="shared" si="10"/>
        <v>0</v>
      </c>
      <c r="L156" s="351">
        <f t="shared" si="10"/>
        <v>0</v>
      </c>
      <c r="M156" s="351">
        <f t="shared" si="10"/>
        <v>0</v>
      </c>
      <c r="N156" s="351">
        <f t="shared" si="10"/>
        <v>0</v>
      </c>
      <c r="O156" s="351">
        <f t="shared" si="10"/>
        <v>0</v>
      </c>
      <c r="P156" s="351">
        <f t="shared" si="10"/>
        <v>0</v>
      </c>
      <c r="Q156" s="351">
        <f t="shared" si="10"/>
        <v>0</v>
      </c>
      <c r="R156" s="351">
        <f t="shared" si="10"/>
        <v>0.435</v>
      </c>
      <c r="S156" s="351">
        <f t="shared" si="10"/>
        <v>0.435</v>
      </c>
      <c r="T156" s="351">
        <f t="shared" si="10"/>
        <v>0.435</v>
      </c>
      <c r="U156" s="351">
        <f t="shared" si="10"/>
        <v>0.435</v>
      </c>
      <c r="V156" s="351">
        <f t="shared" si="10"/>
        <v>0.435</v>
      </c>
      <c r="W156" s="351">
        <f t="shared" si="10"/>
        <v>0.28999999999999998</v>
      </c>
      <c r="X156" s="351">
        <f t="shared" si="10"/>
        <v>0.28999999999999998</v>
      </c>
      <c r="Y156" s="351">
        <f t="shared" si="10"/>
        <v>0.28999999999999998</v>
      </c>
      <c r="Z156" s="351">
        <f t="shared" si="10"/>
        <v>0.28999999999999998</v>
      </c>
      <c r="AA156" s="351">
        <f t="shared" si="10"/>
        <v>0.28999999999999998</v>
      </c>
      <c r="AB156" s="351">
        <f t="shared" si="10"/>
        <v>0.193</v>
      </c>
      <c r="AC156" s="351">
        <f t="shared" si="10"/>
        <v>0.193</v>
      </c>
      <c r="AD156" s="351">
        <f t="shared" si="10"/>
        <v>0.193</v>
      </c>
      <c r="AE156" s="351">
        <f t="shared" si="10"/>
        <v>0.193</v>
      </c>
      <c r="AF156" s="351">
        <f t="shared" si="10"/>
        <v>0.193</v>
      </c>
      <c r="AG156" s="351">
        <f t="shared" si="10"/>
        <v>0</v>
      </c>
      <c r="AH156" s="351">
        <f t="shared" si="10"/>
        <v>0</v>
      </c>
      <c r="AI156" s="351">
        <f t="shared" si="10"/>
        <v>0</v>
      </c>
      <c r="AJ156" s="351">
        <f t="shared" si="10"/>
        <v>0.373</v>
      </c>
      <c r="AK156" s="351">
        <f t="shared" si="10"/>
        <v>0</v>
      </c>
      <c r="AL156" s="351">
        <f t="shared" si="10"/>
        <v>0.34399999999999997</v>
      </c>
      <c r="AM156" s="351">
        <f t="shared" si="10"/>
        <v>0</v>
      </c>
      <c r="AN156" s="351">
        <f t="shared" si="10"/>
        <v>0.26500000000000001</v>
      </c>
      <c r="AO156" s="351">
        <f t="shared" si="10"/>
        <v>0</v>
      </c>
      <c r="AP156" s="348"/>
      <c r="AQ156" s="348"/>
    </row>
    <row r="157" spans="1:43" x14ac:dyDescent="0.2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25">
      <c r="E158" s="96" t="s">
        <v>775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700</v>
      </c>
    </row>
    <row r="159" spans="1:43" x14ac:dyDescent="0.25">
      <c r="E159" s="86"/>
      <c r="F159" s="91" t="s">
        <v>134</v>
      </c>
      <c r="G159" s="91" t="s">
        <v>183</v>
      </c>
      <c r="H159" s="357"/>
      <c r="I159" s="346"/>
      <c r="J159" s="347">
        <f>ROUND(J130, $H95)</f>
        <v>6.6820000000000004</v>
      </c>
      <c r="K159" s="347">
        <f t="shared" ref="K159:AO165" si="11">ROUND(K130, $H95)</f>
        <v>6.6820000000000004</v>
      </c>
      <c r="L159" s="347">
        <f t="shared" si="11"/>
        <v>8.1489999999999991</v>
      </c>
      <c r="M159" s="347">
        <f t="shared" si="11"/>
        <v>8.1489999999999991</v>
      </c>
      <c r="N159" s="347">
        <f t="shared" si="11"/>
        <v>8.1489999999999991</v>
      </c>
      <c r="O159" s="347">
        <f t="shared" si="11"/>
        <v>8.1489999999999991</v>
      </c>
      <c r="P159" s="347">
        <f t="shared" si="11"/>
        <v>8.1489999999999991</v>
      </c>
      <c r="Q159" s="347">
        <f t="shared" si="11"/>
        <v>8.1489999999999991</v>
      </c>
      <c r="R159" s="347">
        <f t="shared" si="11"/>
        <v>5.383</v>
      </c>
      <c r="S159" s="347">
        <f t="shared" si="11"/>
        <v>5.383</v>
      </c>
      <c r="T159" s="347">
        <f t="shared" si="11"/>
        <v>5.383</v>
      </c>
      <c r="U159" s="347">
        <f t="shared" si="11"/>
        <v>5.383</v>
      </c>
      <c r="V159" s="347">
        <f t="shared" si="11"/>
        <v>5.383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347">
        <f t="shared" si="11"/>
        <v>12.346</v>
      </c>
      <c r="AH159" s="347">
        <f t="shared" si="11"/>
        <v>-8.0839999999999996</v>
      </c>
      <c r="AI159" s="358">
        <f t="shared" si="11"/>
        <v>0</v>
      </c>
      <c r="AJ159" s="347">
        <f t="shared" si="11"/>
        <v>-8.0839999999999996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8"/>
      <c r="AQ159" s="348"/>
    </row>
    <row r="160" spans="1:43" x14ac:dyDescent="0.25">
      <c r="E160" s="86"/>
      <c r="F160" s="293" t="s">
        <v>135</v>
      </c>
      <c r="G160" s="293" t="s">
        <v>183</v>
      </c>
      <c r="H160" s="415"/>
      <c r="I160" s="348"/>
      <c r="J160" s="349">
        <f t="shared" ref="J160:J165" si="12">ROUND(J131, $H96)</f>
        <v>1.202</v>
      </c>
      <c r="K160" s="349">
        <f t="shared" si="11"/>
        <v>1.202</v>
      </c>
      <c r="L160" s="349">
        <f t="shared" si="11"/>
        <v>1.466</v>
      </c>
      <c r="M160" s="349">
        <f t="shared" si="11"/>
        <v>1.466</v>
      </c>
      <c r="N160" s="349">
        <f t="shared" si="11"/>
        <v>1.466</v>
      </c>
      <c r="O160" s="349">
        <f t="shared" si="11"/>
        <v>1.466</v>
      </c>
      <c r="P160" s="349">
        <f t="shared" si="11"/>
        <v>1.466</v>
      </c>
      <c r="Q160" s="349">
        <f t="shared" si="11"/>
        <v>1.466</v>
      </c>
      <c r="R160" s="349">
        <f t="shared" si="11"/>
        <v>0.89500000000000002</v>
      </c>
      <c r="S160" s="349">
        <f t="shared" si="11"/>
        <v>0.89500000000000002</v>
      </c>
      <c r="T160" s="349">
        <f t="shared" si="11"/>
        <v>0.89500000000000002</v>
      </c>
      <c r="U160" s="349">
        <f t="shared" si="11"/>
        <v>0.89500000000000002</v>
      </c>
      <c r="V160" s="349">
        <f t="shared" si="11"/>
        <v>0.89500000000000002</v>
      </c>
      <c r="W160" s="417">
        <f t="shared" si="11"/>
        <v>0</v>
      </c>
      <c r="X160" s="417">
        <f t="shared" si="11"/>
        <v>0</v>
      </c>
      <c r="Y160" s="417">
        <f t="shared" si="11"/>
        <v>0</v>
      </c>
      <c r="Z160" s="417">
        <f t="shared" si="11"/>
        <v>0</v>
      </c>
      <c r="AA160" s="417">
        <f t="shared" si="11"/>
        <v>0</v>
      </c>
      <c r="AB160" s="417">
        <f t="shared" si="11"/>
        <v>0</v>
      </c>
      <c r="AC160" s="417">
        <f t="shared" si="11"/>
        <v>0</v>
      </c>
      <c r="AD160" s="417">
        <f t="shared" si="11"/>
        <v>0</v>
      </c>
      <c r="AE160" s="417">
        <f t="shared" si="11"/>
        <v>0</v>
      </c>
      <c r="AF160" s="417">
        <f t="shared" si="11"/>
        <v>0</v>
      </c>
      <c r="AG160" s="349">
        <f t="shared" si="11"/>
        <v>2.5289999999999999</v>
      </c>
      <c r="AH160" s="349">
        <f t="shared" si="11"/>
        <v>-1.454</v>
      </c>
      <c r="AI160" s="417">
        <f t="shared" si="11"/>
        <v>0</v>
      </c>
      <c r="AJ160" s="349">
        <f t="shared" si="11"/>
        <v>-1.454</v>
      </c>
      <c r="AK160" s="417">
        <f t="shared" si="11"/>
        <v>0</v>
      </c>
      <c r="AL160" s="417">
        <f t="shared" si="11"/>
        <v>0</v>
      </c>
      <c r="AM160" s="417">
        <f t="shared" si="11"/>
        <v>0</v>
      </c>
      <c r="AN160" s="417">
        <f t="shared" si="11"/>
        <v>0</v>
      </c>
      <c r="AO160" s="417">
        <f t="shared" si="11"/>
        <v>0</v>
      </c>
      <c r="AP160" s="348"/>
      <c r="AQ160" s="348"/>
    </row>
    <row r="161" spans="2:43" x14ac:dyDescent="0.25">
      <c r="E161" s="86"/>
      <c r="F161" s="293" t="s">
        <v>136</v>
      </c>
      <c r="G161" s="293" t="s">
        <v>183</v>
      </c>
      <c r="H161" s="415"/>
      <c r="I161" s="348"/>
      <c r="J161" s="349">
        <f t="shared" si="12"/>
        <v>0.13300000000000001</v>
      </c>
      <c r="K161" s="349">
        <f t="shared" si="11"/>
        <v>0.13300000000000001</v>
      </c>
      <c r="L161" s="349">
        <f t="shared" si="11"/>
        <v>0.16200000000000001</v>
      </c>
      <c r="M161" s="349">
        <f t="shared" si="11"/>
        <v>0.16200000000000001</v>
      </c>
      <c r="N161" s="349">
        <f t="shared" si="11"/>
        <v>0.16200000000000001</v>
      </c>
      <c r="O161" s="349">
        <f t="shared" si="11"/>
        <v>0.16200000000000001</v>
      </c>
      <c r="P161" s="349">
        <f t="shared" si="11"/>
        <v>0.16200000000000001</v>
      </c>
      <c r="Q161" s="349">
        <f t="shared" si="11"/>
        <v>0.16200000000000001</v>
      </c>
      <c r="R161" s="349">
        <f t="shared" si="11"/>
        <v>0.10299999999999999</v>
      </c>
      <c r="S161" s="349">
        <f t="shared" si="11"/>
        <v>0.10299999999999999</v>
      </c>
      <c r="T161" s="349">
        <f t="shared" si="11"/>
        <v>0.10299999999999999</v>
      </c>
      <c r="U161" s="349">
        <f t="shared" si="11"/>
        <v>0.10299999999999999</v>
      </c>
      <c r="V161" s="349">
        <f t="shared" si="11"/>
        <v>0.10299999999999999</v>
      </c>
      <c r="W161" s="417">
        <f t="shared" si="11"/>
        <v>0</v>
      </c>
      <c r="X161" s="417">
        <f t="shared" si="11"/>
        <v>0</v>
      </c>
      <c r="Y161" s="417">
        <f t="shared" si="11"/>
        <v>0</v>
      </c>
      <c r="Z161" s="417">
        <f t="shared" si="11"/>
        <v>0</v>
      </c>
      <c r="AA161" s="417">
        <f t="shared" si="11"/>
        <v>0</v>
      </c>
      <c r="AB161" s="417">
        <f t="shared" si="11"/>
        <v>0</v>
      </c>
      <c r="AC161" s="417">
        <f t="shared" si="11"/>
        <v>0</v>
      </c>
      <c r="AD161" s="417">
        <f t="shared" si="11"/>
        <v>0</v>
      </c>
      <c r="AE161" s="417">
        <f t="shared" si="11"/>
        <v>0</v>
      </c>
      <c r="AF161" s="417">
        <f t="shared" si="11"/>
        <v>0</v>
      </c>
      <c r="AG161" s="349">
        <f t="shared" si="11"/>
        <v>1.08</v>
      </c>
      <c r="AH161" s="349">
        <f t="shared" si="11"/>
        <v>-0.161</v>
      </c>
      <c r="AI161" s="417">
        <f t="shared" si="11"/>
        <v>0</v>
      </c>
      <c r="AJ161" s="349">
        <f t="shared" si="11"/>
        <v>-0.161</v>
      </c>
      <c r="AK161" s="417">
        <f t="shared" si="11"/>
        <v>0</v>
      </c>
      <c r="AL161" s="417">
        <f t="shared" si="11"/>
        <v>0</v>
      </c>
      <c r="AM161" s="417">
        <f t="shared" si="11"/>
        <v>0</v>
      </c>
      <c r="AN161" s="417">
        <f t="shared" si="11"/>
        <v>0</v>
      </c>
      <c r="AO161" s="417">
        <f t="shared" si="11"/>
        <v>0</v>
      </c>
      <c r="AP161" s="348"/>
      <c r="AQ161" s="348"/>
    </row>
    <row r="162" spans="2:43" x14ac:dyDescent="0.25">
      <c r="E162" s="86"/>
      <c r="F162" s="293" t="s">
        <v>254</v>
      </c>
      <c r="G162" s="293" t="s">
        <v>252</v>
      </c>
      <c r="H162" s="379"/>
      <c r="J162" s="256">
        <f t="shared" si="12"/>
        <v>9.76</v>
      </c>
      <c r="K162" s="256">
        <f t="shared" si="11"/>
        <v>0</v>
      </c>
      <c r="L162" s="256">
        <f t="shared" si="11"/>
        <v>3.3</v>
      </c>
      <c r="M162" s="256">
        <f t="shared" si="11"/>
        <v>5.83</v>
      </c>
      <c r="N162" s="256">
        <f t="shared" si="11"/>
        <v>16.97</v>
      </c>
      <c r="O162" s="256">
        <f t="shared" si="11"/>
        <v>37.159999999999997</v>
      </c>
      <c r="P162" s="256">
        <f t="shared" si="11"/>
        <v>112.51</v>
      </c>
      <c r="Q162" s="256">
        <f t="shared" si="11"/>
        <v>0</v>
      </c>
      <c r="R162" s="256">
        <f t="shared" si="11"/>
        <v>12.95</v>
      </c>
      <c r="S162" s="256">
        <f t="shared" si="11"/>
        <v>177.91</v>
      </c>
      <c r="T162" s="256">
        <f t="shared" si="11"/>
        <v>392.4</v>
      </c>
      <c r="U162" s="256">
        <f t="shared" si="11"/>
        <v>652.12</v>
      </c>
      <c r="V162" s="256">
        <f t="shared" si="11"/>
        <v>1405.57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>
        <f t="shared" si="11"/>
        <v>0</v>
      </c>
      <c r="AH162" s="256">
        <f t="shared" si="11"/>
        <v>0</v>
      </c>
      <c r="AI162" s="279">
        <f t="shared" si="11"/>
        <v>0</v>
      </c>
      <c r="AJ162" s="256">
        <f t="shared" si="11"/>
        <v>0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25">
      <c r="E163" s="86"/>
      <c r="F163" s="293" t="s">
        <v>255</v>
      </c>
      <c r="G163" s="293" t="s">
        <v>251</v>
      </c>
      <c r="H163" s="379"/>
      <c r="J163" s="256">
        <f t="shared" si="12"/>
        <v>0</v>
      </c>
      <c r="K163" s="256">
        <f t="shared" si="11"/>
        <v>0</v>
      </c>
      <c r="L163" s="256">
        <f t="shared" si="11"/>
        <v>0</v>
      </c>
      <c r="M163" s="256">
        <f t="shared" si="11"/>
        <v>0</v>
      </c>
      <c r="N163" s="256">
        <f t="shared" si="11"/>
        <v>0</v>
      </c>
      <c r="O163" s="256">
        <f t="shared" si="11"/>
        <v>0</v>
      </c>
      <c r="P163" s="256">
        <f t="shared" si="11"/>
        <v>0</v>
      </c>
      <c r="Q163" s="256">
        <f t="shared" si="11"/>
        <v>0</v>
      </c>
      <c r="R163" s="256">
        <f t="shared" si="11"/>
        <v>1.81</v>
      </c>
      <c r="S163" s="256">
        <f t="shared" si="11"/>
        <v>1.81</v>
      </c>
      <c r="T163" s="256">
        <f t="shared" si="11"/>
        <v>1.81</v>
      </c>
      <c r="U163" s="256">
        <f t="shared" si="11"/>
        <v>1.81</v>
      </c>
      <c r="V163" s="256">
        <f t="shared" si="11"/>
        <v>1.81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>
        <f t="shared" si="11"/>
        <v>0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25">
      <c r="E164" s="86"/>
      <c r="F164" s="293" t="s">
        <v>256</v>
      </c>
      <c r="G164" s="293" t="s">
        <v>251</v>
      </c>
      <c r="H164" s="379"/>
      <c r="J164" s="256">
        <f t="shared" si="12"/>
        <v>0</v>
      </c>
      <c r="K164" s="256">
        <f t="shared" si="11"/>
        <v>0</v>
      </c>
      <c r="L164" s="256">
        <f t="shared" si="11"/>
        <v>0</v>
      </c>
      <c r="M164" s="256">
        <f t="shared" si="11"/>
        <v>0</v>
      </c>
      <c r="N164" s="256">
        <f t="shared" si="11"/>
        <v>0</v>
      </c>
      <c r="O164" s="256">
        <f t="shared" si="11"/>
        <v>0</v>
      </c>
      <c r="P164" s="256">
        <f t="shared" si="11"/>
        <v>0</v>
      </c>
      <c r="Q164" s="256">
        <f t="shared" si="11"/>
        <v>0</v>
      </c>
      <c r="R164" s="256">
        <f t="shared" si="11"/>
        <v>3.09</v>
      </c>
      <c r="S164" s="256">
        <f t="shared" si="11"/>
        <v>3.09</v>
      </c>
      <c r="T164" s="256">
        <f t="shared" si="11"/>
        <v>3.09</v>
      </c>
      <c r="U164" s="256">
        <f t="shared" si="11"/>
        <v>3.09</v>
      </c>
      <c r="V164" s="256">
        <f t="shared" si="11"/>
        <v>3.09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>
        <f t="shared" si="11"/>
        <v>0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25">
      <c r="E165" s="86"/>
      <c r="F165" s="93" t="s">
        <v>257</v>
      </c>
      <c r="G165" s="93" t="s">
        <v>258</v>
      </c>
      <c r="H165" s="360"/>
      <c r="I165" s="350"/>
      <c r="J165" s="351">
        <f t="shared" si="12"/>
        <v>0</v>
      </c>
      <c r="K165" s="351">
        <f t="shared" si="11"/>
        <v>0</v>
      </c>
      <c r="L165" s="351">
        <f t="shared" si="11"/>
        <v>0</v>
      </c>
      <c r="M165" s="351">
        <f t="shared" si="11"/>
        <v>0</v>
      </c>
      <c r="N165" s="351">
        <f t="shared" si="11"/>
        <v>0</v>
      </c>
      <c r="O165" s="351">
        <f t="shared" si="11"/>
        <v>0</v>
      </c>
      <c r="P165" s="351">
        <f t="shared" si="11"/>
        <v>0</v>
      </c>
      <c r="Q165" s="351">
        <f t="shared" si="11"/>
        <v>0</v>
      </c>
      <c r="R165" s="351">
        <f t="shared" si="11"/>
        <v>0.27</v>
      </c>
      <c r="S165" s="351">
        <f t="shared" si="11"/>
        <v>0.27</v>
      </c>
      <c r="T165" s="351">
        <f t="shared" si="11"/>
        <v>0.27</v>
      </c>
      <c r="U165" s="351">
        <f t="shared" si="11"/>
        <v>0.27</v>
      </c>
      <c r="V165" s="351">
        <f t="shared" si="11"/>
        <v>0.27</v>
      </c>
      <c r="W165" s="355">
        <f t="shared" si="11"/>
        <v>0</v>
      </c>
      <c r="X165" s="355">
        <f t="shared" si="11"/>
        <v>0</v>
      </c>
      <c r="Y165" s="355">
        <f t="shared" si="11"/>
        <v>0</v>
      </c>
      <c r="Z165" s="355">
        <f t="shared" si="11"/>
        <v>0</v>
      </c>
      <c r="AA165" s="355">
        <f t="shared" si="11"/>
        <v>0</v>
      </c>
      <c r="AB165" s="355">
        <f t="shared" si="11"/>
        <v>0</v>
      </c>
      <c r="AC165" s="355">
        <f t="shared" si="11"/>
        <v>0</v>
      </c>
      <c r="AD165" s="355">
        <f t="shared" si="11"/>
        <v>0</v>
      </c>
      <c r="AE165" s="355">
        <f t="shared" si="11"/>
        <v>0</v>
      </c>
      <c r="AF165" s="355">
        <f t="shared" si="11"/>
        <v>0</v>
      </c>
      <c r="AG165" s="351">
        <f t="shared" si="11"/>
        <v>0</v>
      </c>
      <c r="AH165" s="351">
        <f t="shared" si="11"/>
        <v>0</v>
      </c>
      <c r="AI165" s="355">
        <f t="shared" si="11"/>
        <v>0</v>
      </c>
      <c r="AJ165" s="351">
        <f t="shared" si="11"/>
        <v>0.373</v>
      </c>
      <c r="AK165" s="355">
        <f t="shared" si="11"/>
        <v>0</v>
      </c>
      <c r="AL165" s="355">
        <f t="shared" si="11"/>
        <v>0</v>
      </c>
      <c r="AM165" s="355">
        <f t="shared" si="11"/>
        <v>0</v>
      </c>
      <c r="AN165" s="355">
        <f t="shared" si="11"/>
        <v>0</v>
      </c>
      <c r="AO165" s="355">
        <f t="shared" si="11"/>
        <v>0</v>
      </c>
      <c r="AP165" s="348"/>
      <c r="AQ165" s="348"/>
    </row>
    <row r="166" spans="2:43" x14ac:dyDescent="0.2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25">
      <c r="E167" s="96" t="s">
        <v>776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700</v>
      </c>
    </row>
    <row r="168" spans="2:43" x14ac:dyDescent="0.25">
      <c r="C168" s="86"/>
      <c r="F168" s="91" t="s">
        <v>134</v>
      </c>
      <c r="G168" s="91" t="s">
        <v>183</v>
      </c>
      <c r="H168" s="357"/>
      <c r="I168" s="346"/>
      <c r="J168" s="347">
        <f t="shared" ref="J168:AO174" si="13">ROUND( J139, $H95)</f>
        <v>4.8579999999999997</v>
      </c>
      <c r="K168" s="347">
        <f t="shared" si="13"/>
        <v>4.8579999999999997</v>
      </c>
      <c r="L168" s="347">
        <f t="shared" si="13"/>
        <v>5.9249999999999998</v>
      </c>
      <c r="M168" s="347">
        <f t="shared" si="13"/>
        <v>5.9249999999999998</v>
      </c>
      <c r="N168" s="347">
        <f t="shared" si="13"/>
        <v>5.9249999999999998</v>
      </c>
      <c r="O168" s="347">
        <f t="shared" si="13"/>
        <v>5.9249999999999998</v>
      </c>
      <c r="P168" s="347">
        <f t="shared" si="13"/>
        <v>5.9249999999999998</v>
      </c>
      <c r="Q168" s="347">
        <f t="shared" si="13"/>
        <v>5.9249999999999998</v>
      </c>
      <c r="R168" s="347">
        <f t="shared" si="13"/>
        <v>3.9140000000000001</v>
      </c>
      <c r="S168" s="347">
        <f t="shared" si="13"/>
        <v>3.9140000000000001</v>
      </c>
      <c r="T168" s="347">
        <f t="shared" si="13"/>
        <v>3.9140000000000001</v>
      </c>
      <c r="U168" s="347">
        <f t="shared" si="13"/>
        <v>3.9140000000000001</v>
      </c>
      <c r="V168" s="347">
        <f t="shared" si="13"/>
        <v>3.9140000000000001</v>
      </c>
      <c r="W168" s="347">
        <f t="shared" si="13"/>
        <v>5.0629999999999997</v>
      </c>
      <c r="X168" s="347">
        <f t="shared" si="13"/>
        <v>5.0629999999999997</v>
      </c>
      <c r="Y168" s="347">
        <f t="shared" si="13"/>
        <v>5.0629999999999997</v>
      </c>
      <c r="Z168" s="347">
        <f t="shared" si="13"/>
        <v>5.0629999999999997</v>
      </c>
      <c r="AA168" s="347">
        <f t="shared" si="13"/>
        <v>5.0629999999999997</v>
      </c>
      <c r="AB168" s="347">
        <f t="shared" si="13"/>
        <v>4.3019999999999996</v>
      </c>
      <c r="AC168" s="347">
        <f t="shared" si="13"/>
        <v>4.3019999999999996</v>
      </c>
      <c r="AD168" s="347">
        <f t="shared" si="13"/>
        <v>4.3019999999999996</v>
      </c>
      <c r="AE168" s="347">
        <f t="shared" si="13"/>
        <v>4.3019999999999996</v>
      </c>
      <c r="AF168" s="347">
        <f t="shared" si="13"/>
        <v>4.3019999999999996</v>
      </c>
      <c r="AG168" s="347">
        <f t="shared" si="13"/>
        <v>8.9770000000000003</v>
      </c>
      <c r="AH168" s="347">
        <f t="shared" si="13"/>
        <v>-8.0839999999999996</v>
      </c>
      <c r="AI168" s="347">
        <f t="shared" si="13"/>
        <v>-7.3090000000000002</v>
      </c>
      <c r="AJ168" s="347">
        <f t="shared" si="13"/>
        <v>-8.0839999999999996</v>
      </c>
      <c r="AK168" s="358">
        <f t="shared" si="13"/>
        <v>0</v>
      </c>
      <c r="AL168" s="347">
        <f t="shared" si="13"/>
        <v>-7.3090000000000002</v>
      </c>
      <c r="AM168" s="358">
        <f t="shared" si="13"/>
        <v>0</v>
      </c>
      <c r="AN168" s="347">
        <f t="shared" si="13"/>
        <v>-5.3920000000000003</v>
      </c>
      <c r="AO168" s="358">
        <f t="shared" si="13"/>
        <v>0</v>
      </c>
      <c r="AP168" s="348"/>
      <c r="AQ168" s="348"/>
    </row>
    <row r="169" spans="2:43" x14ac:dyDescent="0.25">
      <c r="C169" s="86"/>
      <c r="F169" s="293" t="s">
        <v>135</v>
      </c>
      <c r="G169" s="293" t="s">
        <v>183</v>
      </c>
      <c r="H169" s="415"/>
      <c r="I169" s="348"/>
      <c r="J169" s="349">
        <f t="shared" si="13"/>
        <v>0.874</v>
      </c>
      <c r="K169" s="349">
        <f t="shared" si="13"/>
        <v>0.874</v>
      </c>
      <c r="L169" s="349">
        <f t="shared" si="13"/>
        <v>1.0660000000000001</v>
      </c>
      <c r="M169" s="349">
        <f t="shared" si="13"/>
        <v>1.0660000000000001</v>
      </c>
      <c r="N169" s="349">
        <f t="shared" si="13"/>
        <v>1.0660000000000001</v>
      </c>
      <c r="O169" s="349">
        <f t="shared" si="13"/>
        <v>1.0660000000000001</v>
      </c>
      <c r="P169" s="349">
        <f t="shared" si="13"/>
        <v>1.0660000000000001</v>
      </c>
      <c r="Q169" s="349">
        <f t="shared" si="13"/>
        <v>1.0660000000000001</v>
      </c>
      <c r="R169" s="349">
        <f t="shared" si="13"/>
        <v>0.65100000000000002</v>
      </c>
      <c r="S169" s="349">
        <f t="shared" si="13"/>
        <v>0.65100000000000002</v>
      </c>
      <c r="T169" s="349">
        <f t="shared" si="13"/>
        <v>0.65100000000000002</v>
      </c>
      <c r="U169" s="349">
        <f t="shared" si="13"/>
        <v>0.65100000000000002</v>
      </c>
      <c r="V169" s="349">
        <f t="shared" si="13"/>
        <v>0.65100000000000002</v>
      </c>
      <c r="W169" s="349">
        <f t="shared" si="13"/>
        <v>0.68899999999999995</v>
      </c>
      <c r="X169" s="349">
        <f t="shared" si="13"/>
        <v>0.68899999999999995</v>
      </c>
      <c r="Y169" s="349">
        <f t="shared" si="13"/>
        <v>0.68899999999999995</v>
      </c>
      <c r="Z169" s="349">
        <f t="shared" si="13"/>
        <v>0.68899999999999995</v>
      </c>
      <c r="AA169" s="349">
        <f t="shared" si="13"/>
        <v>0.68899999999999995</v>
      </c>
      <c r="AB169" s="349">
        <f t="shared" si="13"/>
        <v>0.51400000000000001</v>
      </c>
      <c r="AC169" s="349">
        <f t="shared" si="13"/>
        <v>0.51400000000000001</v>
      </c>
      <c r="AD169" s="349">
        <f t="shared" si="13"/>
        <v>0.51400000000000001</v>
      </c>
      <c r="AE169" s="349">
        <f t="shared" si="13"/>
        <v>0.51400000000000001</v>
      </c>
      <c r="AF169" s="349">
        <f t="shared" si="13"/>
        <v>0.51400000000000001</v>
      </c>
      <c r="AG169" s="349">
        <f t="shared" si="13"/>
        <v>1.839</v>
      </c>
      <c r="AH169" s="349">
        <f t="shared" si="13"/>
        <v>-1.454</v>
      </c>
      <c r="AI169" s="349">
        <f t="shared" si="13"/>
        <v>-1.2589999999999999</v>
      </c>
      <c r="AJ169" s="349">
        <f t="shared" si="13"/>
        <v>-1.454</v>
      </c>
      <c r="AK169" s="417">
        <f t="shared" si="13"/>
        <v>0</v>
      </c>
      <c r="AL169" s="349">
        <f t="shared" si="13"/>
        <v>-1.2589999999999999</v>
      </c>
      <c r="AM169" s="417">
        <f t="shared" si="13"/>
        <v>0</v>
      </c>
      <c r="AN169" s="349">
        <f t="shared" si="13"/>
        <v>-0.70799999999999996</v>
      </c>
      <c r="AO169" s="417">
        <f t="shared" si="13"/>
        <v>0</v>
      </c>
      <c r="AP169" s="348"/>
      <c r="AQ169" s="348"/>
    </row>
    <row r="170" spans="2:43" x14ac:dyDescent="0.25">
      <c r="C170" s="86"/>
      <c r="F170" s="293" t="s">
        <v>136</v>
      </c>
      <c r="G170" s="293" t="s">
        <v>183</v>
      </c>
      <c r="H170" s="415"/>
      <c r="I170" s="348"/>
      <c r="J170" s="349">
        <f t="shared" si="13"/>
        <v>9.7000000000000003E-2</v>
      </c>
      <c r="K170" s="349">
        <f t="shared" si="13"/>
        <v>9.7000000000000003E-2</v>
      </c>
      <c r="L170" s="349">
        <f t="shared" si="13"/>
        <v>0.11799999999999999</v>
      </c>
      <c r="M170" s="349">
        <f t="shared" si="13"/>
        <v>0.11799999999999999</v>
      </c>
      <c r="N170" s="349">
        <f t="shared" si="13"/>
        <v>0.11799999999999999</v>
      </c>
      <c r="O170" s="349">
        <f t="shared" si="13"/>
        <v>0.11799999999999999</v>
      </c>
      <c r="P170" s="349">
        <f t="shared" si="13"/>
        <v>0.11799999999999999</v>
      </c>
      <c r="Q170" s="349">
        <f t="shared" si="13"/>
        <v>0.11799999999999999</v>
      </c>
      <c r="R170" s="349">
        <f t="shared" si="13"/>
        <v>7.4999999999999997E-2</v>
      </c>
      <c r="S170" s="349">
        <f t="shared" si="13"/>
        <v>7.4999999999999997E-2</v>
      </c>
      <c r="T170" s="349">
        <f t="shared" si="13"/>
        <v>7.4999999999999997E-2</v>
      </c>
      <c r="U170" s="349">
        <f t="shared" si="13"/>
        <v>7.4999999999999997E-2</v>
      </c>
      <c r="V170" s="349">
        <f t="shared" si="13"/>
        <v>7.4999999999999997E-2</v>
      </c>
      <c r="W170" s="349">
        <f t="shared" si="13"/>
        <v>8.7999999999999995E-2</v>
      </c>
      <c r="X170" s="349">
        <f t="shared" si="13"/>
        <v>8.7999999999999995E-2</v>
      </c>
      <c r="Y170" s="349">
        <f t="shared" si="13"/>
        <v>8.7999999999999995E-2</v>
      </c>
      <c r="Z170" s="349">
        <f t="shared" si="13"/>
        <v>8.7999999999999995E-2</v>
      </c>
      <c r="AA170" s="349">
        <f t="shared" si="13"/>
        <v>8.7999999999999995E-2</v>
      </c>
      <c r="AB170" s="349">
        <f t="shared" si="13"/>
        <v>6.6000000000000003E-2</v>
      </c>
      <c r="AC170" s="349">
        <f t="shared" si="13"/>
        <v>6.6000000000000003E-2</v>
      </c>
      <c r="AD170" s="349">
        <f t="shared" si="13"/>
        <v>6.6000000000000003E-2</v>
      </c>
      <c r="AE170" s="349">
        <f t="shared" si="13"/>
        <v>6.6000000000000003E-2</v>
      </c>
      <c r="AF170" s="349">
        <f t="shared" si="13"/>
        <v>6.6000000000000003E-2</v>
      </c>
      <c r="AG170" s="349">
        <f t="shared" si="13"/>
        <v>0.78600000000000003</v>
      </c>
      <c r="AH170" s="349">
        <f t="shared" si="13"/>
        <v>-0.161</v>
      </c>
      <c r="AI170" s="349">
        <f t="shared" si="13"/>
        <v>-0.14199999999999999</v>
      </c>
      <c r="AJ170" s="349">
        <f t="shared" si="13"/>
        <v>-0.161</v>
      </c>
      <c r="AK170" s="417">
        <f t="shared" si="13"/>
        <v>0</v>
      </c>
      <c r="AL170" s="349">
        <f t="shared" si="13"/>
        <v>-0.14199999999999999</v>
      </c>
      <c r="AM170" s="417">
        <f t="shared" si="13"/>
        <v>0</v>
      </c>
      <c r="AN170" s="349">
        <f t="shared" si="13"/>
        <v>-0.09</v>
      </c>
      <c r="AO170" s="417">
        <f t="shared" si="13"/>
        <v>0</v>
      </c>
      <c r="AP170" s="348"/>
      <c r="AQ170" s="348"/>
    </row>
    <row r="171" spans="2:43" x14ac:dyDescent="0.25">
      <c r="C171" s="86"/>
      <c r="F171" s="293" t="s">
        <v>254</v>
      </c>
      <c r="G171" s="293" t="s">
        <v>252</v>
      </c>
      <c r="H171" s="379"/>
      <c r="J171" s="256">
        <f t="shared" si="13"/>
        <v>7.14</v>
      </c>
      <c r="K171" s="256">
        <f t="shared" si="13"/>
        <v>0</v>
      </c>
      <c r="L171" s="256">
        <f t="shared" si="13"/>
        <v>2.42</v>
      </c>
      <c r="M171" s="256">
        <f t="shared" si="13"/>
        <v>4.26</v>
      </c>
      <c r="N171" s="256">
        <f t="shared" si="13"/>
        <v>12.35</v>
      </c>
      <c r="O171" s="256">
        <f t="shared" si="13"/>
        <v>27.04</v>
      </c>
      <c r="P171" s="256">
        <f t="shared" si="13"/>
        <v>81.819999999999993</v>
      </c>
      <c r="Q171" s="256">
        <f t="shared" si="13"/>
        <v>0</v>
      </c>
      <c r="R171" s="256">
        <f t="shared" si="13"/>
        <v>9.44</v>
      </c>
      <c r="S171" s="256">
        <f t="shared" si="13"/>
        <v>129.37</v>
      </c>
      <c r="T171" s="256">
        <f t="shared" si="13"/>
        <v>285.33</v>
      </c>
      <c r="U171" s="256">
        <f t="shared" si="13"/>
        <v>474.16</v>
      </c>
      <c r="V171" s="256">
        <f t="shared" si="13"/>
        <v>1021.97</v>
      </c>
      <c r="W171" s="256">
        <f t="shared" si="13"/>
        <v>5.41</v>
      </c>
      <c r="X171" s="256">
        <f t="shared" si="13"/>
        <v>199.18</v>
      </c>
      <c r="Y171" s="256">
        <f t="shared" si="13"/>
        <v>451.14</v>
      </c>
      <c r="Z171" s="256">
        <f t="shared" si="13"/>
        <v>756.23</v>
      </c>
      <c r="AA171" s="256">
        <f t="shared" si="13"/>
        <v>1641.29</v>
      </c>
      <c r="AB171" s="256">
        <f t="shared" si="13"/>
        <v>91.46</v>
      </c>
      <c r="AC171" s="256">
        <f t="shared" si="13"/>
        <v>1342.52</v>
      </c>
      <c r="AD171" s="256">
        <f t="shared" si="13"/>
        <v>4745.1000000000004</v>
      </c>
      <c r="AE171" s="256">
        <f t="shared" si="13"/>
        <v>9516.6</v>
      </c>
      <c r="AF171" s="256">
        <f t="shared" si="13"/>
        <v>17801.98</v>
      </c>
      <c r="AG171" s="256">
        <f t="shared" si="13"/>
        <v>0</v>
      </c>
      <c r="AH171" s="256">
        <f t="shared" si="13"/>
        <v>0</v>
      </c>
      <c r="AI171" s="256">
        <f t="shared" si="13"/>
        <v>0</v>
      </c>
      <c r="AJ171" s="256">
        <f t="shared" si="13"/>
        <v>0</v>
      </c>
      <c r="AK171" s="279">
        <f t="shared" si="13"/>
        <v>0</v>
      </c>
      <c r="AL171" s="256">
        <f t="shared" si="13"/>
        <v>0</v>
      </c>
      <c r="AM171" s="279">
        <f t="shared" si="13"/>
        <v>0</v>
      </c>
      <c r="AN171" s="256">
        <f t="shared" si="13"/>
        <v>0</v>
      </c>
      <c r="AO171" s="279">
        <f t="shared" si="13"/>
        <v>0</v>
      </c>
    </row>
    <row r="172" spans="2:43" x14ac:dyDescent="0.25">
      <c r="C172" s="86"/>
      <c r="F172" s="293" t="s">
        <v>255</v>
      </c>
      <c r="G172" s="293" t="s">
        <v>251</v>
      </c>
      <c r="H172" s="379"/>
      <c r="J172" s="256">
        <f t="shared" si="13"/>
        <v>0</v>
      </c>
      <c r="K172" s="256">
        <f t="shared" si="13"/>
        <v>0</v>
      </c>
      <c r="L172" s="256">
        <f t="shared" si="13"/>
        <v>0</v>
      </c>
      <c r="M172" s="256">
        <f t="shared" si="13"/>
        <v>0</v>
      </c>
      <c r="N172" s="256">
        <f t="shared" si="13"/>
        <v>0</v>
      </c>
      <c r="O172" s="256">
        <f t="shared" si="13"/>
        <v>0</v>
      </c>
      <c r="P172" s="256">
        <f t="shared" si="13"/>
        <v>0</v>
      </c>
      <c r="Q172" s="256">
        <f t="shared" si="13"/>
        <v>0</v>
      </c>
      <c r="R172" s="256">
        <f t="shared" si="13"/>
        <v>1.32</v>
      </c>
      <c r="S172" s="256">
        <f t="shared" si="13"/>
        <v>1.32</v>
      </c>
      <c r="T172" s="256">
        <f t="shared" si="13"/>
        <v>1.32</v>
      </c>
      <c r="U172" s="256">
        <f t="shared" si="13"/>
        <v>1.32</v>
      </c>
      <c r="V172" s="256">
        <f t="shared" si="13"/>
        <v>1.32</v>
      </c>
      <c r="W172" s="256">
        <f t="shared" si="13"/>
        <v>4.21</v>
      </c>
      <c r="X172" s="256">
        <f t="shared" si="13"/>
        <v>4.21</v>
      </c>
      <c r="Y172" s="256">
        <f t="shared" si="13"/>
        <v>4.21</v>
      </c>
      <c r="Z172" s="256">
        <f t="shared" si="13"/>
        <v>4.21</v>
      </c>
      <c r="AA172" s="256">
        <f t="shared" si="13"/>
        <v>4.21</v>
      </c>
      <c r="AB172" s="256">
        <f t="shared" si="13"/>
        <v>3.79</v>
      </c>
      <c r="AC172" s="256">
        <f t="shared" si="13"/>
        <v>3.79</v>
      </c>
      <c r="AD172" s="256">
        <f t="shared" si="13"/>
        <v>3.79</v>
      </c>
      <c r="AE172" s="256">
        <f t="shared" si="13"/>
        <v>3.79</v>
      </c>
      <c r="AF172" s="256">
        <f t="shared" si="13"/>
        <v>3.79</v>
      </c>
      <c r="AG172" s="256">
        <f t="shared" si="13"/>
        <v>0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25">
      <c r="C173" s="86"/>
      <c r="F173" s="293" t="s">
        <v>256</v>
      </c>
      <c r="G173" s="293" t="s">
        <v>251</v>
      </c>
      <c r="H173" s="379"/>
      <c r="J173" s="256">
        <f t="shared" si="13"/>
        <v>0</v>
      </c>
      <c r="K173" s="256">
        <f t="shared" si="13"/>
        <v>0</v>
      </c>
      <c r="L173" s="256">
        <f t="shared" si="13"/>
        <v>0</v>
      </c>
      <c r="M173" s="256">
        <f t="shared" si="13"/>
        <v>0</v>
      </c>
      <c r="N173" s="256">
        <f t="shared" si="13"/>
        <v>0</v>
      </c>
      <c r="O173" s="256">
        <f t="shared" si="13"/>
        <v>0</v>
      </c>
      <c r="P173" s="256">
        <f t="shared" si="13"/>
        <v>0</v>
      </c>
      <c r="Q173" s="256">
        <f t="shared" si="13"/>
        <v>0</v>
      </c>
      <c r="R173" s="256">
        <f t="shared" si="13"/>
        <v>2.2400000000000002</v>
      </c>
      <c r="S173" s="256">
        <f t="shared" si="13"/>
        <v>2.2400000000000002</v>
      </c>
      <c r="T173" s="256">
        <f t="shared" si="13"/>
        <v>2.2400000000000002</v>
      </c>
      <c r="U173" s="256">
        <f t="shared" si="13"/>
        <v>2.2400000000000002</v>
      </c>
      <c r="V173" s="256">
        <f t="shared" si="13"/>
        <v>2.2400000000000002</v>
      </c>
      <c r="W173" s="256">
        <f t="shared" si="13"/>
        <v>5.7</v>
      </c>
      <c r="X173" s="256">
        <f t="shared" si="13"/>
        <v>5.7</v>
      </c>
      <c r="Y173" s="256">
        <f t="shared" si="13"/>
        <v>5.7</v>
      </c>
      <c r="Z173" s="256">
        <f t="shared" si="13"/>
        <v>5.7</v>
      </c>
      <c r="AA173" s="256">
        <f t="shared" si="13"/>
        <v>5.7</v>
      </c>
      <c r="AB173" s="256">
        <f t="shared" si="13"/>
        <v>5.99</v>
      </c>
      <c r="AC173" s="256">
        <f t="shared" si="13"/>
        <v>5.99</v>
      </c>
      <c r="AD173" s="256">
        <f t="shared" si="13"/>
        <v>5.99</v>
      </c>
      <c r="AE173" s="256">
        <f t="shared" si="13"/>
        <v>5.99</v>
      </c>
      <c r="AF173" s="256">
        <f t="shared" si="13"/>
        <v>5.99</v>
      </c>
      <c r="AG173" s="256">
        <f t="shared" si="13"/>
        <v>0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25">
      <c r="C174" s="86"/>
      <c r="F174" s="93" t="s">
        <v>257</v>
      </c>
      <c r="G174" s="93" t="s">
        <v>258</v>
      </c>
      <c r="H174" s="360"/>
      <c r="I174" s="350"/>
      <c r="J174" s="351">
        <f t="shared" si="13"/>
        <v>0</v>
      </c>
      <c r="K174" s="351">
        <f t="shared" si="13"/>
        <v>0</v>
      </c>
      <c r="L174" s="351">
        <f t="shared" si="13"/>
        <v>0</v>
      </c>
      <c r="M174" s="351">
        <f t="shared" si="13"/>
        <v>0</v>
      </c>
      <c r="N174" s="351">
        <f t="shared" si="13"/>
        <v>0</v>
      </c>
      <c r="O174" s="351">
        <f t="shared" si="13"/>
        <v>0</v>
      </c>
      <c r="P174" s="351">
        <f t="shared" si="13"/>
        <v>0</v>
      </c>
      <c r="Q174" s="351">
        <f t="shared" si="13"/>
        <v>0</v>
      </c>
      <c r="R174" s="351">
        <f t="shared" si="13"/>
        <v>0.19600000000000001</v>
      </c>
      <c r="S174" s="351">
        <f t="shared" si="13"/>
        <v>0.19600000000000001</v>
      </c>
      <c r="T174" s="351">
        <f t="shared" si="13"/>
        <v>0.19600000000000001</v>
      </c>
      <c r="U174" s="351">
        <f t="shared" si="13"/>
        <v>0.19600000000000001</v>
      </c>
      <c r="V174" s="351">
        <f t="shared" si="13"/>
        <v>0.19600000000000001</v>
      </c>
      <c r="W174" s="351">
        <f t="shared" si="13"/>
        <v>0.21099999999999999</v>
      </c>
      <c r="X174" s="351">
        <f t="shared" si="13"/>
        <v>0.21099999999999999</v>
      </c>
      <c r="Y174" s="351">
        <f t="shared" si="13"/>
        <v>0.21099999999999999</v>
      </c>
      <c r="Z174" s="351">
        <f t="shared" si="13"/>
        <v>0.21099999999999999</v>
      </c>
      <c r="AA174" s="351">
        <f t="shared" si="13"/>
        <v>0.21099999999999999</v>
      </c>
      <c r="AB174" s="351">
        <f t="shared" si="13"/>
        <v>0.159</v>
      </c>
      <c r="AC174" s="351">
        <f t="shared" si="13"/>
        <v>0.159</v>
      </c>
      <c r="AD174" s="351">
        <f t="shared" si="13"/>
        <v>0.159</v>
      </c>
      <c r="AE174" s="351">
        <f t="shared" si="13"/>
        <v>0.159</v>
      </c>
      <c r="AF174" s="351">
        <f t="shared" si="13"/>
        <v>0.159</v>
      </c>
      <c r="AG174" s="351">
        <f t="shared" si="13"/>
        <v>0</v>
      </c>
      <c r="AH174" s="351">
        <f t="shared" si="13"/>
        <v>0</v>
      </c>
      <c r="AI174" s="351">
        <f t="shared" si="13"/>
        <v>0</v>
      </c>
      <c r="AJ174" s="351">
        <f t="shared" si="13"/>
        <v>0.373</v>
      </c>
      <c r="AK174" s="355">
        <f t="shared" si="13"/>
        <v>0</v>
      </c>
      <c r="AL174" s="351">
        <f t="shared" si="13"/>
        <v>0.34399999999999997</v>
      </c>
      <c r="AM174" s="355">
        <f t="shared" si="13"/>
        <v>0</v>
      </c>
      <c r="AN174" s="351">
        <f t="shared" si="13"/>
        <v>0.26500000000000001</v>
      </c>
      <c r="AO174" s="355">
        <f t="shared" si="13"/>
        <v>0</v>
      </c>
      <c r="AP174" s="348"/>
      <c r="AQ174" s="348"/>
    </row>
    <row r="175" spans="2:43" x14ac:dyDescent="0.25">
      <c r="C175" s="86"/>
    </row>
    <row r="176" spans="2:43" x14ac:dyDescent="0.2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25">
      <c r="E178" s="293" t="s">
        <v>416</v>
      </c>
      <c r="G178" s="122" t="s">
        <v>589</v>
      </c>
      <c r="H178" s="310">
        <f t="array" ref="H178">SUM(IF(ISERROR(H20:AO174), 1))</f>
        <v>0</v>
      </c>
    </row>
    <row r="180" spans="2:43" x14ac:dyDescent="0.2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00000000-0004-0000-2100-000000000000}"/>
    <hyperlink ref="AQ94" location="'Aggreg'!B314" display="x1 = 3308. Unit rate 1 p/kWh (total) (in Summary of charges before revenue matching)" xr:uid="{00000000-0004-0000-2100-000001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80" width="0" style="293" hidden="1" customWidth="1"/>
    <col min="81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Net revenue summary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H146 &amp; IF(H146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643</v>
      </c>
    </row>
    <row r="10" spans="1:43" x14ac:dyDescent="0.25">
      <c r="C10" s="14"/>
    </row>
    <row r="11" spans="1:43" x14ac:dyDescent="0.25">
      <c r="B11" s="95" t="s">
        <v>682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25">
      <c r="D12" s="98"/>
      <c r="E12" s="98"/>
    </row>
    <row r="13" spans="1:43" x14ac:dyDescent="0.25">
      <c r="C13" s="7" t="str">
        <f ca="1">INDEX('Version control'!$H$34:$H$60,MATCH($A$1,'Version control'!$F$34:$F$60,0),1)&amp;"-A: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25">
      <c r="D14" s="96"/>
    </row>
    <row r="15" spans="1:43" x14ac:dyDescent="0.25">
      <c r="C15" s="379"/>
      <c r="D15" s="379"/>
      <c r="E15" s="512" t="s">
        <v>1031</v>
      </c>
      <c r="G15" s="512" t="s">
        <v>427</v>
      </c>
      <c r="J15" s="379">
        <f>'Fixed inputs'!J169</f>
        <v>1</v>
      </c>
      <c r="K15" s="379">
        <f>'Fixed inputs'!K169</f>
        <v>2</v>
      </c>
      <c r="L15" s="379">
        <f>'Fixed inputs'!L169</f>
        <v>3</v>
      </c>
      <c r="M15" s="379">
        <f>'Fixed inputs'!M169</f>
        <v>3</v>
      </c>
      <c r="N15" s="379">
        <f>'Fixed inputs'!N169</f>
        <v>3</v>
      </c>
      <c r="O15" s="379">
        <f>'Fixed inputs'!O169</f>
        <v>3</v>
      </c>
      <c r="P15" s="379">
        <f>'Fixed inputs'!P169</f>
        <v>3</v>
      </c>
      <c r="Q15" s="379">
        <f>'Fixed inputs'!Q169</f>
        <v>4</v>
      </c>
      <c r="R15" s="379">
        <f>'Fixed inputs'!R169</f>
        <v>5</v>
      </c>
      <c r="S15" s="379">
        <f>'Fixed inputs'!S169</f>
        <v>5</v>
      </c>
      <c r="T15" s="379">
        <f>'Fixed inputs'!T169</f>
        <v>5</v>
      </c>
      <c r="U15" s="379">
        <f>'Fixed inputs'!U169</f>
        <v>5</v>
      </c>
      <c r="V15" s="379">
        <f>'Fixed inputs'!V169</f>
        <v>5</v>
      </c>
      <c r="W15" s="379">
        <f>'Fixed inputs'!W169</f>
        <v>6</v>
      </c>
      <c r="X15" s="379">
        <f>'Fixed inputs'!X169</f>
        <v>6</v>
      </c>
      <c r="Y15" s="379">
        <f>'Fixed inputs'!Y169</f>
        <v>6</v>
      </c>
      <c r="Z15" s="379">
        <f>'Fixed inputs'!Z169</f>
        <v>6</v>
      </c>
      <c r="AA15" s="379">
        <f>'Fixed inputs'!AA169</f>
        <v>6</v>
      </c>
      <c r="AB15" s="379">
        <f>'Fixed inputs'!AB169</f>
        <v>7</v>
      </c>
      <c r="AC15" s="379">
        <f>'Fixed inputs'!AC169</f>
        <v>7</v>
      </c>
      <c r="AD15" s="379">
        <f>'Fixed inputs'!AD169</f>
        <v>7</v>
      </c>
      <c r="AE15" s="379">
        <f>'Fixed inputs'!AE169</f>
        <v>7</v>
      </c>
      <c r="AF15" s="379">
        <f>'Fixed inputs'!AF169</f>
        <v>7</v>
      </c>
      <c r="AG15" s="379">
        <f>'Fixed inputs'!AG169</f>
        <v>8</v>
      </c>
      <c r="AH15" s="379">
        <f>'Fixed inputs'!AH169</f>
        <v>9</v>
      </c>
      <c r="AI15" s="379">
        <f>'Fixed inputs'!AI169</f>
        <v>10</v>
      </c>
      <c r="AJ15" s="379">
        <f>'Fixed inputs'!AJ169</f>
        <v>11</v>
      </c>
      <c r="AK15" s="379">
        <f>'Fixed inputs'!AK169</f>
        <v>12</v>
      </c>
      <c r="AL15" s="379">
        <f>'Fixed inputs'!AL169</f>
        <v>13</v>
      </c>
      <c r="AM15" s="379">
        <f>'Fixed inputs'!AM169</f>
        <v>14</v>
      </c>
      <c r="AN15" s="379">
        <f>'Fixed inputs'!AN169</f>
        <v>15</v>
      </c>
      <c r="AO15" s="379">
        <f>'Fixed inputs'!AO169</f>
        <v>16</v>
      </c>
    </row>
    <row r="16" spans="1:43" x14ac:dyDescent="0.25">
      <c r="E16" s="14"/>
      <c r="G16" s="14"/>
    </row>
    <row r="17" spans="3:43" x14ac:dyDescent="0.25">
      <c r="C17" s="379"/>
      <c r="D17" s="379"/>
      <c r="E17" s="512" t="s">
        <v>1030</v>
      </c>
      <c r="G17" s="512" t="s">
        <v>427</v>
      </c>
      <c r="J17" s="379">
        <f>'Fixed inputs'!J168</f>
        <v>1</v>
      </c>
      <c r="K17" s="379">
        <f>'Fixed inputs'!K168</f>
        <v>0</v>
      </c>
      <c r="L17" s="379">
        <f>'Fixed inputs'!L168</f>
        <v>0</v>
      </c>
      <c r="M17" s="379">
        <f>'Fixed inputs'!M168</f>
        <v>1</v>
      </c>
      <c r="N17" s="379">
        <f>'Fixed inputs'!N168</f>
        <v>2</v>
      </c>
      <c r="O17" s="379">
        <f>'Fixed inputs'!O168</f>
        <v>3</v>
      </c>
      <c r="P17" s="379">
        <f>'Fixed inputs'!P168</f>
        <v>4</v>
      </c>
      <c r="Q17" s="379">
        <f>'Fixed inputs'!Q168</f>
        <v>0</v>
      </c>
      <c r="R17" s="379">
        <f>'Fixed inputs'!R168</f>
        <v>0</v>
      </c>
      <c r="S17" s="379">
        <f>'Fixed inputs'!S168</f>
        <v>1</v>
      </c>
      <c r="T17" s="379">
        <f>'Fixed inputs'!T168</f>
        <v>2</v>
      </c>
      <c r="U17" s="379">
        <f>'Fixed inputs'!U168</f>
        <v>3</v>
      </c>
      <c r="V17" s="379">
        <f>'Fixed inputs'!V168</f>
        <v>4</v>
      </c>
      <c r="W17" s="379">
        <f>'Fixed inputs'!W168</f>
        <v>0</v>
      </c>
      <c r="X17" s="379">
        <f>'Fixed inputs'!X168</f>
        <v>1</v>
      </c>
      <c r="Y17" s="379">
        <f>'Fixed inputs'!Y168</f>
        <v>2</v>
      </c>
      <c r="Z17" s="379">
        <f>'Fixed inputs'!Z168</f>
        <v>3</v>
      </c>
      <c r="AA17" s="379">
        <f>'Fixed inputs'!AA168</f>
        <v>4</v>
      </c>
      <c r="AB17" s="379">
        <f>'Fixed inputs'!AB168</f>
        <v>0</v>
      </c>
      <c r="AC17" s="379">
        <f>'Fixed inputs'!AC168</f>
        <v>1</v>
      </c>
      <c r="AD17" s="379">
        <f>'Fixed inputs'!AD168</f>
        <v>2</v>
      </c>
      <c r="AE17" s="379">
        <f>'Fixed inputs'!AE168</f>
        <v>3</v>
      </c>
      <c r="AF17" s="379">
        <f>'Fixed inputs'!AF168</f>
        <v>4</v>
      </c>
      <c r="AG17" s="379">
        <f>'Fixed inputs'!AG168</f>
        <v>1</v>
      </c>
      <c r="AH17" s="379">
        <f>'Fixed inputs'!AH168</f>
        <v>0</v>
      </c>
      <c r="AI17" s="379">
        <f>'Fixed inputs'!AI168</f>
        <v>0</v>
      </c>
      <c r="AJ17" s="379">
        <f>'Fixed inputs'!AJ168</f>
        <v>0</v>
      </c>
      <c r="AK17" s="379">
        <f>'Fixed inputs'!AK168</f>
        <v>0</v>
      </c>
      <c r="AL17" s="379">
        <f>'Fixed inputs'!AL168</f>
        <v>0</v>
      </c>
      <c r="AM17" s="379">
        <f>'Fixed inputs'!AM168</f>
        <v>0</v>
      </c>
      <c r="AN17" s="379">
        <f>'Fixed inputs'!AN168</f>
        <v>0</v>
      </c>
      <c r="AO17" s="379">
        <f>'Fixed inputs'!AO168</f>
        <v>0</v>
      </c>
    </row>
    <row r="18" spans="3:43" x14ac:dyDescent="0.25">
      <c r="D18" s="96"/>
    </row>
    <row r="19" spans="3:43" x14ac:dyDescent="0.25">
      <c r="E19" s="96" t="s">
        <v>901</v>
      </c>
      <c r="I19" s="293" t="s">
        <v>359</v>
      </c>
      <c r="AQ19" s="293" t="s">
        <v>692</v>
      </c>
    </row>
    <row r="20" spans="3:43" x14ac:dyDescent="0.25">
      <c r="E20" s="96"/>
      <c r="F20" s="82" t="s">
        <v>1112</v>
      </c>
    </row>
    <row r="21" spans="3:43" x14ac:dyDescent="0.25">
      <c r="E21" s="96"/>
      <c r="F21" s="82" t="s">
        <v>1113</v>
      </c>
    </row>
    <row r="22" spans="3:43" x14ac:dyDescent="0.25">
      <c r="F22" s="40" t="s">
        <v>199</v>
      </c>
      <c r="G22" s="40" t="s">
        <v>120</v>
      </c>
      <c r="H22" s="455">
        <v>0</v>
      </c>
      <c r="I22" s="91"/>
      <c r="J22" s="283">
        <f>INDEX('Volume adjustments'!$J$527:$Y$567,J$17 + 1 + $H22*$H$28, J$15)</f>
        <v>645101.52351777873</v>
      </c>
      <c r="K22" s="283">
        <f>INDEX('Volume adjustments'!$J$527:$Y$567,K$17 + 1 + $H22*$H$28, K$15)</f>
        <v>50.685541167972772</v>
      </c>
      <c r="L22" s="283">
        <f>INDEX('Volume adjustments'!$J$527:$Y$567,L$17 + 1 + $H22*$H$28, L$15)</f>
        <v>0</v>
      </c>
      <c r="M22" s="283">
        <f>INDEX('Volume adjustments'!$J$527:$Y$567,M$17 + 1 + $H22*$H$28, M$15)</f>
        <v>4302.2725458270779</v>
      </c>
      <c r="N22" s="283">
        <f>INDEX('Volume adjustments'!$J$527:$Y$567,N$17 + 1 + $H22*$H$28, N$15)</f>
        <v>18965.918563437568</v>
      </c>
      <c r="O22" s="283">
        <f>INDEX('Volume adjustments'!$J$527:$Y$567,O$17 + 1 + $H22*$H$28, O$15)</f>
        <v>24026.000360174683</v>
      </c>
      <c r="P22" s="283">
        <f>INDEX('Volume adjustments'!$J$527:$Y$567,P$17 + 1 + $H22*$H$28, P$15)</f>
        <v>82076.332418060643</v>
      </c>
      <c r="Q22" s="283">
        <f>INDEX('Volume adjustments'!$J$527:$Y$567,Q$17 + 1 + $H22*$H$28, Q$15)</f>
        <v>6.1226977807298875</v>
      </c>
      <c r="R22" s="283">
        <f>INDEX('Volume adjustments'!$J$527:$Y$567,R$17 + 1 + $H22*$H$28, R$15)</f>
        <v>0</v>
      </c>
      <c r="S22" s="283">
        <f>INDEX('Volume adjustments'!$J$527:$Y$567,S$17 + 1 + $H22*$H$28, S$15)</f>
        <v>23229.56627147234</v>
      </c>
      <c r="T22" s="283">
        <f>INDEX('Volume adjustments'!$J$527:$Y$567,T$17 + 1 + $H22*$H$28, T$15)</f>
        <v>33534.682752874403</v>
      </c>
      <c r="U22" s="283">
        <f>INDEX('Volume adjustments'!$J$527:$Y$567,U$17 + 1 + $H22*$H$28, U$15)</f>
        <v>12892.306864482678</v>
      </c>
      <c r="V22" s="283">
        <f>INDEX('Volume adjustments'!$J$527:$Y$567,V$17 + 1 + $H22*$H$28, V$15)</f>
        <v>17231.444255448405</v>
      </c>
      <c r="W22" s="283">
        <f>INDEX('Volume adjustments'!$J$527:$Y$567,W$17 + 1 + $H22*$H$28, W$15)</f>
        <v>0</v>
      </c>
      <c r="X22" s="283">
        <f>INDEX('Volume adjustments'!$J$527:$Y$567,X$17 + 1 + $H22*$H$28, X$15)</f>
        <v>10012.851732523844</v>
      </c>
      <c r="Y22" s="283">
        <f>INDEX('Volume adjustments'!$J$527:$Y$567,Y$17 + 1 + $H22*$H$28, Y$15)</f>
        <v>17892.045644607373</v>
      </c>
      <c r="Z22" s="283">
        <f>INDEX('Volume adjustments'!$J$527:$Y$567,Z$17 + 1 + $H22*$H$28, Z$15)</f>
        <v>15402.127398549308</v>
      </c>
      <c r="AA22" s="283">
        <f>INDEX('Volume adjustments'!$J$527:$Y$567,AA$17 + 1 + $H22*$H$28, AA$15)</f>
        <v>61930.185239457518</v>
      </c>
      <c r="AB22" s="283">
        <f>INDEX('Volume adjustments'!$J$527:$Y$567,AB$17 + 1 + $H22*$H$28, AB$15)</f>
        <v>0</v>
      </c>
      <c r="AC22" s="283">
        <f>INDEX('Volume adjustments'!$J$527:$Y$567,AC$17 + 1 + $H22*$H$28, AC$15)</f>
        <v>13670.707267099029</v>
      </c>
      <c r="AD22" s="283">
        <f>INDEX('Volume adjustments'!$J$527:$Y$567,AD$17 + 1 + $H22*$H$28, AD$15)</f>
        <v>49258.290425073465</v>
      </c>
      <c r="AE22" s="283">
        <f>INDEX('Volume adjustments'!$J$527:$Y$567,AE$17 + 1 + $H22*$H$28, AE$15)</f>
        <v>44233.949301125933</v>
      </c>
      <c r="AF22" s="283">
        <f>INDEX('Volume adjustments'!$J$527:$Y$567,AF$17 + 1 + $H22*$H$28, AF$15)</f>
        <v>58874.529382200897</v>
      </c>
      <c r="AG22" s="283">
        <f>INDEX('Volume adjustments'!$J$527:$Y$567,AG$17 + 1 + $H22*$H$28, AG$15)</f>
        <v>6448.805011825264</v>
      </c>
      <c r="AH22" s="283">
        <f>INDEX('Volume adjustments'!$J$527:$Y$567,AH$17 + 1 + $H22*$H$28, AH$15)</f>
        <v>138.20714502602834</v>
      </c>
      <c r="AI22" s="283">
        <f>INDEX('Volume adjustments'!$J$527:$Y$567,AI$17 + 1 + $H22*$H$28, AI$15)</f>
        <v>19.850977162721037</v>
      </c>
      <c r="AJ22" s="283">
        <f>INDEX('Volume adjustments'!$J$527:$Y$567,AJ$17 + 1 + $H22*$H$28, AJ$15)</f>
        <v>4602.4299730524672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1319.5926901394901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42346.377102139319</v>
      </c>
      <c r="AO22" s="283">
        <f>INDEX('Volume adjustments'!$J$527:$Y$567,AO$17 + 1 + $H22*$H$28, AO$15)</f>
        <v>0</v>
      </c>
    </row>
    <row r="23" spans="3:43" x14ac:dyDescent="0.25">
      <c r="E23" s="14"/>
      <c r="F23" s="109" t="s">
        <v>200</v>
      </c>
      <c r="G23" s="109" t="s">
        <v>120</v>
      </c>
      <c r="H23" s="490">
        <v>1</v>
      </c>
      <c r="J23" s="488">
        <f>INDEX('Volume adjustments'!$J$527:$Y$567,J$17 + 1 + $H23*$H$28, J$15)</f>
        <v>2282979.7633559168</v>
      </c>
      <c r="K23" s="488">
        <f>INDEX('Volume adjustments'!$J$527:$Y$567,K$17 + 1 + $H23*$H$28, K$15)</f>
        <v>876.88932002307558</v>
      </c>
      <c r="L23" s="488">
        <f>INDEX('Volume adjustments'!$J$527:$Y$567,L$17 + 1 + $H23*$H$28, L$15)</f>
        <v>0</v>
      </c>
      <c r="M23" s="488">
        <f>INDEX('Volume adjustments'!$J$527:$Y$567,M$17 + 1 + $H23*$H$28, M$15)</f>
        <v>22616.911393841136</v>
      </c>
      <c r="N23" s="488">
        <f>INDEX('Volume adjustments'!$J$527:$Y$567,N$17 + 1 + $H23*$H$28, N$15)</f>
        <v>99703.237087601126</v>
      </c>
      <c r="O23" s="488">
        <f>INDEX('Volume adjustments'!$J$527:$Y$567,O$17 + 1 + $H23*$H$28, O$15)</f>
        <v>126303.92786749937</v>
      </c>
      <c r="P23" s="488">
        <f>INDEX('Volume adjustments'!$J$527:$Y$567,P$17 + 1 + $H23*$H$28, P$15)</f>
        <v>431472.69682652509</v>
      </c>
      <c r="Q23" s="488">
        <f>INDEX('Volume adjustments'!$J$527:$Y$567,Q$17 + 1 + $H23*$H$28, Q$15)</f>
        <v>315.99830541136959</v>
      </c>
      <c r="R23" s="488">
        <f>INDEX('Volume adjustments'!$J$527:$Y$567,R$17 + 1 + $H23*$H$28, R$15)</f>
        <v>0</v>
      </c>
      <c r="S23" s="488">
        <f>INDEX('Volume adjustments'!$J$527:$Y$567,S$17 + 1 + $H23*$H$28, S$15)</f>
        <v>105605.32008342462</v>
      </c>
      <c r="T23" s="488">
        <f>INDEX('Volume adjustments'!$J$527:$Y$567,T$17 + 1 + $H23*$H$28, T$15)</f>
        <v>152454.02624510284</v>
      </c>
      <c r="U23" s="488">
        <f>INDEX('Volume adjustments'!$J$527:$Y$567,U$17 + 1 + $H23*$H$28, U$15)</f>
        <v>58610.487045961156</v>
      </c>
      <c r="V23" s="488">
        <f>INDEX('Volume adjustments'!$J$527:$Y$567,V$17 + 1 + $H23*$H$28, V$15)</f>
        <v>78336.898968754555</v>
      </c>
      <c r="W23" s="488">
        <f>INDEX('Volume adjustments'!$J$527:$Y$567,W$17 + 1 + $H23*$H$28, W$15)</f>
        <v>0</v>
      </c>
      <c r="X23" s="488">
        <f>INDEX('Volume adjustments'!$J$527:$Y$567,X$17 + 1 + $H23*$H$28, X$15)</f>
        <v>48392.295029037203</v>
      </c>
      <c r="Y23" s="488">
        <f>INDEX('Volume adjustments'!$J$527:$Y$567,Y$17 + 1 + $H23*$H$28, Y$15)</f>
        <v>86472.582900076217</v>
      </c>
      <c r="Z23" s="488">
        <f>INDEX('Volume adjustments'!$J$527:$Y$567,Z$17 + 1 + $H23*$H$28, Z$15)</f>
        <v>74438.762607897253</v>
      </c>
      <c r="AA23" s="488">
        <f>INDEX('Volume adjustments'!$J$527:$Y$567,AA$17 + 1 + $H23*$H$28, AA$15)</f>
        <v>299309.7146915748</v>
      </c>
      <c r="AB23" s="488">
        <f>INDEX('Volume adjustments'!$J$527:$Y$567,AB$17 + 1 + $H23*$H$28, AB$15)</f>
        <v>0</v>
      </c>
      <c r="AC23" s="488">
        <f>INDEX('Volume adjustments'!$J$527:$Y$567,AC$17 + 1 + $H23*$H$28, AC$15)</f>
        <v>62662.967623764293</v>
      </c>
      <c r="AD23" s="488">
        <f>INDEX('Volume adjustments'!$J$527:$Y$567,AD$17 + 1 + $H23*$H$28, AD$15)</f>
        <v>225787.19577566956</v>
      </c>
      <c r="AE23" s="488">
        <f>INDEX('Volume adjustments'!$J$527:$Y$567,AE$17 + 1 + $H23*$H$28, AE$15)</f>
        <v>202756.92243067667</v>
      </c>
      <c r="AF23" s="488">
        <f>INDEX('Volume adjustments'!$J$527:$Y$567,AF$17 + 1 + $H23*$H$28, AF$15)</f>
        <v>269865.534859345</v>
      </c>
      <c r="AG23" s="488">
        <f>INDEX('Volume adjustments'!$J$527:$Y$567,AG$17 + 1 + $H23*$H$28, AG$15)</f>
        <v>52561.370964961032</v>
      </c>
      <c r="AH23" s="488">
        <f>INDEX('Volume adjustments'!$J$527:$Y$567,AH$17 + 1 + $H23*$H$28, AH$15)</f>
        <v>675.42262204083556</v>
      </c>
      <c r="AI23" s="488">
        <f>INDEX('Volume adjustments'!$J$527:$Y$567,AI$17 + 1 + $H23*$H$28, AI$15)</f>
        <v>89.283262919470644</v>
      </c>
      <c r="AJ23" s="488">
        <f>INDEX('Volume adjustments'!$J$527:$Y$567,AJ$17 + 1 + $H23*$H$28, AJ$15)</f>
        <v>22397.414037263683</v>
      </c>
      <c r="AK23" s="488">
        <f>INDEX('Volume adjustments'!$J$527:$Y$567,AK$17 + 1 + $H23*$H$28, AK$15)</f>
        <v>0</v>
      </c>
      <c r="AL23" s="488">
        <f>INDEX('Volume adjustments'!$J$527:$Y$567,AL$17 + 1 + $H23*$H$28, AL$15)</f>
        <v>5938.0182101575592</v>
      </c>
      <c r="AM23" s="488">
        <f>INDEX('Volume adjustments'!$J$527:$Y$567,AM$17 + 1 + $H23*$H$28, AM$15)</f>
        <v>0</v>
      </c>
      <c r="AN23" s="488">
        <f>INDEX('Volume adjustments'!$J$527:$Y$567,AN$17 + 1 + $H23*$H$28, AN$15)</f>
        <v>169950.37671525255</v>
      </c>
      <c r="AO23" s="488">
        <f>INDEX('Volume adjustments'!$J$527:$Y$567,AO$17 + 1 + $H23*$H$28, AO$15)</f>
        <v>0</v>
      </c>
    </row>
    <row r="24" spans="3:43" x14ac:dyDescent="0.25">
      <c r="E24" s="14"/>
      <c r="F24" s="109" t="s">
        <v>201</v>
      </c>
      <c r="G24" s="109" t="s">
        <v>120</v>
      </c>
      <c r="H24" s="490">
        <v>2</v>
      </c>
      <c r="J24" s="488">
        <f>INDEX('Volume adjustments'!$J$527:$Y$567,J$17 + 1 + $H24*$H$28, J$15)</f>
        <v>2148924.2598723704</v>
      </c>
      <c r="K24" s="488">
        <f>INDEX('Volume adjustments'!$J$527:$Y$567,K$17 + 1 + $H24*$H$28, K$15)</f>
        <v>11792.873278266205</v>
      </c>
      <c r="L24" s="488">
        <f>INDEX('Volume adjustments'!$J$527:$Y$567,L$17 + 1 + $H24*$H$28, L$15)</f>
        <v>0</v>
      </c>
      <c r="M24" s="488">
        <f>INDEX('Volume adjustments'!$J$527:$Y$567,M$17 + 1 + $H24*$H$28, M$15)</f>
        <v>21902.846365427391</v>
      </c>
      <c r="N24" s="488">
        <f>INDEX('Volume adjustments'!$J$527:$Y$567,N$17 + 1 + $H24*$H$28, N$15)</f>
        <v>96555.38928539028</v>
      </c>
      <c r="O24" s="488">
        <f>INDEX('Volume adjustments'!$J$527:$Y$567,O$17 + 1 + $H24*$H$28, O$15)</f>
        <v>122316.23846681342</v>
      </c>
      <c r="P24" s="488">
        <f>INDEX('Volume adjustments'!$J$527:$Y$567,P$17 + 1 + $H24*$H$28, P$15)</f>
        <v>417850.16640430799</v>
      </c>
      <c r="Q24" s="488">
        <f>INDEX('Volume adjustments'!$J$527:$Y$567,Q$17 + 1 + $H24*$H$28, Q$15)</f>
        <v>3822.6277485878222</v>
      </c>
      <c r="R24" s="488">
        <f>INDEX('Volume adjustments'!$J$527:$Y$567,R$17 + 1 + $H24*$H$28, R$15)</f>
        <v>0</v>
      </c>
      <c r="S24" s="488">
        <f>INDEX('Volume adjustments'!$J$527:$Y$567,S$17 + 1 + $H24*$H$28, S$15)</f>
        <v>90753.054151254735</v>
      </c>
      <c r="T24" s="488">
        <f>INDEX('Volume adjustments'!$J$527:$Y$567,T$17 + 1 + $H24*$H$28, T$15)</f>
        <v>131012.98768347013</v>
      </c>
      <c r="U24" s="488">
        <f>INDEX('Volume adjustments'!$J$527:$Y$567,U$17 + 1 + $H24*$H$28, U$15)</f>
        <v>50367.54493534637</v>
      </c>
      <c r="V24" s="488">
        <f>INDEX('Volume adjustments'!$J$527:$Y$567,V$17 + 1 + $H24*$H$28, V$15)</f>
        <v>67319.646666821689</v>
      </c>
      <c r="W24" s="488">
        <f>INDEX('Volume adjustments'!$J$527:$Y$567,W$17 + 1 + $H24*$H$28, W$15)</f>
        <v>0</v>
      </c>
      <c r="X24" s="488">
        <f>INDEX('Volume adjustments'!$J$527:$Y$567,X$17 + 1 + $H24*$H$28, X$15)</f>
        <v>42812.191930088127</v>
      </c>
      <c r="Y24" s="488">
        <f>INDEX('Volume adjustments'!$J$527:$Y$567,Y$17 + 1 + $H24*$H$28, Y$15)</f>
        <v>76501.451596522384</v>
      </c>
      <c r="Z24" s="488">
        <f>INDEX('Volume adjustments'!$J$527:$Y$567,Z$17 + 1 + $H24*$H$28, Z$15)</f>
        <v>65855.248028540766</v>
      </c>
      <c r="AA24" s="488">
        <f>INDEX('Volume adjustments'!$J$527:$Y$567,AA$17 + 1 + $H24*$H$28, AA$15)</f>
        <v>264796.38843800803</v>
      </c>
      <c r="AB24" s="488">
        <f>INDEX('Volume adjustments'!$J$527:$Y$567,AB$17 + 1 + $H24*$H$28, AB$15)</f>
        <v>0</v>
      </c>
      <c r="AC24" s="488">
        <f>INDEX('Volume adjustments'!$J$527:$Y$567,AC$17 + 1 + $H24*$H$28, AC$15)</f>
        <v>68016.795019391779</v>
      </c>
      <c r="AD24" s="488">
        <f>INDEX('Volume adjustments'!$J$527:$Y$567,AD$17 + 1 + $H24*$H$28, AD$15)</f>
        <v>245078.10586444187</v>
      </c>
      <c r="AE24" s="488">
        <f>INDEX('Volume adjustments'!$J$527:$Y$567,AE$17 + 1 + $H24*$H$28, AE$15)</f>
        <v>220080.16145248769</v>
      </c>
      <c r="AF24" s="488">
        <f>INDEX('Volume adjustments'!$J$527:$Y$567,AF$17 + 1 + $H24*$H$28, AF$15)</f>
        <v>292922.43031856517</v>
      </c>
      <c r="AG24" s="488">
        <f>INDEX('Volume adjustments'!$J$527:$Y$567,AG$17 + 1 + $H24*$H$28, AG$15)</f>
        <v>88880.57358714845</v>
      </c>
      <c r="AH24" s="488">
        <f>INDEX('Volume adjustments'!$J$527:$Y$567,AH$17 + 1 + $H24*$H$28, AH$15)</f>
        <v>734.62430353180275</v>
      </c>
      <c r="AI24" s="488">
        <f>INDEX('Volume adjustments'!$J$527:$Y$567,AI$17 + 1 + $H24*$H$28, AI$15)</f>
        <v>112.33780697547499</v>
      </c>
      <c r="AJ24" s="488">
        <f>INDEX('Volume adjustments'!$J$527:$Y$567,AJ$17 + 1 + $H24*$H$28, AJ$15)</f>
        <v>25989.195328374855</v>
      </c>
      <c r="AK24" s="488">
        <f>INDEX('Volume adjustments'!$J$527:$Y$567,AK$17 + 1 + $H24*$H$28, AK$15)</f>
        <v>0</v>
      </c>
      <c r="AL24" s="488">
        <f>INDEX('Volume adjustments'!$J$527:$Y$567,AL$17 + 1 + $H24*$H$28, AL$15)</f>
        <v>7475.1781511239524</v>
      </c>
      <c r="AM24" s="488">
        <f>INDEX('Volume adjustments'!$J$527:$Y$567,AM$17 + 1 + $H24*$H$28, AM$15)</f>
        <v>0</v>
      </c>
      <c r="AN24" s="488">
        <f>INDEX('Volume adjustments'!$J$527:$Y$567,AN$17 + 1 + $H24*$H$28, AN$15)</f>
        <v>176946.04662843214</v>
      </c>
      <c r="AO24" s="488">
        <f>INDEX('Volume adjustments'!$J$527:$Y$567,AO$17 + 1 + $H24*$H$28, AO$15)</f>
        <v>0</v>
      </c>
    </row>
    <row r="25" spans="3:43" x14ac:dyDescent="0.25">
      <c r="E25" s="14"/>
      <c r="F25" s="109" t="s">
        <v>74</v>
      </c>
      <c r="G25" s="109" t="s">
        <v>74</v>
      </c>
      <c r="H25" s="490">
        <v>3</v>
      </c>
      <c r="J25" s="488">
        <f>INDEX('Volume adjustments'!$J$527:$Y$567,J$17 + 1 + $H25*$H$28, J$15)</f>
        <v>1393317</v>
      </c>
      <c r="K25" s="488">
        <f>INDEX('Volume adjustments'!$J$527:$Y$567,K$17 + 1 + $H25*$H$28, K$15)</f>
        <v>3156</v>
      </c>
      <c r="L25" s="488">
        <f>INDEX('Volume adjustments'!$J$527:$Y$567,L$17 + 1 + $H25*$H$28, L$15)</f>
        <v>0</v>
      </c>
      <c r="M25" s="488">
        <f>INDEX('Volume adjustments'!$J$527:$Y$567,M$17 + 1 + $H25*$H$28, M$15)</f>
        <v>37920</v>
      </c>
      <c r="N25" s="488">
        <f>INDEX('Volume adjustments'!$J$527:$Y$567,N$17 + 1 + $H25*$H$28, N$15)</f>
        <v>30846</v>
      </c>
      <c r="O25" s="488">
        <f>INDEX('Volume adjustments'!$J$527:$Y$567,O$17 + 1 + $H25*$H$28, O$15)</f>
        <v>15709</v>
      </c>
      <c r="P25" s="488">
        <f>INDEX('Volume adjustments'!$J$527:$Y$567,P$17 + 1 + $H25*$H$28, P$15)</f>
        <v>16398</v>
      </c>
      <c r="Q25" s="488">
        <f>INDEX('Volume adjustments'!$J$527:$Y$567,Q$17 + 1 + $H25*$H$28, Q$15)</f>
        <v>997</v>
      </c>
      <c r="R25" s="488">
        <f>INDEX('Volume adjustments'!$J$527:$Y$567,R$17 + 1 + $H25*$H$28, R$15)</f>
        <v>0</v>
      </c>
      <c r="S25" s="488">
        <f>INDEX('Volume adjustments'!$J$527:$Y$567,S$17 + 1 + $H25*$H$28, S$15)</f>
        <v>2873</v>
      </c>
      <c r="T25" s="488">
        <f>INDEX('Volume adjustments'!$J$527:$Y$567,T$17 + 1 + $H25*$H$28, T$15)</f>
        <v>1818</v>
      </c>
      <c r="U25" s="488">
        <f>INDEX('Volume adjustments'!$J$527:$Y$567,U$17 + 1 + $H25*$H$28, U$15)</f>
        <v>425</v>
      </c>
      <c r="V25" s="488">
        <f>INDEX('Volume adjustments'!$J$527:$Y$567,V$17 + 1 + $H25*$H$28, V$15)</f>
        <v>283</v>
      </c>
      <c r="W25" s="488">
        <f>INDEX('Volume adjustments'!$J$527:$Y$567,W$17 + 1 + $H25*$H$28, W$15)</f>
        <v>0</v>
      </c>
      <c r="X25" s="488">
        <f>INDEX('Volume adjustments'!$J$527:$Y$567,X$17 + 1 + $H25*$H$28, X$15)</f>
        <v>1023</v>
      </c>
      <c r="Y25" s="488">
        <f>INDEX('Volume adjustments'!$J$527:$Y$567,Y$17 + 1 + $H25*$H$28, Y$15)</f>
        <v>805</v>
      </c>
      <c r="Z25" s="488">
        <f>INDEX('Volume adjustments'!$J$527:$Y$567,Z$17 + 1 + $H25*$H$28, Z$15)</f>
        <v>426</v>
      </c>
      <c r="AA25" s="488">
        <f>INDEX('Volume adjustments'!$J$527:$Y$567,AA$17 + 1 + $H25*$H$28, AA$15)</f>
        <v>821</v>
      </c>
      <c r="AB25" s="488">
        <f>INDEX('Volume adjustments'!$J$527:$Y$567,AB$17 + 1 + $H25*$H$28, AB$15)</f>
        <v>0</v>
      </c>
      <c r="AC25" s="488">
        <f>INDEX('Volume adjustments'!$J$527:$Y$567,AC$17 + 1 + $H25*$H$28, AC$15)</f>
        <v>298</v>
      </c>
      <c r="AD25" s="488">
        <f>INDEX('Volume adjustments'!$J$527:$Y$567,AD$17 + 1 + $H25*$H$28, AD$15)</f>
        <v>286</v>
      </c>
      <c r="AE25" s="488">
        <f>INDEX('Volume adjustments'!$J$527:$Y$567,AE$17 + 1 + $H25*$H$28, AE$15)</f>
        <v>127</v>
      </c>
      <c r="AF25" s="488">
        <f>INDEX('Volume adjustments'!$J$527:$Y$567,AF$17 + 1 + $H25*$H$28, AF$15)</f>
        <v>90</v>
      </c>
      <c r="AG25" s="488">
        <f>INDEX('Volume adjustments'!$J$527:$Y$567,AG$17 + 1 + $H25*$H$28, AG$15)</f>
        <v>574</v>
      </c>
      <c r="AH25" s="488">
        <f>INDEX('Volume adjustments'!$J$527:$Y$567,AH$17 + 1 + $H25*$H$28, AH$15)</f>
        <v>283</v>
      </c>
      <c r="AI25" s="488">
        <f>INDEX('Volume adjustments'!$J$527:$Y$567,AI$17 + 1 + $H25*$H$28, AI$15)</f>
        <v>25</v>
      </c>
      <c r="AJ25" s="488">
        <f>INDEX('Volume adjustments'!$J$527:$Y$567,AJ$17 + 1 + $H25*$H$28, AJ$15)</f>
        <v>317</v>
      </c>
      <c r="AK25" s="488">
        <f>INDEX('Volume adjustments'!$J$527:$Y$567,AK$17 + 1 + $H25*$H$28, AK$15)</f>
        <v>0</v>
      </c>
      <c r="AL25" s="488">
        <f>INDEX('Volume adjustments'!$J$527:$Y$567,AL$17 + 1 + $H25*$H$28, AL$15)</f>
        <v>41</v>
      </c>
      <c r="AM25" s="488">
        <f>INDEX('Volume adjustments'!$J$527:$Y$567,AM$17 + 1 + $H25*$H$28, AM$15)</f>
        <v>0</v>
      </c>
      <c r="AN25" s="488">
        <f>INDEX('Volume adjustments'!$J$527:$Y$567,AN$17 + 1 + $H25*$H$28, AN$15)</f>
        <v>138</v>
      </c>
      <c r="AO25" s="488">
        <f>INDEX('Volume adjustments'!$J$527:$Y$567,AO$17 + 1 + $H25*$H$28, AO$15)</f>
        <v>0</v>
      </c>
    </row>
    <row r="26" spans="3:43" x14ac:dyDescent="0.25">
      <c r="E26" s="14"/>
      <c r="F26" s="109" t="s">
        <v>202</v>
      </c>
      <c r="G26" s="109" t="s">
        <v>169</v>
      </c>
      <c r="H26" s="490">
        <v>4</v>
      </c>
      <c r="J26" s="488">
        <f>INDEX('Volume adjustments'!$J$527:$Y$567,J$17 + 1 + $H26*$H$28, J$15)</f>
        <v>0</v>
      </c>
      <c r="K26" s="488">
        <f>INDEX('Volume adjustments'!$J$527:$Y$567,K$17 + 1 + $H26*$H$28, K$15)</f>
        <v>0</v>
      </c>
      <c r="L26" s="488">
        <f>INDEX('Volume adjustments'!$J$527:$Y$567,L$17 + 1 + $H26*$H$28, L$15)</f>
        <v>0</v>
      </c>
      <c r="M26" s="488">
        <f>INDEX('Volume adjustments'!$J$527:$Y$567,M$17 + 1 + $H26*$H$28, M$15)</f>
        <v>0</v>
      </c>
      <c r="N26" s="488">
        <f>INDEX('Volume adjustments'!$J$527:$Y$567,N$17 + 1 + $H26*$H$28, N$15)</f>
        <v>0</v>
      </c>
      <c r="O26" s="488">
        <f>INDEX('Volume adjustments'!$J$527:$Y$567,O$17 + 1 + $H26*$H$28, O$15)</f>
        <v>0</v>
      </c>
      <c r="P26" s="488">
        <f>INDEX('Volume adjustments'!$J$527:$Y$567,P$17 + 1 + $H26*$H$28, P$15)</f>
        <v>0</v>
      </c>
      <c r="Q26" s="488">
        <f>INDEX('Volume adjustments'!$J$527:$Y$567,Q$17 + 1 + $H26*$H$28, Q$15)</f>
        <v>0</v>
      </c>
      <c r="R26" s="488">
        <f>INDEX('Volume adjustments'!$J$527:$Y$567,R$17 + 1 + $H26*$H$28, R$15)</f>
        <v>0</v>
      </c>
      <c r="S26" s="488">
        <f>INDEX('Volume adjustments'!$J$527:$Y$567,S$17 + 1 + $H26*$H$28, S$15)</f>
        <v>146223</v>
      </c>
      <c r="T26" s="488">
        <f>INDEX('Volume adjustments'!$J$527:$Y$567,T$17 + 1 + $H26*$H$28, T$15)</f>
        <v>211091</v>
      </c>
      <c r="U26" s="488">
        <f>INDEX('Volume adjustments'!$J$527:$Y$567,U$17 + 1 + $H26*$H$28, U$15)</f>
        <v>81153</v>
      </c>
      <c r="V26" s="488">
        <f>INDEX('Volume adjustments'!$J$527:$Y$567,V$17 + 1 + $H26*$H$28, V$15)</f>
        <v>108467</v>
      </c>
      <c r="W26" s="488">
        <f>INDEX('Volume adjustments'!$J$527:$Y$567,W$17 + 1 + $H26*$H$28, W$15)</f>
        <v>0</v>
      </c>
      <c r="X26" s="488">
        <f>INDEX('Volume adjustments'!$J$527:$Y$567,X$17 + 1 + $H26*$H$28, X$15)</f>
        <v>53930</v>
      </c>
      <c r="Y26" s="488">
        <f>INDEX('Volume adjustments'!$J$527:$Y$567,Y$17 + 1 + $H26*$H$28, Y$15)</f>
        <v>96368</v>
      </c>
      <c r="Z26" s="488">
        <f>INDEX('Volume adjustments'!$J$527:$Y$567,Z$17 + 1 + $H26*$H$28, Z$15)</f>
        <v>82957</v>
      </c>
      <c r="AA26" s="488">
        <f>INDEX('Volume adjustments'!$J$527:$Y$567,AA$17 + 1 + $H26*$H$28, AA$15)</f>
        <v>333562</v>
      </c>
      <c r="AB26" s="488">
        <f>INDEX('Volume adjustments'!$J$527:$Y$567,AB$17 + 1 + $H26*$H$28, AB$15)</f>
        <v>0</v>
      </c>
      <c r="AC26" s="488">
        <f>INDEX('Volume adjustments'!$J$527:$Y$567,AC$17 + 1 + $H26*$H$28, AC$15)</f>
        <v>55246</v>
      </c>
      <c r="AD26" s="488">
        <f>INDEX('Volume adjustments'!$J$527:$Y$567,AD$17 + 1 + $H26*$H$28, AD$15)</f>
        <v>199062</v>
      </c>
      <c r="AE26" s="488">
        <f>INDEX('Volume adjustments'!$J$527:$Y$567,AE$17 + 1 + $H26*$H$28, AE$15)</f>
        <v>178758</v>
      </c>
      <c r="AF26" s="488">
        <f>INDEX('Volume adjustments'!$J$527:$Y$567,AF$17 + 1 + $H26*$H$28, AF$15)</f>
        <v>237923</v>
      </c>
      <c r="AG26" s="488">
        <f>INDEX('Volume adjustments'!$J$527:$Y$567,AG$17 + 1 + $H26*$H$28, AG$15)</f>
        <v>0</v>
      </c>
      <c r="AH26" s="488">
        <f>INDEX('Volume adjustments'!$J$527:$Y$567,AH$17 + 1 + $H26*$H$28, AH$15)</f>
        <v>0</v>
      </c>
      <c r="AI26" s="488">
        <f>INDEX('Volume adjustments'!$J$527:$Y$567,AI$17 + 1 + $H26*$H$28, AI$15)</f>
        <v>0</v>
      </c>
      <c r="AJ26" s="488">
        <f>INDEX('Volume adjustments'!$J$527:$Y$567,AJ$17 + 1 + $H26*$H$28, AJ$15)</f>
        <v>0</v>
      </c>
      <c r="AK26" s="488">
        <f>INDEX('Volume adjustments'!$J$527:$Y$567,AK$17 + 1 + $H26*$H$28, AK$15)</f>
        <v>0</v>
      </c>
      <c r="AL26" s="488">
        <f>INDEX('Volume adjustments'!$J$527:$Y$567,AL$17 + 1 + $H26*$H$28, AL$15)</f>
        <v>0</v>
      </c>
      <c r="AM26" s="488">
        <f>INDEX('Volume adjustments'!$J$527:$Y$567,AM$17 + 1 + $H26*$H$28, AM$15)</f>
        <v>0</v>
      </c>
      <c r="AN26" s="488">
        <f>INDEX('Volume adjustments'!$J$527:$Y$567,AN$17 + 1 + $H26*$H$28, AN$15)</f>
        <v>0</v>
      </c>
      <c r="AO26" s="488">
        <f>INDEX('Volume adjustments'!$J$527:$Y$567,AO$17 + 1 + $H26*$H$28, AO$15)</f>
        <v>0</v>
      </c>
    </row>
    <row r="27" spans="3:43" x14ac:dyDescent="0.25">
      <c r="E27" s="14"/>
      <c r="F27" s="109" t="s">
        <v>203</v>
      </c>
      <c r="G27" s="109" t="s">
        <v>169</v>
      </c>
      <c r="H27" s="490">
        <v>5</v>
      </c>
      <c r="J27" s="488">
        <f>INDEX('Volume adjustments'!$J$527:$Y$567,J$17 + 1 + $H27*$H$28, J$15)</f>
        <v>0</v>
      </c>
      <c r="K27" s="488">
        <f>INDEX('Volume adjustments'!$J$527:$Y$567,K$17 + 1 + $H27*$H$28, K$15)</f>
        <v>0</v>
      </c>
      <c r="L27" s="488">
        <f>INDEX('Volume adjustments'!$J$527:$Y$567,L$17 + 1 + $H27*$H$28, L$15)</f>
        <v>0</v>
      </c>
      <c r="M27" s="488">
        <f>INDEX('Volume adjustments'!$J$527:$Y$567,M$17 + 1 + $H27*$H$28, M$15)</f>
        <v>0</v>
      </c>
      <c r="N27" s="488">
        <f>INDEX('Volume adjustments'!$J$527:$Y$567,N$17 + 1 + $H27*$H$28, N$15)</f>
        <v>0</v>
      </c>
      <c r="O27" s="488">
        <f>INDEX('Volume adjustments'!$J$527:$Y$567,O$17 + 1 + $H27*$H$28, O$15)</f>
        <v>0</v>
      </c>
      <c r="P27" s="488">
        <f>INDEX('Volume adjustments'!$J$527:$Y$567,P$17 + 1 + $H27*$H$28, P$15)</f>
        <v>0</v>
      </c>
      <c r="Q27" s="488">
        <f>INDEX('Volume adjustments'!$J$527:$Y$567,Q$17 + 1 + $H27*$H$28, Q$15)</f>
        <v>0</v>
      </c>
      <c r="R27" s="488">
        <f>INDEX('Volume adjustments'!$J$527:$Y$567,R$17 + 1 + $H27*$H$28, R$15)</f>
        <v>0</v>
      </c>
      <c r="S27" s="488">
        <f>INDEX('Volume adjustments'!$J$527:$Y$567,S$17 + 1 + $H27*$H$28, S$15)</f>
        <v>3303</v>
      </c>
      <c r="T27" s="488">
        <f>INDEX('Volume adjustments'!$J$527:$Y$567,T$17 + 1 + $H27*$H$28, T$15)</f>
        <v>4768</v>
      </c>
      <c r="U27" s="488">
        <f>INDEX('Volume adjustments'!$J$527:$Y$567,U$17 + 1 + $H27*$H$28, U$15)</f>
        <v>1833</v>
      </c>
      <c r="V27" s="488">
        <f>INDEX('Volume adjustments'!$J$527:$Y$567,V$17 + 1 + $H27*$H$28, V$15)</f>
        <v>2450</v>
      </c>
      <c r="W27" s="488">
        <f>INDEX('Volume adjustments'!$J$527:$Y$567,W$17 + 1 + $H27*$H$28, W$15)</f>
        <v>0</v>
      </c>
      <c r="X27" s="488">
        <f>INDEX('Volume adjustments'!$J$527:$Y$567,X$17 + 1 + $H27*$H$28, X$15)</f>
        <v>3548</v>
      </c>
      <c r="Y27" s="488">
        <f>INDEX('Volume adjustments'!$J$527:$Y$567,Y$17 + 1 + $H27*$H$28, Y$15)</f>
        <v>5122</v>
      </c>
      <c r="Z27" s="488">
        <f>INDEX('Volume adjustments'!$J$527:$Y$567,Z$17 + 1 + $H27*$H$28, Z$15)</f>
        <v>1969</v>
      </c>
      <c r="AA27" s="488">
        <f>INDEX('Volume adjustments'!$J$527:$Y$567,AA$17 + 1 + $H27*$H$28, AA$15)</f>
        <v>2632</v>
      </c>
      <c r="AB27" s="488">
        <f>INDEX('Volume adjustments'!$J$527:$Y$567,AB$17 + 1 + $H27*$H$28, AB$15)</f>
        <v>0</v>
      </c>
      <c r="AC27" s="488">
        <f>INDEX('Volume adjustments'!$J$527:$Y$567,AC$17 + 1 + $H27*$H$28, AC$15)</f>
        <v>920</v>
      </c>
      <c r="AD27" s="488">
        <f>INDEX('Volume adjustments'!$J$527:$Y$567,AD$17 + 1 + $H27*$H$28, AD$15)</f>
        <v>3314</v>
      </c>
      <c r="AE27" s="488">
        <f>INDEX('Volume adjustments'!$J$527:$Y$567,AE$17 + 1 + $H27*$H$28, AE$15)</f>
        <v>2976</v>
      </c>
      <c r="AF27" s="488">
        <f>INDEX('Volume adjustments'!$J$527:$Y$567,AF$17 + 1 + $H27*$H$28, AF$15)</f>
        <v>3961</v>
      </c>
      <c r="AG27" s="488">
        <f>INDEX('Volume adjustments'!$J$527:$Y$567,AG$17 + 1 + $H27*$H$28, AG$15)</f>
        <v>0</v>
      </c>
      <c r="AH27" s="488">
        <f>INDEX('Volume adjustments'!$J$527:$Y$567,AH$17 + 1 + $H27*$H$28, AH$15)</f>
        <v>0</v>
      </c>
      <c r="AI27" s="488">
        <f>INDEX('Volume adjustments'!$J$527:$Y$567,AI$17 + 1 + $H27*$H$28, AI$15)</f>
        <v>0</v>
      </c>
      <c r="AJ27" s="488">
        <f>INDEX('Volume adjustments'!$J$527:$Y$567,AJ$17 + 1 + $H27*$H$28, AJ$15)</f>
        <v>0</v>
      </c>
      <c r="AK27" s="488">
        <f>INDEX('Volume adjustments'!$J$527:$Y$567,AK$17 + 1 + $H27*$H$28, AK$15)</f>
        <v>0</v>
      </c>
      <c r="AL27" s="488">
        <f>INDEX('Volume adjustments'!$J$527:$Y$567,AL$17 + 1 + $H27*$H$28, AL$15)</f>
        <v>0</v>
      </c>
      <c r="AM27" s="488">
        <f>INDEX('Volume adjustments'!$J$527:$Y$567,AM$17 + 1 + $H27*$H$28, AM$15)</f>
        <v>0</v>
      </c>
      <c r="AN27" s="488">
        <f>INDEX('Volume adjustments'!$J$527:$Y$567,AN$17 + 1 + $H27*$H$28, AN$15)</f>
        <v>0</v>
      </c>
      <c r="AO27" s="488">
        <f>INDEX('Volume adjustments'!$J$527:$Y$567,AO$17 + 1 + $H27*$H$28, AO$15)</f>
        <v>0</v>
      </c>
    </row>
    <row r="28" spans="3:43" x14ac:dyDescent="0.25">
      <c r="E28" s="14"/>
      <c r="F28" s="36" t="s">
        <v>204</v>
      </c>
      <c r="G28" s="36" t="s">
        <v>170</v>
      </c>
      <c r="H28" s="456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0</v>
      </c>
      <c r="S28" s="284">
        <f>INDEX('Volume adjustments'!$J$527:$Y$567,S$17 + 1 + $H28*$H$28, S$15)</f>
        <v>20500.91</v>
      </c>
      <c r="T28" s="284">
        <f>INDEX('Volume adjustments'!$J$527:$Y$567,T$17 + 1 + $H28*$H$28, T$15)</f>
        <v>29595.538</v>
      </c>
      <c r="U28" s="284">
        <f>INDEX('Volume adjustments'!$J$527:$Y$567,U$17 + 1 + $H28*$H$28, U$15)</f>
        <v>11377.915000000001</v>
      </c>
      <c r="V28" s="284">
        <f>INDEX('Volume adjustments'!$J$527:$Y$567,V$17 + 1 + $H28*$H$28, V$15)</f>
        <v>15207.356</v>
      </c>
      <c r="W28" s="284">
        <f>INDEX('Volume adjustments'!$J$527:$Y$567,W$17 + 1 + $H28*$H$28, W$15)</f>
        <v>0</v>
      </c>
      <c r="X28" s="284">
        <f>INDEX('Volume adjustments'!$J$527:$Y$567,X$17 + 1 + $H28*$H$28, X$15)</f>
        <v>24847.258000000002</v>
      </c>
      <c r="Y28" s="284">
        <f>INDEX('Volume adjustments'!$J$527:$Y$567,Y$17 + 1 + $H28*$H$28, Y$15)</f>
        <v>35870.017</v>
      </c>
      <c r="Z28" s="284">
        <f>INDEX('Volume adjustments'!$J$527:$Y$567,Z$17 + 1 + $H28*$H$28, Z$15)</f>
        <v>13790.119000000001</v>
      </c>
      <c r="AA28" s="284">
        <f>INDEX('Volume adjustments'!$J$527:$Y$567,AA$17 + 1 + $H28*$H$28, AA$15)</f>
        <v>18431.431</v>
      </c>
      <c r="AB28" s="284">
        <f>INDEX('Volume adjustments'!$J$527:$Y$567,AB$17 + 1 + $H28*$H$28, AB$15)</f>
        <v>0</v>
      </c>
      <c r="AC28" s="284">
        <f>INDEX('Volume adjustments'!$J$527:$Y$567,AC$17 + 1 + $H28*$H$28, AC$15)</f>
        <v>9223.2129999999997</v>
      </c>
      <c r="AD28" s="284">
        <f>INDEX('Volume adjustments'!$J$527:$Y$567,AD$17 + 1 + $H28*$H$28, AD$15)</f>
        <v>33233.078999999998</v>
      </c>
      <c r="AE28" s="284">
        <f>INDEX('Volume adjustments'!$J$527:$Y$567,AE$17 + 1 + $H28*$H$28, AE$15)</f>
        <v>29843.308000000001</v>
      </c>
      <c r="AF28" s="284">
        <f>INDEX('Volume adjustments'!$J$527:$Y$567,AF$17 + 1 + $H28*$H$28, AF$15)</f>
        <v>39720.864000000001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4390.8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172.2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7419.6</v>
      </c>
      <c r="AO28" s="284">
        <f>INDEX('Volume adjustments'!$J$527:$Y$567,AO$17 + 1 + $H28*$H$28, AO$15)</f>
        <v>0</v>
      </c>
    </row>
    <row r="29" spans="3:43" s="374" customFormat="1" x14ac:dyDescent="0.25">
      <c r="E29" s="422"/>
      <c r="F29" s="376"/>
      <c r="G29" s="376"/>
      <c r="J29" s="423"/>
      <c r="K29" s="423"/>
      <c r="L29" s="423"/>
      <c r="M29" s="423"/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  <c r="AA29" s="423"/>
      <c r="AB29" s="423"/>
      <c r="AC29" s="423"/>
      <c r="AD29" s="423"/>
      <c r="AE29" s="423"/>
      <c r="AF29" s="423"/>
      <c r="AG29" s="423"/>
      <c r="AH29" s="423"/>
      <c r="AI29" s="423"/>
      <c r="AJ29" s="423"/>
      <c r="AK29" s="423"/>
      <c r="AL29" s="423"/>
      <c r="AM29" s="423"/>
      <c r="AN29" s="423"/>
      <c r="AO29" s="423"/>
    </row>
    <row r="30" spans="3:43" x14ac:dyDescent="0.25">
      <c r="E30" s="96" t="s">
        <v>902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692</v>
      </c>
    </row>
    <row r="31" spans="3:43" x14ac:dyDescent="0.25">
      <c r="E31" s="96"/>
      <c r="F31" s="82" t="s">
        <v>1112</v>
      </c>
    </row>
    <row r="32" spans="3:43" x14ac:dyDescent="0.25">
      <c r="E32" s="96"/>
      <c r="F32" s="513" t="s">
        <v>1113</v>
      </c>
      <c r="G32" s="93"/>
    </row>
    <row r="33" spans="5:43" x14ac:dyDescent="0.25">
      <c r="F33" s="109" t="s">
        <v>199</v>
      </c>
      <c r="G33" s="109" t="s">
        <v>120</v>
      </c>
      <c r="H33" s="455">
        <v>0</v>
      </c>
      <c r="I33" s="91"/>
      <c r="J33" s="283">
        <f>INDEX('Volume adjustments'!$J$571:$Y$611,J$17 + 1 + $H33*$H$39, J$15)</f>
        <v>8306.6021289228665</v>
      </c>
      <c r="K33" s="283">
        <f>INDEX('Volume adjustments'!$J$571:$Y$611,K$17 + 1 + $H33*$H$39, K$15)</f>
        <v>0</v>
      </c>
      <c r="L33" s="283">
        <f>INDEX('Volume adjustments'!$J$571:$Y$611,L$17 + 1 + $H33*$H$39, L$15)</f>
        <v>0</v>
      </c>
      <c r="M33" s="283">
        <f>INDEX('Volume adjustments'!$J$571:$Y$611,M$17 + 1 + $H33*$H$39, M$15)</f>
        <v>7.2436713889719169</v>
      </c>
      <c r="N33" s="283">
        <f>INDEX('Volume adjustments'!$J$571:$Y$611,N$17 + 1 + $H33*$H$39, N$15)</f>
        <v>31.932630999120803</v>
      </c>
      <c r="O33" s="283">
        <f>INDEX('Volume adjustments'!$J$571:$Y$611,O$17 + 1 + $H33*$H$39, O$15)</f>
        <v>40.452214392886461</v>
      </c>
      <c r="P33" s="283">
        <f>INDEX('Volume adjustments'!$J$571:$Y$611,P$17 + 1 + $H33*$H$39, P$15)</f>
        <v>138.1906828346134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34.413257999999992</v>
      </c>
      <c r="T33" s="283">
        <f>INDEX('Volume adjustments'!$J$571:$Y$611,T$17 + 1 + $H33*$H$39, T$15)</f>
        <v>356.25543224999996</v>
      </c>
      <c r="U33" s="283">
        <f>INDEX('Volume adjustments'!$J$571:$Y$611,U$17 + 1 + $H33*$H$39, U$15)</f>
        <v>205.69742849999994</v>
      </c>
      <c r="V33" s="283">
        <f>INDEX('Volume adjustments'!$J$571:$Y$611,V$17 + 1 + $H33*$H$39, V$15)</f>
        <v>159.68273124999999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4.0484626290277781</v>
      </c>
      <c r="AH33" s="283">
        <f>INDEX('Volume adjustments'!$J$571:$Y$611,AH$17 + 1 + $H33*$H$39, AH$15)</f>
        <v>0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25">
      <c r="E34" s="14"/>
      <c r="F34" s="109" t="s">
        <v>200</v>
      </c>
      <c r="G34" s="109" t="s">
        <v>120</v>
      </c>
      <c r="H34" s="490">
        <v>1</v>
      </c>
      <c r="J34" s="488">
        <f>INDEX('Volume adjustments'!$J$571:$Y$611,J$17 + 1 + $H34*$H$39, J$15)</f>
        <v>29533.933561876322</v>
      </c>
      <c r="K34" s="488">
        <f>INDEX('Volume adjustments'!$J$571:$Y$611,K$17 + 1 + $H34*$H$39, K$15)</f>
        <v>0</v>
      </c>
      <c r="L34" s="488">
        <f>INDEX('Volume adjustments'!$J$571:$Y$611,L$17 + 1 + $H34*$H$39, L$15)</f>
        <v>0</v>
      </c>
      <c r="M34" s="488">
        <f>INDEX('Volume adjustments'!$J$571:$Y$611,M$17 + 1 + $H34*$H$39, M$15)</f>
        <v>38.060246396439958</v>
      </c>
      <c r="N34" s="488">
        <f>INDEX('Volume adjustments'!$J$571:$Y$611,N$17 + 1 + $H34*$H$39, N$15)</f>
        <v>167.78284638414956</v>
      </c>
      <c r="O34" s="488">
        <f>INDEX('Volume adjustments'!$J$571:$Y$611,O$17 + 1 + $H34*$H$39, O$15)</f>
        <v>212.54708619428266</v>
      </c>
      <c r="P34" s="488">
        <f>INDEX('Volume adjustments'!$J$571:$Y$611,P$17 + 1 + $H34*$H$39, P$15)</f>
        <v>726.09194370482794</v>
      </c>
      <c r="Q34" s="488">
        <f>INDEX('Volume adjustments'!$J$571:$Y$611,Q$17 + 1 + $H34*$H$39, Q$15)</f>
        <v>0</v>
      </c>
      <c r="R34" s="488">
        <f>INDEX('Volume adjustments'!$J$571:$Y$611,R$17 + 1 + $H34*$H$39, R$15)</f>
        <v>0</v>
      </c>
      <c r="S34" s="488">
        <f>INDEX('Volume adjustments'!$J$571:$Y$611,S$17 + 1 + $H34*$H$39, S$15)</f>
        <v>157.41759572889416</v>
      </c>
      <c r="T34" s="488">
        <f>INDEX('Volume adjustments'!$J$571:$Y$611,T$17 + 1 + $H34*$H$39, T$15)</f>
        <v>1629.6298830570747</v>
      </c>
      <c r="U34" s="488">
        <f>INDEX('Volume adjustments'!$J$571:$Y$611,U$17 + 1 + $H34*$H$39, U$15)</f>
        <v>940.92790174316281</v>
      </c>
      <c r="V34" s="488">
        <f>INDEX('Volume adjustments'!$J$571:$Y$611,V$17 + 1 + $H34*$H$39, V$15)</f>
        <v>730.44149533293705</v>
      </c>
      <c r="W34" s="488">
        <f>INDEX('Volume adjustments'!$J$571:$Y$611,W$17 + 1 + $H34*$H$39, W$15)</f>
        <v>0</v>
      </c>
      <c r="X34" s="488">
        <f>INDEX('Volume adjustments'!$J$571:$Y$611,X$17 + 1 + $H34*$H$39, X$15)</f>
        <v>0</v>
      </c>
      <c r="Y34" s="488">
        <f>INDEX('Volume adjustments'!$J$571:$Y$611,Y$17 + 1 + $H34*$H$39, Y$15)</f>
        <v>0</v>
      </c>
      <c r="Z34" s="488">
        <f>INDEX('Volume adjustments'!$J$571:$Y$611,Z$17 + 1 + $H34*$H$39, Z$15)</f>
        <v>0</v>
      </c>
      <c r="AA34" s="488">
        <f>INDEX('Volume adjustments'!$J$571:$Y$611,AA$17 + 1 + $H34*$H$39, AA$15)</f>
        <v>0</v>
      </c>
      <c r="AB34" s="488">
        <f>INDEX('Volume adjustments'!$J$571:$Y$611,AB$17 + 1 + $H34*$H$39, AB$15)</f>
        <v>0</v>
      </c>
      <c r="AC34" s="488">
        <f>INDEX('Volume adjustments'!$J$571:$Y$611,AC$17 + 1 + $H34*$H$39, AC$15)</f>
        <v>0</v>
      </c>
      <c r="AD34" s="488">
        <f>INDEX('Volume adjustments'!$J$571:$Y$611,AD$17 + 1 + $H34*$H$39, AD$15)</f>
        <v>0</v>
      </c>
      <c r="AE34" s="488">
        <f>INDEX('Volume adjustments'!$J$571:$Y$611,AE$17 + 1 + $H34*$H$39, AE$15)</f>
        <v>0</v>
      </c>
      <c r="AF34" s="488">
        <f>INDEX('Volume adjustments'!$J$571:$Y$611,AF$17 + 1 + $H34*$H$39, AF$15)</f>
        <v>0</v>
      </c>
      <c r="AG34" s="488">
        <f>INDEX('Volume adjustments'!$J$571:$Y$611,AG$17 + 1 + $H34*$H$39, AG$15)</f>
        <v>53.178547581699839</v>
      </c>
      <c r="AH34" s="488">
        <f>INDEX('Volume adjustments'!$J$571:$Y$611,AH$17 + 1 + $H34*$H$39, AH$15)</f>
        <v>0</v>
      </c>
      <c r="AI34" s="488">
        <f>INDEX('Volume adjustments'!$J$571:$Y$611,AI$17 + 1 + $H34*$H$39, AI$15)</f>
        <v>0</v>
      </c>
      <c r="AJ34" s="488">
        <f>INDEX('Volume adjustments'!$J$571:$Y$611,AJ$17 + 1 + $H34*$H$39, AJ$15)</f>
        <v>0</v>
      </c>
      <c r="AK34" s="488">
        <f>INDEX('Volume adjustments'!$J$571:$Y$611,AK$17 + 1 + $H34*$H$39, AK$15)</f>
        <v>0</v>
      </c>
      <c r="AL34" s="488">
        <f>INDEX('Volume adjustments'!$J$571:$Y$611,AL$17 + 1 + $H34*$H$39, AL$15)</f>
        <v>0</v>
      </c>
      <c r="AM34" s="488">
        <f>INDEX('Volume adjustments'!$J$571:$Y$611,AM$17 + 1 + $H34*$H$39, AM$15)</f>
        <v>0</v>
      </c>
      <c r="AN34" s="488">
        <f>INDEX('Volume adjustments'!$J$571:$Y$611,AN$17 + 1 + $H34*$H$39, AN$15)</f>
        <v>0</v>
      </c>
      <c r="AO34" s="488">
        <f>INDEX('Volume adjustments'!$J$571:$Y$611,AO$17 + 1 + $H34*$H$39, AO$15)</f>
        <v>0</v>
      </c>
    </row>
    <row r="35" spans="5:43" x14ac:dyDescent="0.25">
      <c r="E35" s="14"/>
      <c r="F35" s="109" t="s">
        <v>201</v>
      </c>
      <c r="G35" s="109" t="s">
        <v>120</v>
      </c>
      <c r="H35" s="490">
        <v>2</v>
      </c>
      <c r="J35" s="488">
        <f>INDEX('Volume adjustments'!$J$571:$Y$611,J$17 + 1 + $H35*$H$39, J$15)</f>
        <v>27775.710046862965</v>
      </c>
      <c r="K35" s="488">
        <f>INDEX('Volume adjustments'!$J$571:$Y$611,K$17 + 1 + $H35*$H$39, K$15)</f>
        <v>0</v>
      </c>
      <c r="L35" s="488">
        <f>INDEX('Volume adjustments'!$J$571:$Y$611,L$17 + 1 + $H35*$H$39, L$15)</f>
        <v>0</v>
      </c>
      <c r="M35" s="488">
        <f>INDEX('Volume adjustments'!$J$571:$Y$611,M$17 + 1 + $H35*$H$39, M$15)</f>
        <v>36.921677671108576</v>
      </c>
      <c r="N35" s="488">
        <f>INDEX('Volume adjustments'!$J$571:$Y$611,N$17 + 1 + $H35*$H$39, N$15)</f>
        <v>162.76363816488958</v>
      </c>
      <c r="O35" s="488">
        <f>INDEX('Volume adjustments'!$J$571:$Y$611,O$17 + 1 + $H35*$H$39, O$15)</f>
        <v>206.18875991125159</v>
      </c>
      <c r="P35" s="488">
        <f>INDEX('Volume adjustments'!$J$571:$Y$611,P$17 + 1 + $H35*$H$39, P$15)</f>
        <v>704.37097085020366</v>
      </c>
      <c r="Q35" s="488">
        <f>INDEX('Volume adjustments'!$J$571:$Y$611,Q$17 + 1 + $H35*$H$39, Q$15)</f>
        <v>0</v>
      </c>
      <c r="R35" s="488">
        <f>INDEX('Volume adjustments'!$J$571:$Y$611,R$17 + 1 + $H35*$H$39, R$15)</f>
        <v>0</v>
      </c>
      <c r="S35" s="488">
        <f>INDEX('Volume adjustments'!$J$571:$Y$611,S$17 + 1 + $H35*$H$39, S$15)</f>
        <v>143.7306318763377</v>
      </c>
      <c r="T35" s="488">
        <f>INDEX('Volume adjustments'!$J$571:$Y$611,T$17 + 1 + $H35*$H$39, T$15)</f>
        <v>1487.9387004470868</v>
      </c>
      <c r="U35" s="488">
        <f>INDEX('Volume adjustments'!$J$571:$Y$611,U$17 + 1 + $H35*$H$39, U$15)</f>
        <v>859.11718598810933</v>
      </c>
      <c r="V35" s="488">
        <f>INDEX('Volume adjustments'!$J$571:$Y$611,V$17 + 1 + $H35*$H$39, V$15)</f>
        <v>666.9319092746731</v>
      </c>
      <c r="W35" s="488">
        <f>INDEX('Volume adjustments'!$J$571:$Y$611,W$17 + 1 + $H35*$H$39, W$15)</f>
        <v>0</v>
      </c>
      <c r="X35" s="488">
        <f>INDEX('Volume adjustments'!$J$571:$Y$611,X$17 + 1 + $H35*$H$39, X$15)</f>
        <v>0</v>
      </c>
      <c r="Y35" s="488">
        <f>INDEX('Volume adjustments'!$J$571:$Y$611,Y$17 + 1 + $H35*$H$39, Y$15)</f>
        <v>0</v>
      </c>
      <c r="Z35" s="488">
        <f>INDEX('Volume adjustments'!$J$571:$Y$611,Z$17 + 1 + $H35*$H$39, Z$15)</f>
        <v>0</v>
      </c>
      <c r="AA35" s="488">
        <f>INDEX('Volume adjustments'!$J$571:$Y$611,AA$17 + 1 + $H35*$H$39, AA$15)</f>
        <v>0</v>
      </c>
      <c r="AB35" s="488">
        <f>INDEX('Volume adjustments'!$J$571:$Y$611,AB$17 + 1 + $H35*$H$39, AB$15)</f>
        <v>0</v>
      </c>
      <c r="AC35" s="488">
        <f>INDEX('Volume adjustments'!$J$571:$Y$611,AC$17 + 1 + $H35*$H$39, AC$15)</f>
        <v>0</v>
      </c>
      <c r="AD35" s="488">
        <f>INDEX('Volume adjustments'!$J$571:$Y$611,AD$17 + 1 + $H35*$H$39, AD$15)</f>
        <v>0</v>
      </c>
      <c r="AE35" s="488">
        <f>INDEX('Volume adjustments'!$J$571:$Y$611,AE$17 + 1 + $H35*$H$39, AE$15)</f>
        <v>0</v>
      </c>
      <c r="AF35" s="488">
        <f>INDEX('Volume adjustments'!$J$571:$Y$611,AF$17 + 1 + $H35*$H$39, AF$15)</f>
        <v>0</v>
      </c>
      <c r="AG35" s="488">
        <f>INDEX('Volume adjustments'!$J$571:$Y$611,AG$17 + 1 + $H35*$H$39, AG$15)</f>
        <v>60.454134059674857</v>
      </c>
      <c r="AH35" s="488">
        <f>INDEX('Volume adjustments'!$J$571:$Y$611,AH$17 + 1 + $H35*$H$39, AH$15)</f>
        <v>0</v>
      </c>
      <c r="AI35" s="488">
        <f>INDEX('Volume adjustments'!$J$571:$Y$611,AI$17 + 1 + $H35*$H$39, AI$15)</f>
        <v>0</v>
      </c>
      <c r="AJ35" s="488">
        <f>INDEX('Volume adjustments'!$J$571:$Y$611,AJ$17 + 1 + $H35*$H$39, AJ$15)</f>
        <v>0</v>
      </c>
      <c r="AK35" s="488">
        <f>INDEX('Volume adjustments'!$J$571:$Y$611,AK$17 + 1 + $H35*$H$39, AK$15)</f>
        <v>0</v>
      </c>
      <c r="AL35" s="488">
        <f>INDEX('Volume adjustments'!$J$571:$Y$611,AL$17 + 1 + $H35*$H$39, AL$15)</f>
        <v>0</v>
      </c>
      <c r="AM35" s="488">
        <f>INDEX('Volume adjustments'!$J$571:$Y$611,AM$17 + 1 + $H35*$H$39, AM$15)</f>
        <v>0</v>
      </c>
      <c r="AN35" s="488">
        <f>INDEX('Volume adjustments'!$J$571:$Y$611,AN$17 + 1 + $H35*$H$39, AN$15)</f>
        <v>0</v>
      </c>
      <c r="AO35" s="488">
        <f>INDEX('Volume adjustments'!$J$571:$Y$611,AO$17 + 1 + $H35*$H$39, AO$15)</f>
        <v>0</v>
      </c>
    </row>
    <row r="36" spans="5:43" x14ac:dyDescent="0.25">
      <c r="E36" s="14"/>
      <c r="F36" s="109" t="s">
        <v>74</v>
      </c>
      <c r="G36" s="109" t="s">
        <v>74</v>
      </c>
      <c r="H36" s="490">
        <v>3</v>
      </c>
      <c r="J36" s="488">
        <f>INDEX('Volume adjustments'!$J$571:$Y$611,J$17 + 1 + $H36*$H$39, J$15)</f>
        <v>23151</v>
      </c>
      <c r="K36" s="488">
        <f>INDEX('Volume adjustments'!$J$571:$Y$611,K$17 + 1 + $H36*$H$39, K$15)</f>
        <v>0</v>
      </c>
      <c r="L36" s="488">
        <f>INDEX('Volume adjustments'!$J$571:$Y$611,L$17 + 1 + $H36*$H$39, L$15)</f>
        <v>0</v>
      </c>
      <c r="M36" s="488">
        <f>INDEX('Volume adjustments'!$J$571:$Y$611,M$17 + 1 + $H36*$H$39, M$15)</f>
        <v>12</v>
      </c>
      <c r="N36" s="488">
        <f>INDEX('Volume adjustments'!$J$571:$Y$611,N$17 + 1 + $H36*$H$39, N$15)</f>
        <v>55</v>
      </c>
      <c r="O36" s="488">
        <f>INDEX('Volume adjustments'!$J$571:$Y$611,O$17 + 1 + $H36*$H$39, O$15)</f>
        <v>69</v>
      </c>
      <c r="P36" s="488">
        <f>INDEX('Volume adjustments'!$J$571:$Y$611,P$17 + 1 + $H36*$H$39, P$15)</f>
        <v>237</v>
      </c>
      <c r="Q36" s="488">
        <f>INDEX('Volume adjustments'!$J$571:$Y$611,Q$17 + 1 + $H36*$H$39, Q$15)</f>
        <v>0</v>
      </c>
      <c r="R36" s="488">
        <f>INDEX('Volume adjustments'!$J$571:$Y$611,R$17 + 1 + $H36*$H$39, R$15)</f>
        <v>0</v>
      </c>
      <c r="S36" s="488">
        <f>INDEX('Volume adjustments'!$J$571:$Y$611,S$17 + 1 + $H36*$H$39, S$15)</f>
        <v>5</v>
      </c>
      <c r="T36" s="488">
        <f>INDEX('Volume adjustments'!$J$571:$Y$611,T$17 + 1 + $H36*$H$39, T$15)</f>
        <v>23</v>
      </c>
      <c r="U36" s="488">
        <f>INDEX('Volume adjustments'!$J$571:$Y$611,U$17 + 1 + $H36*$H$39, U$15)</f>
        <v>8</v>
      </c>
      <c r="V36" s="488">
        <f>INDEX('Volume adjustments'!$J$571:$Y$611,V$17 + 1 + $H36*$H$39, V$15)</f>
        <v>4</v>
      </c>
      <c r="W36" s="488">
        <f>INDEX('Volume adjustments'!$J$571:$Y$611,W$17 + 1 + $H36*$H$39, W$15)</f>
        <v>0</v>
      </c>
      <c r="X36" s="488">
        <f>INDEX('Volume adjustments'!$J$571:$Y$611,X$17 + 1 + $H36*$H$39, X$15)</f>
        <v>0</v>
      </c>
      <c r="Y36" s="488">
        <f>INDEX('Volume adjustments'!$J$571:$Y$611,Y$17 + 1 + $H36*$H$39, Y$15)</f>
        <v>0</v>
      </c>
      <c r="Z36" s="488">
        <f>INDEX('Volume adjustments'!$J$571:$Y$611,Z$17 + 1 + $H36*$H$39, Z$15)</f>
        <v>0</v>
      </c>
      <c r="AA36" s="488">
        <f>INDEX('Volume adjustments'!$J$571:$Y$611,AA$17 + 1 + $H36*$H$39, AA$15)</f>
        <v>0</v>
      </c>
      <c r="AB36" s="488">
        <f>INDEX('Volume adjustments'!$J$571:$Y$611,AB$17 + 1 + $H36*$H$39, AB$15)</f>
        <v>0</v>
      </c>
      <c r="AC36" s="488">
        <f>INDEX('Volume adjustments'!$J$571:$Y$611,AC$17 + 1 + $H36*$H$39, AC$15)</f>
        <v>0</v>
      </c>
      <c r="AD36" s="488">
        <f>INDEX('Volume adjustments'!$J$571:$Y$611,AD$17 + 1 + $H36*$H$39, AD$15)</f>
        <v>0</v>
      </c>
      <c r="AE36" s="488">
        <f>INDEX('Volume adjustments'!$J$571:$Y$611,AE$17 + 1 + $H36*$H$39, AE$15)</f>
        <v>0</v>
      </c>
      <c r="AF36" s="488">
        <f>INDEX('Volume adjustments'!$J$571:$Y$611,AF$17 + 1 + $H36*$H$39, AF$15)</f>
        <v>0</v>
      </c>
      <c r="AG36" s="488">
        <f>INDEX('Volume adjustments'!$J$571:$Y$611,AG$17 + 1 + $H36*$H$39, AG$15)</f>
        <v>14</v>
      </c>
      <c r="AH36" s="488">
        <f>INDEX('Volume adjustments'!$J$571:$Y$611,AH$17 + 1 + $H36*$H$39, AH$15)</f>
        <v>0</v>
      </c>
      <c r="AI36" s="488">
        <f>INDEX('Volume adjustments'!$J$571:$Y$611,AI$17 + 1 + $H36*$H$39, AI$15)</f>
        <v>0</v>
      </c>
      <c r="AJ36" s="488">
        <f>INDEX('Volume adjustments'!$J$571:$Y$611,AJ$17 + 1 + $H36*$H$39, AJ$15)</f>
        <v>0</v>
      </c>
      <c r="AK36" s="488">
        <f>INDEX('Volume adjustments'!$J$571:$Y$611,AK$17 + 1 + $H36*$H$39, AK$15)</f>
        <v>0</v>
      </c>
      <c r="AL36" s="488">
        <f>INDEX('Volume adjustments'!$J$571:$Y$611,AL$17 + 1 + $H36*$H$39, AL$15)</f>
        <v>0</v>
      </c>
      <c r="AM36" s="488">
        <f>INDEX('Volume adjustments'!$J$571:$Y$611,AM$17 + 1 + $H36*$H$39, AM$15)</f>
        <v>0</v>
      </c>
      <c r="AN36" s="488">
        <f>INDEX('Volume adjustments'!$J$571:$Y$611,AN$17 + 1 + $H36*$H$39, AN$15)</f>
        <v>0</v>
      </c>
      <c r="AO36" s="488">
        <f>INDEX('Volume adjustments'!$J$571:$Y$611,AO$17 + 1 + $H36*$H$39, AO$15)</f>
        <v>0</v>
      </c>
    </row>
    <row r="37" spans="5:43" x14ac:dyDescent="0.25">
      <c r="E37" s="14"/>
      <c r="F37" s="109" t="s">
        <v>202</v>
      </c>
      <c r="G37" s="109" t="s">
        <v>169</v>
      </c>
      <c r="H37" s="490">
        <v>4</v>
      </c>
      <c r="J37" s="488">
        <f>INDEX('Volume adjustments'!$J$571:$Y$611,J$17 + 1 + $H37*$H$39, J$15)</f>
        <v>0</v>
      </c>
      <c r="K37" s="488">
        <f>INDEX('Volume adjustments'!$J$571:$Y$611,K$17 + 1 + $H37*$H$39, K$15)</f>
        <v>0</v>
      </c>
      <c r="L37" s="488">
        <f>INDEX('Volume adjustments'!$J$571:$Y$611,L$17 + 1 + $H37*$H$39, L$15)</f>
        <v>0</v>
      </c>
      <c r="M37" s="488">
        <f>INDEX('Volume adjustments'!$J$571:$Y$611,M$17 + 1 + $H37*$H$39, M$15)</f>
        <v>0</v>
      </c>
      <c r="N37" s="488">
        <f>INDEX('Volume adjustments'!$J$571:$Y$611,N$17 + 1 + $H37*$H$39, N$15)</f>
        <v>0</v>
      </c>
      <c r="O37" s="488">
        <f>INDEX('Volume adjustments'!$J$571:$Y$611,O$17 + 1 + $H37*$H$39, O$15)</f>
        <v>0</v>
      </c>
      <c r="P37" s="488">
        <f>INDEX('Volume adjustments'!$J$571:$Y$611,P$17 + 1 + $H37*$H$39, P$15)</f>
        <v>0</v>
      </c>
      <c r="Q37" s="488">
        <f>INDEX('Volume adjustments'!$J$571:$Y$611,Q$17 + 1 + $H37*$H$39, Q$15)</f>
        <v>0</v>
      </c>
      <c r="R37" s="488">
        <f>INDEX('Volume adjustments'!$J$571:$Y$611,R$17 + 1 + $H37*$H$39, R$15)</f>
        <v>0</v>
      </c>
      <c r="S37" s="488">
        <f>INDEX('Volume adjustments'!$J$571:$Y$611,S$17 + 1 + $H37*$H$39, S$15)</f>
        <v>264</v>
      </c>
      <c r="T37" s="488">
        <f>INDEX('Volume adjustments'!$J$571:$Y$611,T$17 + 1 + $H37*$H$39, T$15)</f>
        <v>2733</v>
      </c>
      <c r="U37" s="488">
        <f>INDEX('Volume adjustments'!$J$571:$Y$611,U$17 + 1 + $H37*$H$39, U$15)</f>
        <v>1578</v>
      </c>
      <c r="V37" s="488">
        <f>INDEX('Volume adjustments'!$J$571:$Y$611,V$17 + 1 + $H37*$H$39, V$15)</f>
        <v>1225</v>
      </c>
      <c r="W37" s="488">
        <f>INDEX('Volume adjustments'!$J$571:$Y$611,W$17 + 1 + $H37*$H$39, W$15)</f>
        <v>0</v>
      </c>
      <c r="X37" s="488">
        <f>INDEX('Volume adjustments'!$J$571:$Y$611,X$17 + 1 + $H37*$H$39, X$15)</f>
        <v>0</v>
      </c>
      <c r="Y37" s="488">
        <f>INDEX('Volume adjustments'!$J$571:$Y$611,Y$17 + 1 + $H37*$H$39, Y$15)</f>
        <v>0</v>
      </c>
      <c r="Z37" s="488">
        <f>INDEX('Volume adjustments'!$J$571:$Y$611,Z$17 + 1 + $H37*$H$39, Z$15)</f>
        <v>0</v>
      </c>
      <c r="AA37" s="488">
        <f>INDEX('Volume adjustments'!$J$571:$Y$611,AA$17 + 1 + $H37*$H$39, AA$15)</f>
        <v>0</v>
      </c>
      <c r="AB37" s="488">
        <f>INDEX('Volume adjustments'!$J$571:$Y$611,AB$17 + 1 + $H37*$H$39, AB$15)</f>
        <v>0</v>
      </c>
      <c r="AC37" s="488">
        <f>INDEX('Volume adjustments'!$J$571:$Y$611,AC$17 + 1 + $H37*$H$39, AC$15)</f>
        <v>0</v>
      </c>
      <c r="AD37" s="488">
        <f>INDEX('Volume adjustments'!$J$571:$Y$611,AD$17 + 1 + $H37*$H$39, AD$15)</f>
        <v>0</v>
      </c>
      <c r="AE37" s="488">
        <f>INDEX('Volume adjustments'!$J$571:$Y$611,AE$17 + 1 + $H37*$H$39, AE$15)</f>
        <v>0</v>
      </c>
      <c r="AF37" s="488">
        <f>INDEX('Volume adjustments'!$J$571:$Y$611,AF$17 + 1 + $H37*$H$39, AF$15)</f>
        <v>0</v>
      </c>
      <c r="AG37" s="488">
        <f>INDEX('Volume adjustments'!$J$571:$Y$611,AG$17 + 1 + $H37*$H$39, AG$15)</f>
        <v>0</v>
      </c>
      <c r="AH37" s="488">
        <f>INDEX('Volume adjustments'!$J$571:$Y$611,AH$17 + 1 + $H37*$H$39, AH$15)</f>
        <v>0</v>
      </c>
      <c r="AI37" s="488">
        <f>INDEX('Volume adjustments'!$J$571:$Y$611,AI$17 + 1 + $H37*$H$39, AI$15)</f>
        <v>0</v>
      </c>
      <c r="AJ37" s="488">
        <f>INDEX('Volume adjustments'!$J$571:$Y$611,AJ$17 + 1 + $H37*$H$39, AJ$15)</f>
        <v>0</v>
      </c>
      <c r="AK37" s="488">
        <f>INDEX('Volume adjustments'!$J$571:$Y$611,AK$17 + 1 + $H37*$H$39, AK$15)</f>
        <v>0</v>
      </c>
      <c r="AL37" s="488">
        <f>INDEX('Volume adjustments'!$J$571:$Y$611,AL$17 + 1 + $H37*$H$39, AL$15)</f>
        <v>0</v>
      </c>
      <c r="AM37" s="488">
        <f>INDEX('Volume adjustments'!$J$571:$Y$611,AM$17 + 1 + $H37*$H$39, AM$15)</f>
        <v>0</v>
      </c>
      <c r="AN37" s="488">
        <f>INDEX('Volume adjustments'!$J$571:$Y$611,AN$17 + 1 + $H37*$H$39, AN$15)</f>
        <v>0</v>
      </c>
      <c r="AO37" s="488">
        <f>INDEX('Volume adjustments'!$J$571:$Y$611,AO$17 + 1 + $H37*$H$39, AO$15)</f>
        <v>0</v>
      </c>
    </row>
    <row r="38" spans="5:43" x14ac:dyDescent="0.25">
      <c r="E38" s="14"/>
      <c r="F38" s="109" t="s">
        <v>203</v>
      </c>
      <c r="G38" s="109" t="s">
        <v>169</v>
      </c>
      <c r="H38" s="490">
        <v>5</v>
      </c>
      <c r="J38" s="488">
        <f>INDEX('Volume adjustments'!$J$571:$Y$611,J$17 + 1 + $H38*$H$39, J$15)</f>
        <v>0</v>
      </c>
      <c r="K38" s="488">
        <f>INDEX('Volume adjustments'!$J$571:$Y$611,K$17 + 1 + $H38*$H$39, K$15)</f>
        <v>0</v>
      </c>
      <c r="L38" s="488">
        <f>INDEX('Volume adjustments'!$J$571:$Y$611,L$17 + 1 + $H38*$H$39, L$15)</f>
        <v>0</v>
      </c>
      <c r="M38" s="488">
        <f>INDEX('Volume adjustments'!$J$571:$Y$611,M$17 + 1 + $H38*$H$39, M$15)</f>
        <v>0</v>
      </c>
      <c r="N38" s="488">
        <f>INDEX('Volume adjustments'!$J$571:$Y$611,N$17 + 1 + $H38*$H$39, N$15)</f>
        <v>0</v>
      </c>
      <c r="O38" s="488">
        <f>INDEX('Volume adjustments'!$J$571:$Y$611,O$17 + 1 + $H38*$H$39, O$15)</f>
        <v>0</v>
      </c>
      <c r="P38" s="488">
        <f>INDEX('Volume adjustments'!$J$571:$Y$611,P$17 + 1 + $H38*$H$39, P$15)</f>
        <v>0</v>
      </c>
      <c r="Q38" s="488">
        <f>INDEX('Volume adjustments'!$J$571:$Y$611,Q$17 + 1 + $H38*$H$39, Q$15)</f>
        <v>0</v>
      </c>
      <c r="R38" s="488">
        <f>INDEX('Volume adjustments'!$J$571:$Y$611,R$17 + 1 + $H38*$H$39, R$15)</f>
        <v>0</v>
      </c>
      <c r="S38" s="488">
        <f>INDEX('Volume adjustments'!$J$571:$Y$611,S$17 + 1 + $H38*$H$39, S$15)</f>
        <v>0</v>
      </c>
      <c r="T38" s="488">
        <f>INDEX('Volume adjustments'!$J$571:$Y$611,T$17 + 1 + $H38*$H$39, T$15)</f>
        <v>0</v>
      </c>
      <c r="U38" s="488">
        <f>INDEX('Volume adjustments'!$J$571:$Y$611,U$17 + 1 + $H38*$H$39, U$15)</f>
        <v>0</v>
      </c>
      <c r="V38" s="488">
        <f>INDEX('Volume adjustments'!$J$571:$Y$611,V$17 + 1 + $H38*$H$39, V$15)</f>
        <v>0</v>
      </c>
      <c r="W38" s="488">
        <f>INDEX('Volume adjustments'!$J$571:$Y$611,W$17 + 1 + $H38*$H$39, W$15)</f>
        <v>0</v>
      </c>
      <c r="X38" s="488">
        <f>INDEX('Volume adjustments'!$J$571:$Y$611,X$17 + 1 + $H38*$H$39, X$15)</f>
        <v>0</v>
      </c>
      <c r="Y38" s="488">
        <f>INDEX('Volume adjustments'!$J$571:$Y$611,Y$17 + 1 + $H38*$H$39, Y$15)</f>
        <v>0</v>
      </c>
      <c r="Z38" s="488">
        <f>INDEX('Volume adjustments'!$J$571:$Y$611,Z$17 + 1 + $H38*$H$39, Z$15)</f>
        <v>0</v>
      </c>
      <c r="AA38" s="488">
        <f>INDEX('Volume adjustments'!$J$571:$Y$611,AA$17 + 1 + $H38*$H$39, AA$15)</f>
        <v>0</v>
      </c>
      <c r="AB38" s="488">
        <f>INDEX('Volume adjustments'!$J$571:$Y$611,AB$17 + 1 + $H38*$H$39, AB$15)</f>
        <v>0</v>
      </c>
      <c r="AC38" s="488">
        <f>INDEX('Volume adjustments'!$J$571:$Y$611,AC$17 + 1 + $H38*$H$39, AC$15)</f>
        <v>0</v>
      </c>
      <c r="AD38" s="488">
        <f>INDEX('Volume adjustments'!$J$571:$Y$611,AD$17 + 1 + $H38*$H$39, AD$15)</f>
        <v>0</v>
      </c>
      <c r="AE38" s="488">
        <f>INDEX('Volume adjustments'!$J$571:$Y$611,AE$17 + 1 + $H38*$H$39, AE$15)</f>
        <v>0</v>
      </c>
      <c r="AF38" s="488">
        <f>INDEX('Volume adjustments'!$J$571:$Y$611,AF$17 + 1 + $H38*$H$39, AF$15)</f>
        <v>0</v>
      </c>
      <c r="AG38" s="488">
        <f>INDEX('Volume adjustments'!$J$571:$Y$611,AG$17 + 1 + $H38*$H$39, AG$15)</f>
        <v>0</v>
      </c>
      <c r="AH38" s="488">
        <f>INDEX('Volume adjustments'!$J$571:$Y$611,AH$17 + 1 + $H38*$H$39, AH$15)</f>
        <v>0</v>
      </c>
      <c r="AI38" s="488">
        <f>INDEX('Volume adjustments'!$J$571:$Y$611,AI$17 + 1 + $H38*$H$39, AI$15)</f>
        <v>0</v>
      </c>
      <c r="AJ38" s="488">
        <f>INDEX('Volume adjustments'!$J$571:$Y$611,AJ$17 + 1 + $H38*$H$39, AJ$15)</f>
        <v>0</v>
      </c>
      <c r="AK38" s="488">
        <f>INDEX('Volume adjustments'!$J$571:$Y$611,AK$17 + 1 + $H38*$H$39, AK$15)</f>
        <v>0</v>
      </c>
      <c r="AL38" s="488">
        <f>INDEX('Volume adjustments'!$J$571:$Y$611,AL$17 + 1 + $H38*$H$39, AL$15)</f>
        <v>0</v>
      </c>
      <c r="AM38" s="488">
        <f>INDEX('Volume adjustments'!$J$571:$Y$611,AM$17 + 1 + $H38*$H$39, AM$15)</f>
        <v>0</v>
      </c>
      <c r="AN38" s="488">
        <f>INDEX('Volume adjustments'!$J$571:$Y$611,AN$17 + 1 + $H38*$H$39, AN$15)</f>
        <v>0</v>
      </c>
      <c r="AO38" s="488">
        <f>INDEX('Volume adjustments'!$J$571:$Y$611,AO$17 + 1 + $H38*$H$39, AO$15)</f>
        <v>0</v>
      </c>
    </row>
    <row r="39" spans="5:43" x14ac:dyDescent="0.25">
      <c r="E39" s="14"/>
      <c r="F39" s="36" t="s">
        <v>204</v>
      </c>
      <c r="G39" s="36" t="s">
        <v>170</v>
      </c>
      <c r="H39" s="456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12.011767862068968</v>
      </c>
      <c r="T39" s="284">
        <f>INDEX('Volume adjustments'!$J$571:$Y$611,T$17 + 1 + $H39*$H$39, T$15)</f>
        <v>124.3490968448276</v>
      </c>
      <c r="U39" s="284">
        <f>INDEX('Volume adjustments'!$J$571:$Y$611,U$17 + 1 + $H39*$H$39, U$15)</f>
        <v>71.797612448275856</v>
      </c>
      <c r="V39" s="284">
        <f>INDEX('Volume adjustments'!$J$571:$Y$611,V$17 + 1 + $H39*$H$39, V$15)</f>
        <v>55.736422844827587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4" customFormat="1" x14ac:dyDescent="0.25">
      <c r="E40" s="422"/>
      <c r="F40" s="376"/>
      <c r="G40" s="376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3"/>
      <c r="V40" s="423"/>
      <c r="W40" s="423"/>
      <c r="X40" s="423"/>
      <c r="Y40" s="423"/>
      <c r="Z40" s="423"/>
      <c r="AA40" s="423"/>
      <c r="AB40" s="423"/>
      <c r="AC40" s="423"/>
      <c r="AD40" s="423"/>
      <c r="AE40" s="423"/>
      <c r="AF40" s="423"/>
      <c r="AG40" s="423"/>
      <c r="AH40" s="423"/>
      <c r="AI40" s="423"/>
      <c r="AJ40" s="423"/>
      <c r="AK40" s="423"/>
      <c r="AL40" s="423"/>
      <c r="AM40" s="423"/>
      <c r="AN40" s="423"/>
      <c r="AO40" s="423"/>
    </row>
    <row r="41" spans="5:43" x14ac:dyDescent="0.25">
      <c r="E41" s="96" t="s">
        <v>903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692</v>
      </c>
    </row>
    <row r="42" spans="5:43" x14ac:dyDescent="0.25">
      <c r="E42" s="96"/>
      <c r="F42" s="82" t="s">
        <v>1112</v>
      </c>
    </row>
    <row r="43" spans="5:43" x14ac:dyDescent="0.25">
      <c r="E43" s="96"/>
      <c r="F43" s="513" t="s">
        <v>1113</v>
      </c>
      <c r="G43" s="93"/>
    </row>
    <row r="44" spans="5:43" x14ac:dyDescent="0.25">
      <c r="E44" s="14"/>
      <c r="F44" s="109" t="s">
        <v>199</v>
      </c>
      <c r="G44" s="109" t="s">
        <v>120</v>
      </c>
      <c r="H44" s="455">
        <v>0</v>
      </c>
      <c r="I44" s="91"/>
      <c r="J44" s="283">
        <f>INDEX('Volume adjustments'!$J$615:$Y$655,J$17 + 1 + $H44*$H$50, J$15)</f>
        <v>11575.563194024691</v>
      </c>
      <c r="K44" s="283">
        <f>INDEX('Volume adjustments'!$J$615:$Y$655,K$17 + 1 + $H44*$H$50, K$15)</f>
        <v>0</v>
      </c>
      <c r="L44" s="283">
        <f>INDEX('Volume adjustments'!$J$615:$Y$655,L$17 + 1 + $H44*$H$50, L$15)</f>
        <v>0</v>
      </c>
      <c r="M44" s="283">
        <f>INDEX('Volume adjustments'!$J$615:$Y$655,M$17 + 1 + $H44*$H$50, M$15)</f>
        <v>28.385778382189841</v>
      </c>
      <c r="N44" s="283">
        <f>INDEX('Volume adjustments'!$J$615:$Y$655,N$17 + 1 + $H44*$H$50, N$15)</f>
        <v>125.13441568888412</v>
      </c>
      <c r="O44" s="283">
        <f>INDEX('Volume adjustments'!$J$615:$Y$655,O$17 + 1 + $H44*$H$50, O$15)</f>
        <v>158.52011102732766</v>
      </c>
      <c r="P44" s="283">
        <f>INDEX('Volume adjustments'!$J$615:$Y$655,P$17 + 1 + $H44*$H$50, P$15)</f>
        <v>541.5278919746188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4024.2458965719497</v>
      </c>
      <c r="T44" s="283">
        <f>INDEX('Volume adjustments'!$J$615:$Y$655,T$17 + 1 + $H44*$H$50, T$15)</f>
        <v>2430.0134934551165</v>
      </c>
      <c r="U44" s="283">
        <f>INDEX('Volume adjustments'!$J$615:$Y$655,U$17 + 1 + $H44*$H$50, U$15)</f>
        <v>288.384529573593</v>
      </c>
      <c r="V44" s="283">
        <f>INDEX('Volume adjustments'!$J$615:$Y$655,V$17 + 1 + $H44*$H$50, V$15)</f>
        <v>213.61817005451337</v>
      </c>
      <c r="W44" s="283">
        <f>INDEX('Volume adjustments'!$J$615:$Y$655,W$17 + 1 + $H44*$H$50, W$15)</f>
        <v>0</v>
      </c>
      <c r="X44" s="283">
        <f>INDEX('Volume adjustments'!$J$615:$Y$655,X$17 + 1 + $H44*$H$50, X$15)</f>
        <v>102.09339619095061</v>
      </c>
      <c r="Y44" s="283">
        <f>INDEX('Volume adjustments'!$J$615:$Y$655,Y$17 + 1 + $H44*$H$50, Y$15)</f>
        <v>1150.8614630290597</v>
      </c>
      <c r="Z44" s="283">
        <f>INDEX('Volume adjustments'!$J$615:$Y$655,Z$17 + 1 + $H44*$H$50, Z$15)</f>
        <v>157.55153733171392</v>
      </c>
      <c r="AA44" s="283">
        <f>INDEX('Volume adjustments'!$J$615:$Y$655,AA$17 + 1 + $H44*$H$50, AA$15)</f>
        <v>0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160.39226894387983</v>
      </c>
      <c r="AD44" s="283">
        <f>INDEX('Volume adjustments'!$J$615:$Y$655,AD$17 + 1 + $H44*$H$50, AD$15)</f>
        <v>733.7502414139301</v>
      </c>
      <c r="AE44" s="283">
        <f>INDEX('Volume adjustments'!$J$615:$Y$655,AE$17 + 1 + $H44*$H$50, AE$15)</f>
        <v>547.46438661656407</v>
      </c>
      <c r="AF44" s="283">
        <f>INDEX('Volume adjustments'!$J$615:$Y$655,AF$17 + 1 + $H44*$H$50, AF$15)</f>
        <v>680.63139957734995</v>
      </c>
      <c r="AG44" s="283">
        <f>INDEX('Volume adjustments'!$J$615:$Y$655,AG$17 + 1 + $H44*$H$50, AG$15)</f>
        <v>8.6509294967914947</v>
      </c>
      <c r="AH44" s="283">
        <f>INDEX('Volume adjustments'!$J$615:$Y$655,AH$17 + 1 + $H44*$H$50, AH$15)</f>
        <v>0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50.298000000000002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25">
      <c r="E45" s="14"/>
      <c r="F45" s="109" t="s">
        <v>200</v>
      </c>
      <c r="G45" s="109" t="s">
        <v>120</v>
      </c>
      <c r="H45" s="490">
        <v>1</v>
      </c>
      <c r="J45" s="488">
        <f>INDEX('Volume adjustments'!$J$615:$Y$655,J$17 + 1 + $H45*$H$50, J$15)</f>
        <v>41142.372442524007</v>
      </c>
      <c r="K45" s="488">
        <f>INDEX('Volume adjustments'!$J$615:$Y$655,K$17 + 1 + $H45*$H$50, K$15)</f>
        <v>0</v>
      </c>
      <c r="L45" s="488">
        <f>INDEX('Volume adjustments'!$J$615:$Y$655,L$17 + 1 + $H45*$H$50, L$15)</f>
        <v>0</v>
      </c>
      <c r="M45" s="488">
        <f>INDEX('Volume adjustments'!$J$615:$Y$655,M$17 + 1 + $H45*$H$50, M$15)</f>
        <v>149.09742335497364</v>
      </c>
      <c r="N45" s="488">
        <f>INDEX('Volume adjustments'!$J$615:$Y$655,N$17 + 1 + $H45*$H$50, N$15)</f>
        <v>657.27346634781577</v>
      </c>
      <c r="O45" s="488">
        <f>INDEX('Volume adjustments'!$J$615:$Y$655,O$17 + 1 + $H45*$H$50, O$15)</f>
        <v>832.63315121730921</v>
      </c>
      <c r="P45" s="488">
        <f>INDEX('Volume adjustments'!$J$615:$Y$655,P$17 + 1 + $H45*$H$50, P$15)</f>
        <v>2844.3966651598089</v>
      </c>
      <c r="Q45" s="488">
        <f>INDEX('Volume adjustments'!$J$615:$Y$655,Q$17 + 1 + $H45*$H$50, Q$15)</f>
        <v>0</v>
      </c>
      <c r="R45" s="488">
        <f>INDEX('Volume adjustments'!$J$615:$Y$655,R$17 + 1 + $H45*$H$50, R$15)</f>
        <v>0</v>
      </c>
      <c r="S45" s="488">
        <f>INDEX('Volume adjustments'!$J$615:$Y$655,S$17 + 1 + $H45*$H$50, S$15)</f>
        <v>17388.083455144802</v>
      </c>
      <c r="T45" s="488">
        <f>INDEX('Volume adjustments'!$J$615:$Y$655,T$17 + 1 + $H45*$H$50, T$15)</f>
        <v>10499.675841707125</v>
      </c>
      <c r="U45" s="488">
        <f>INDEX('Volume adjustments'!$J$615:$Y$655,U$17 + 1 + $H45*$H$50, U$15)</f>
        <v>1246.0606027255612</v>
      </c>
      <c r="V45" s="488">
        <f>INDEX('Volume adjustments'!$J$615:$Y$655,V$17 + 1 + $H45*$H$50, V$15)</f>
        <v>923.00785387078599</v>
      </c>
      <c r="W45" s="488">
        <f>INDEX('Volume adjustments'!$J$615:$Y$655,W$17 + 1 + $H45*$H$50, W$15)</f>
        <v>0</v>
      </c>
      <c r="X45" s="488">
        <f>INDEX('Volume adjustments'!$J$615:$Y$655,X$17 + 1 + $H45*$H$50, X$15)</f>
        <v>477.06649957759964</v>
      </c>
      <c r="Y45" s="488">
        <f>INDEX('Volume adjustments'!$J$615:$Y$655,Y$17 + 1 + $H45*$H$50, Y$15)</f>
        <v>5377.7959216787649</v>
      </c>
      <c r="Z45" s="488">
        <f>INDEX('Volume adjustments'!$J$615:$Y$655,Z$17 + 1 + $H45*$H$50, Z$15)</f>
        <v>736.2137339160488</v>
      </c>
      <c r="AA45" s="488">
        <f>INDEX('Volume adjustments'!$J$615:$Y$655,AA$17 + 1 + $H45*$H$50, AA$15)</f>
        <v>0</v>
      </c>
      <c r="AB45" s="488">
        <f>INDEX('Volume adjustments'!$J$615:$Y$655,AB$17 + 1 + $H45*$H$50, AB$15)</f>
        <v>0</v>
      </c>
      <c r="AC45" s="488">
        <f>INDEX('Volume adjustments'!$J$615:$Y$655,AC$17 + 1 + $H45*$H$50, AC$15)</f>
        <v>730.94570099748273</v>
      </c>
      <c r="AD45" s="488">
        <f>INDEX('Volume adjustments'!$J$615:$Y$655,AD$17 + 1 + $H45*$H$50, AD$15)</f>
        <v>3343.8742908178201</v>
      </c>
      <c r="AE45" s="488">
        <f>INDEX('Volume adjustments'!$J$615:$Y$655,AE$17 + 1 + $H45*$H$50, AE$15)</f>
        <v>2494.9253631832894</v>
      </c>
      <c r="AF45" s="488">
        <f>INDEX('Volume adjustments'!$J$615:$Y$655,AF$17 + 1 + $H45*$H$50, AF$15)</f>
        <v>3101.7991001738196</v>
      </c>
      <c r="AG45" s="488">
        <f>INDEX('Volume adjustments'!$J$615:$Y$655,AG$17 + 1 + $H45*$H$50, AG$15)</f>
        <v>108.36283197839724</v>
      </c>
      <c r="AH45" s="488">
        <f>INDEX('Volume adjustments'!$J$615:$Y$655,AH$17 + 1 + $H45*$H$50, AH$15)</f>
        <v>0</v>
      </c>
      <c r="AI45" s="488">
        <f>INDEX('Volume adjustments'!$J$615:$Y$655,AI$17 + 1 + $H45*$H$50, AI$15)</f>
        <v>0</v>
      </c>
      <c r="AJ45" s="488">
        <f>INDEX('Volume adjustments'!$J$615:$Y$655,AJ$17 + 1 + $H45*$H$50, AJ$15)</f>
        <v>0</v>
      </c>
      <c r="AK45" s="488">
        <f>INDEX('Volume adjustments'!$J$615:$Y$655,AK$17 + 1 + $H45*$H$50, AK$15)</f>
        <v>0</v>
      </c>
      <c r="AL45" s="488">
        <f>INDEX('Volume adjustments'!$J$615:$Y$655,AL$17 + 1 + $H45*$H$50, AL$15)</f>
        <v>0</v>
      </c>
      <c r="AM45" s="488">
        <f>INDEX('Volume adjustments'!$J$615:$Y$655,AM$17 + 1 + $H45*$H$50, AM$15)</f>
        <v>0</v>
      </c>
      <c r="AN45" s="488">
        <f>INDEX('Volume adjustments'!$J$615:$Y$655,AN$17 + 1 + $H45*$H$50, AN$15)</f>
        <v>0</v>
      </c>
      <c r="AO45" s="488">
        <f>INDEX('Volume adjustments'!$J$615:$Y$655,AO$17 + 1 + $H45*$H$50, AO$15)</f>
        <v>0</v>
      </c>
    </row>
    <row r="46" spans="5:43" x14ac:dyDescent="0.25">
      <c r="E46" s="14"/>
      <c r="F46" s="109" t="s">
        <v>201</v>
      </c>
      <c r="G46" s="109" t="s">
        <v>120</v>
      </c>
      <c r="H46" s="490">
        <v>2</v>
      </c>
      <c r="J46" s="488">
        <f>INDEX('Volume adjustments'!$J$615:$Y$655,J$17 + 1 + $H46*$H$50, J$15)</f>
        <v>38695.794593341067</v>
      </c>
      <c r="K46" s="488">
        <f>INDEX('Volume adjustments'!$J$615:$Y$655,K$17 + 1 + $H46*$H$50, K$15)</f>
        <v>0</v>
      </c>
      <c r="L46" s="488">
        <f>INDEX('Volume adjustments'!$J$615:$Y$655,L$17 + 1 + $H46*$H$50, L$15)</f>
        <v>0</v>
      </c>
      <c r="M46" s="488">
        <f>INDEX('Volume adjustments'!$J$615:$Y$655,M$17 + 1 + $H46*$H$50, M$15)</f>
        <v>144.76753584314579</v>
      </c>
      <c r="N46" s="488">
        <f>INDEX('Volume adjustments'!$J$615:$Y$655,N$17 + 1 + $H46*$H$50, N$15)</f>
        <v>638.18581137862441</v>
      </c>
      <c r="O46" s="488">
        <f>INDEX('Volume adjustments'!$J$615:$Y$655,O$17 + 1 + $H46*$H$50, O$15)</f>
        <v>808.4529353405643</v>
      </c>
      <c r="P46" s="488">
        <f>INDEX('Volume adjustments'!$J$615:$Y$655,P$17 + 1 + $H46*$H$50, P$15)</f>
        <v>2761.793509974234</v>
      </c>
      <c r="Q46" s="488">
        <f>INDEX('Volume adjustments'!$J$615:$Y$655,Q$17 + 1 + $H46*$H$50, Q$15)</f>
        <v>0</v>
      </c>
      <c r="R46" s="488">
        <f>INDEX('Volume adjustments'!$J$615:$Y$655,R$17 + 1 + $H46*$H$50, R$15)</f>
        <v>0</v>
      </c>
      <c r="S46" s="488">
        <f>INDEX('Volume adjustments'!$J$615:$Y$655,S$17 + 1 + $H46*$H$50, S$15)</f>
        <v>16116.968384823227</v>
      </c>
      <c r="T46" s="488">
        <f>INDEX('Volume adjustments'!$J$615:$Y$655,T$17 + 1 + $H46*$H$50, T$15)</f>
        <v>9732.1216583887599</v>
      </c>
      <c r="U46" s="488">
        <f>INDEX('Volume adjustments'!$J$615:$Y$655,U$17 + 1 + $H46*$H$50, U$15)</f>
        <v>1154.9702640609053</v>
      </c>
      <c r="V46" s="488">
        <f>INDEX('Volume adjustments'!$J$615:$Y$655,V$17 + 1 + $H46*$H$50, V$15)</f>
        <v>855.5335289340037</v>
      </c>
      <c r="W46" s="488">
        <f>INDEX('Volume adjustments'!$J$615:$Y$655,W$17 + 1 + $H46*$H$50, W$15)</f>
        <v>0</v>
      </c>
      <c r="X46" s="488">
        <f>INDEX('Volume adjustments'!$J$615:$Y$655,X$17 + 1 + $H46*$H$50, X$15)</f>
        <v>460.45030881905086</v>
      </c>
      <c r="Y46" s="488">
        <f>INDEX('Volume adjustments'!$J$615:$Y$655,Y$17 + 1 + $H46*$H$50, Y$15)</f>
        <v>5190.4876890229843</v>
      </c>
      <c r="Z46" s="488">
        <f>INDEX('Volume adjustments'!$J$615:$Y$655,Z$17 + 1 + $H46*$H$50, Z$15)</f>
        <v>710.57146422693029</v>
      </c>
      <c r="AA46" s="488">
        <f>INDEX('Volume adjustments'!$J$615:$Y$655,AA$17 + 1 + $H46*$H$50, AA$15)</f>
        <v>0</v>
      </c>
      <c r="AB46" s="488">
        <f>INDEX('Volume adjustments'!$J$615:$Y$655,AB$17 + 1 + $H46*$H$50, AB$15)</f>
        <v>0</v>
      </c>
      <c r="AC46" s="488">
        <f>INDEX('Volume adjustments'!$J$615:$Y$655,AC$17 + 1 + $H46*$H$50, AC$15)</f>
        <v>755.43069781871247</v>
      </c>
      <c r="AD46" s="488">
        <f>INDEX('Volume adjustments'!$J$615:$Y$655,AD$17 + 1 + $H46*$H$50, AD$15)</f>
        <v>3455.886374984314</v>
      </c>
      <c r="AE46" s="488">
        <f>INDEX('Volume adjustments'!$J$615:$Y$655,AE$17 + 1 + $H46*$H$50, AE$15)</f>
        <v>2578.4996143258641</v>
      </c>
      <c r="AF46" s="488">
        <f>INDEX('Volume adjustments'!$J$615:$Y$655,AF$17 + 1 + $H46*$H$50, AF$15)</f>
        <v>3205.7022232159393</v>
      </c>
      <c r="AG46" s="488">
        <f>INDEX('Volume adjustments'!$J$615:$Y$655,AG$17 + 1 + $H46*$H$50, AG$15)</f>
        <v>123.18908683710534</v>
      </c>
      <c r="AH46" s="488">
        <f>INDEX('Volume adjustments'!$J$615:$Y$655,AH$17 + 1 + $H46*$H$50, AH$15)</f>
        <v>0</v>
      </c>
      <c r="AI46" s="488">
        <f>INDEX('Volume adjustments'!$J$615:$Y$655,AI$17 + 1 + $H46*$H$50, AI$15)</f>
        <v>0</v>
      </c>
      <c r="AJ46" s="488">
        <f>INDEX('Volume adjustments'!$J$615:$Y$655,AJ$17 + 1 + $H46*$H$50, AJ$15)</f>
        <v>0</v>
      </c>
      <c r="AK46" s="488">
        <f>INDEX('Volume adjustments'!$J$615:$Y$655,AK$17 + 1 + $H46*$H$50, AK$15)</f>
        <v>0</v>
      </c>
      <c r="AL46" s="488">
        <f>INDEX('Volume adjustments'!$J$615:$Y$655,AL$17 + 1 + $H46*$H$50, AL$15)</f>
        <v>0</v>
      </c>
      <c r="AM46" s="488">
        <f>INDEX('Volume adjustments'!$J$615:$Y$655,AM$17 + 1 + $H46*$H$50, AM$15)</f>
        <v>0</v>
      </c>
      <c r="AN46" s="488">
        <f>INDEX('Volume adjustments'!$J$615:$Y$655,AN$17 + 1 + $H46*$H$50, AN$15)</f>
        <v>0</v>
      </c>
      <c r="AO46" s="488">
        <f>INDEX('Volume adjustments'!$J$615:$Y$655,AO$17 + 1 + $H46*$H$50, AO$15)</f>
        <v>0</v>
      </c>
    </row>
    <row r="47" spans="5:43" x14ac:dyDescent="0.25">
      <c r="E47" s="14"/>
      <c r="F47" s="109" t="s">
        <v>74</v>
      </c>
      <c r="G47" s="109" t="s">
        <v>74</v>
      </c>
      <c r="H47" s="490">
        <v>3</v>
      </c>
      <c r="J47" s="488">
        <f>INDEX('Volume adjustments'!$J$615:$Y$655,J$17 + 1 + $H47*$H$50, J$15)</f>
        <v>31794</v>
      </c>
      <c r="K47" s="488">
        <f>INDEX('Volume adjustments'!$J$615:$Y$655,K$17 + 1 + $H47*$H$50, K$15)</f>
        <v>0</v>
      </c>
      <c r="L47" s="488">
        <f>INDEX('Volume adjustments'!$J$615:$Y$655,L$17 + 1 + $H47*$H$50, L$15)</f>
        <v>0</v>
      </c>
      <c r="M47" s="488">
        <f>INDEX('Volume adjustments'!$J$615:$Y$655,M$17 + 1 + $H47*$H$50, M$15)</f>
        <v>22</v>
      </c>
      <c r="N47" s="488">
        <f>INDEX('Volume adjustments'!$J$615:$Y$655,N$17 + 1 + $H47*$H$50, N$15)</f>
        <v>97</v>
      </c>
      <c r="O47" s="488">
        <f>INDEX('Volume adjustments'!$J$615:$Y$655,O$17 + 1 + $H47*$H$50, O$15)</f>
        <v>123</v>
      </c>
      <c r="P47" s="488">
        <f>INDEX('Volume adjustments'!$J$615:$Y$655,P$17 + 1 + $H47*$H$50, P$15)</f>
        <v>420</v>
      </c>
      <c r="Q47" s="488">
        <f>INDEX('Volume adjustments'!$J$615:$Y$655,Q$17 + 1 + $H47*$H$50, Q$15)</f>
        <v>0</v>
      </c>
      <c r="R47" s="488">
        <f>INDEX('Volume adjustments'!$J$615:$Y$655,R$17 + 1 + $H47*$H$50, R$15)</f>
        <v>0</v>
      </c>
      <c r="S47" s="488">
        <f>INDEX('Volume adjustments'!$J$615:$Y$655,S$17 + 1 + $H47*$H$50, S$15)</f>
        <v>223</v>
      </c>
      <c r="T47" s="488">
        <f>INDEX('Volume adjustments'!$J$615:$Y$655,T$17 + 1 + $H47*$H$50, T$15)</f>
        <v>36</v>
      </c>
      <c r="U47" s="488">
        <f>INDEX('Volume adjustments'!$J$615:$Y$655,U$17 + 1 + $H47*$H$50, U$15)</f>
        <v>2</v>
      </c>
      <c r="V47" s="488">
        <f>INDEX('Volume adjustments'!$J$615:$Y$655,V$17 + 1 + $H47*$H$50, V$15)</f>
        <v>1</v>
      </c>
      <c r="W47" s="488">
        <f>INDEX('Volume adjustments'!$J$615:$Y$655,W$17 + 1 + $H47*$H$50, W$15)</f>
        <v>0</v>
      </c>
      <c r="X47" s="488">
        <f>INDEX('Volume adjustments'!$J$615:$Y$655,X$17 + 1 + $H47*$H$50, X$15)</f>
        <v>4</v>
      </c>
      <c r="Y47" s="488">
        <f>INDEX('Volume adjustments'!$J$615:$Y$655,Y$17 + 1 + $H47*$H$50, Y$15)</f>
        <v>16</v>
      </c>
      <c r="Z47" s="488">
        <f>INDEX('Volume adjustments'!$J$615:$Y$655,Z$17 + 1 + $H47*$H$50, Z$15)</f>
        <v>1</v>
      </c>
      <c r="AA47" s="488">
        <f>INDEX('Volume adjustments'!$J$615:$Y$655,AA$17 + 1 + $H47*$H$50, AA$15)</f>
        <v>0</v>
      </c>
      <c r="AB47" s="488">
        <f>INDEX('Volume adjustments'!$J$615:$Y$655,AB$17 + 1 + $H47*$H$50, AB$15)</f>
        <v>0</v>
      </c>
      <c r="AC47" s="488">
        <f>INDEX('Volume adjustments'!$J$615:$Y$655,AC$17 + 1 + $H47*$H$50, AC$15)</f>
        <v>4</v>
      </c>
      <c r="AD47" s="488">
        <f>INDEX('Volume adjustments'!$J$615:$Y$655,AD$17 + 1 + $H47*$H$50, AD$15)</f>
        <v>8</v>
      </c>
      <c r="AE47" s="488">
        <f>INDEX('Volume adjustments'!$J$615:$Y$655,AE$17 + 1 + $H47*$H$50, AE$15)</f>
        <v>3</v>
      </c>
      <c r="AF47" s="488">
        <f>INDEX('Volume adjustments'!$J$615:$Y$655,AF$17 + 1 + $H47*$H$50, AF$15)</f>
        <v>2</v>
      </c>
      <c r="AG47" s="488">
        <f>INDEX('Volume adjustments'!$J$615:$Y$655,AG$17 + 1 + $H47*$H$50, AG$15)</f>
        <v>59</v>
      </c>
      <c r="AH47" s="488">
        <f>INDEX('Volume adjustments'!$J$615:$Y$655,AH$17 + 1 + $H47*$H$50, AH$15)</f>
        <v>0</v>
      </c>
      <c r="AI47" s="488">
        <f>INDEX('Volume adjustments'!$J$615:$Y$655,AI$17 + 1 + $H47*$H$50, AI$15)</f>
        <v>0</v>
      </c>
      <c r="AJ47" s="488">
        <f>INDEX('Volume adjustments'!$J$615:$Y$655,AJ$17 + 1 + $H47*$H$50, AJ$15)</f>
        <v>1</v>
      </c>
      <c r="AK47" s="488">
        <f>INDEX('Volume adjustments'!$J$615:$Y$655,AK$17 + 1 + $H47*$H$50, AK$15)</f>
        <v>0</v>
      </c>
      <c r="AL47" s="488">
        <f>INDEX('Volume adjustments'!$J$615:$Y$655,AL$17 + 1 + $H47*$H$50, AL$15)</f>
        <v>0</v>
      </c>
      <c r="AM47" s="488">
        <f>INDEX('Volume adjustments'!$J$615:$Y$655,AM$17 + 1 + $H47*$H$50, AM$15)</f>
        <v>0</v>
      </c>
      <c r="AN47" s="488">
        <f>INDEX('Volume adjustments'!$J$615:$Y$655,AN$17 + 1 + $H47*$H$50, AN$15)</f>
        <v>0</v>
      </c>
      <c r="AO47" s="488">
        <f>INDEX('Volume adjustments'!$J$615:$Y$655,AO$17 + 1 + $H47*$H$50, AO$15)</f>
        <v>0</v>
      </c>
    </row>
    <row r="48" spans="5:43" x14ac:dyDescent="0.25">
      <c r="E48" s="14"/>
      <c r="F48" s="109" t="s">
        <v>202</v>
      </c>
      <c r="G48" s="109" t="s">
        <v>169</v>
      </c>
      <c r="H48" s="490">
        <v>4</v>
      </c>
      <c r="J48" s="488">
        <f>INDEX('Volume adjustments'!$J$615:$Y$655,J$17 + 1 + $H48*$H$50, J$15)</f>
        <v>0</v>
      </c>
      <c r="K48" s="488">
        <f>INDEX('Volume adjustments'!$J$615:$Y$655,K$17 + 1 + $H48*$H$50, K$15)</f>
        <v>0</v>
      </c>
      <c r="L48" s="488">
        <f>INDEX('Volume adjustments'!$J$615:$Y$655,L$17 + 1 + $H48*$H$50, L$15)</f>
        <v>0</v>
      </c>
      <c r="M48" s="488">
        <f>INDEX('Volume adjustments'!$J$615:$Y$655,M$17 + 1 + $H48*$H$50, M$15)</f>
        <v>0</v>
      </c>
      <c r="N48" s="488">
        <f>INDEX('Volume adjustments'!$J$615:$Y$655,N$17 + 1 + $H48*$H$50, N$15)</f>
        <v>0</v>
      </c>
      <c r="O48" s="488">
        <f>INDEX('Volume adjustments'!$J$615:$Y$655,O$17 + 1 + $H48*$H$50, O$15)</f>
        <v>0</v>
      </c>
      <c r="P48" s="488">
        <f>INDEX('Volume adjustments'!$J$615:$Y$655,P$17 + 1 + $H48*$H$50, P$15)</f>
        <v>0</v>
      </c>
      <c r="Q48" s="488">
        <f>INDEX('Volume adjustments'!$J$615:$Y$655,Q$17 + 1 + $H48*$H$50, Q$15)</f>
        <v>0</v>
      </c>
      <c r="R48" s="488">
        <f>INDEX('Volume adjustments'!$J$615:$Y$655,R$17 + 1 + $H48*$H$50, R$15)</f>
        <v>0</v>
      </c>
      <c r="S48" s="488">
        <f>INDEX('Volume adjustments'!$J$615:$Y$655,S$17 + 1 + $H48*$H$50, S$15)</f>
        <v>37677</v>
      </c>
      <c r="T48" s="488">
        <f>INDEX('Volume adjustments'!$J$615:$Y$655,T$17 + 1 + $H48*$H$50, T$15)</f>
        <v>22751</v>
      </c>
      <c r="U48" s="488">
        <f>INDEX('Volume adjustments'!$J$615:$Y$655,U$17 + 1 + $H48*$H$50, U$15)</f>
        <v>2700</v>
      </c>
      <c r="V48" s="488">
        <f>INDEX('Volume adjustments'!$J$615:$Y$655,V$17 + 1 + $H48*$H$50, V$15)</f>
        <v>2000</v>
      </c>
      <c r="W48" s="488">
        <f>INDEX('Volume adjustments'!$J$615:$Y$655,W$17 + 1 + $H48*$H$50, W$15)</f>
        <v>0</v>
      </c>
      <c r="X48" s="488">
        <f>INDEX('Volume adjustments'!$J$615:$Y$655,X$17 + 1 + $H48*$H$50, X$15)</f>
        <v>972</v>
      </c>
      <c r="Y48" s="488">
        <f>INDEX('Volume adjustments'!$J$615:$Y$655,Y$17 + 1 + $H48*$H$50, Y$15)</f>
        <v>10957</v>
      </c>
      <c r="Z48" s="488">
        <f>INDEX('Volume adjustments'!$J$615:$Y$655,Z$17 + 1 + $H48*$H$50, Z$15)</f>
        <v>1500</v>
      </c>
      <c r="AA48" s="488">
        <f>INDEX('Volume adjustments'!$J$615:$Y$655,AA$17 + 1 + $H48*$H$50, AA$15)</f>
        <v>0</v>
      </c>
      <c r="AB48" s="488">
        <f>INDEX('Volume adjustments'!$J$615:$Y$655,AB$17 + 1 + $H48*$H$50, AB$15)</f>
        <v>0</v>
      </c>
      <c r="AC48" s="488">
        <f>INDEX('Volume adjustments'!$J$615:$Y$655,AC$17 + 1 + $H48*$H$50, AC$15)</f>
        <v>1084</v>
      </c>
      <c r="AD48" s="488">
        <f>INDEX('Volume adjustments'!$J$615:$Y$655,AD$17 + 1 + $H48*$H$50, AD$15)</f>
        <v>4959</v>
      </c>
      <c r="AE48" s="488">
        <f>INDEX('Volume adjustments'!$J$615:$Y$655,AE$17 + 1 + $H48*$H$50, AE$15)</f>
        <v>3700</v>
      </c>
      <c r="AF48" s="488">
        <f>INDEX('Volume adjustments'!$J$615:$Y$655,AF$17 + 1 + $H48*$H$50, AF$15)</f>
        <v>4600</v>
      </c>
      <c r="AG48" s="488">
        <f>INDEX('Volume adjustments'!$J$615:$Y$655,AG$17 + 1 + $H48*$H$50, AG$15)</f>
        <v>0</v>
      </c>
      <c r="AH48" s="488">
        <f>INDEX('Volume adjustments'!$J$615:$Y$655,AH$17 + 1 + $H48*$H$50, AH$15)</f>
        <v>0</v>
      </c>
      <c r="AI48" s="488">
        <f>INDEX('Volume adjustments'!$J$615:$Y$655,AI$17 + 1 + $H48*$H$50, AI$15)</f>
        <v>0</v>
      </c>
      <c r="AJ48" s="488">
        <f>INDEX('Volume adjustments'!$J$615:$Y$655,AJ$17 + 1 + $H48*$H$50, AJ$15)</f>
        <v>0</v>
      </c>
      <c r="AK48" s="488">
        <f>INDEX('Volume adjustments'!$J$615:$Y$655,AK$17 + 1 + $H48*$H$50, AK$15)</f>
        <v>0</v>
      </c>
      <c r="AL48" s="488">
        <f>INDEX('Volume adjustments'!$J$615:$Y$655,AL$17 + 1 + $H48*$H$50, AL$15)</f>
        <v>0</v>
      </c>
      <c r="AM48" s="488">
        <f>INDEX('Volume adjustments'!$J$615:$Y$655,AM$17 + 1 + $H48*$H$50, AM$15)</f>
        <v>0</v>
      </c>
      <c r="AN48" s="488">
        <f>INDEX('Volume adjustments'!$J$615:$Y$655,AN$17 + 1 + $H48*$H$50, AN$15)</f>
        <v>0</v>
      </c>
      <c r="AO48" s="488">
        <f>INDEX('Volume adjustments'!$J$615:$Y$655,AO$17 + 1 + $H48*$H$50, AO$15)</f>
        <v>0</v>
      </c>
    </row>
    <row r="49" spans="3:43" x14ac:dyDescent="0.25">
      <c r="E49" s="14"/>
      <c r="F49" s="109" t="s">
        <v>203</v>
      </c>
      <c r="G49" s="109" t="s">
        <v>169</v>
      </c>
      <c r="H49" s="490">
        <v>5</v>
      </c>
      <c r="J49" s="488">
        <f>INDEX('Volume adjustments'!$J$615:$Y$655,J$17 + 1 + $H49*$H$50, J$15)</f>
        <v>0</v>
      </c>
      <c r="K49" s="488">
        <f>INDEX('Volume adjustments'!$J$615:$Y$655,K$17 + 1 + $H49*$H$50, K$15)</f>
        <v>0</v>
      </c>
      <c r="L49" s="488">
        <f>INDEX('Volume adjustments'!$J$615:$Y$655,L$17 + 1 + $H49*$H$50, L$15)</f>
        <v>0</v>
      </c>
      <c r="M49" s="488">
        <f>INDEX('Volume adjustments'!$J$615:$Y$655,M$17 + 1 + $H49*$H$50, M$15)</f>
        <v>0</v>
      </c>
      <c r="N49" s="488">
        <f>INDEX('Volume adjustments'!$J$615:$Y$655,N$17 + 1 + $H49*$H$50, N$15)</f>
        <v>0</v>
      </c>
      <c r="O49" s="488">
        <f>INDEX('Volume adjustments'!$J$615:$Y$655,O$17 + 1 + $H49*$H$50, O$15)</f>
        <v>0</v>
      </c>
      <c r="P49" s="488">
        <f>INDEX('Volume adjustments'!$J$615:$Y$655,P$17 + 1 + $H49*$H$50, P$15)</f>
        <v>0</v>
      </c>
      <c r="Q49" s="488">
        <f>INDEX('Volume adjustments'!$J$615:$Y$655,Q$17 + 1 + $H49*$H$50, Q$15)</f>
        <v>0</v>
      </c>
      <c r="R49" s="488">
        <f>INDEX('Volume adjustments'!$J$615:$Y$655,R$17 + 1 + $H49*$H$50, R$15)</f>
        <v>0</v>
      </c>
      <c r="S49" s="488">
        <f>INDEX('Volume adjustments'!$J$615:$Y$655,S$17 + 1 + $H49*$H$50, S$15)</f>
        <v>31.817881709863652</v>
      </c>
      <c r="T49" s="488">
        <f>INDEX('Volume adjustments'!$J$615:$Y$655,T$17 + 1 + $H49*$H$50, T$15)</f>
        <v>19.213011300822995</v>
      </c>
      <c r="U49" s="488">
        <f>INDEX('Volume adjustments'!$J$615:$Y$655,U$17 + 1 + $H49*$H$50, U$15)</f>
        <v>2.2801252917332024</v>
      </c>
      <c r="V49" s="488">
        <f>INDEX('Volume adjustments'!$J$615:$Y$655,V$17 + 1 + $H49*$H$50, V$15)</f>
        <v>1.6889816975801499</v>
      </c>
      <c r="W49" s="488">
        <f>INDEX('Volume adjustments'!$J$615:$Y$655,W$17 + 1 + $H49*$H$50, W$15)</f>
        <v>0</v>
      </c>
      <c r="X49" s="488">
        <f>INDEX('Volume adjustments'!$J$615:$Y$655,X$17 + 1 + $H49*$H$50, X$15)</f>
        <v>0</v>
      </c>
      <c r="Y49" s="488">
        <f>INDEX('Volume adjustments'!$J$615:$Y$655,Y$17 + 1 + $H49*$H$50, Y$15)</f>
        <v>0</v>
      </c>
      <c r="Z49" s="488">
        <f>INDEX('Volume adjustments'!$J$615:$Y$655,Z$17 + 1 + $H49*$H$50, Z$15)</f>
        <v>0</v>
      </c>
      <c r="AA49" s="488">
        <f>INDEX('Volume adjustments'!$J$615:$Y$655,AA$17 + 1 + $H49*$H$50, AA$15)</f>
        <v>0</v>
      </c>
      <c r="AB49" s="488">
        <f>INDEX('Volume adjustments'!$J$615:$Y$655,AB$17 + 1 + $H49*$H$50, AB$15)</f>
        <v>0</v>
      </c>
      <c r="AC49" s="488">
        <f>INDEX('Volume adjustments'!$J$615:$Y$655,AC$17 + 1 + $H49*$H$50, AC$15)</f>
        <v>0.61091356991796231</v>
      </c>
      <c r="AD49" s="488">
        <f>INDEX('Volume adjustments'!$J$615:$Y$655,AD$17 + 1 + $H49*$H$50, AD$15)</f>
        <v>2.7947605103534827</v>
      </c>
      <c r="AE49" s="488">
        <f>INDEX('Volume adjustments'!$J$615:$Y$655,AE$17 + 1 + $H49*$H$50, AE$15)</f>
        <v>2.085221594738432</v>
      </c>
      <c r="AF49" s="488">
        <f>INDEX('Volume adjustments'!$J$615:$Y$655,AF$17 + 1 + $H49*$H$50, AF$15)</f>
        <v>2.5924376583234565</v>
      </c>
      <c r="AG49" s="488">
        <f>INDEX('Volume adjustments'!$J$615:$Y$655,AG$17 + 1 + $H49*$H$50, AG$15)</f>
        <v>0</v>
      </c>
      <c r="AH49" s="488">
        <f>INDEX('Volume adjustments'!$J$615:$Y$655,AH$17 + 1 + $H49*$H$50, AH$15)</f>
        <v>0</v>
      </c>
      <c r="AI49" s="488">
        <f>INDEX('Volume adjustments'!$J$615:$Y$655,AI$17 + 1 + $H49*$H$50, AI$15)</f>
        <v>0</v>
      </c>
      <c r="AJ49" s="488">
        <f>INDEX('Volume adjustments'!$J$615:$Y$655,AJ$17 + 1 + $H49*$H$50, AJ$15)</f>
        <v>0</v>
      </c>
      <c r="AK49" s="488">
        <f>INDEX('Volume adjustments'!$J$615:$Y$655,AK$17 + 1 + $H49*$H$50, AK$15)</f>
        <v>0</v>
      </c>
      <c r="AL49" s="488">
        <f>INDEX('Volume adjustments'!$J$615:$Y$655,AL$17 + 1 + $H49*$H$50, AL$15)</f>
        <v>0</v>
      </c>
      <c r="AM49" s="488">
        <f>INDEX('Volume adjustments'!$J$615:$Y$655,AM$17 + 1 + $H49*$H$50, AM$15)</f>
        <v>0</v>
      </c>
      <c r="AN49" s="488">
        <f>INDEX('Volume adjustments'!$J$615:$Y$655,AN$17 + 1 + $H49*$H$50, AN$15)</f>
        <v>0</v>
      </c>
      <c r="AO49" s="488">
        <f>INDEX('Volume adjustments'!$J$615:$Y$655,AO$17 + 1 + $H49*$H$50, AO$15)</f>
        <v>0</v>
      </c>
    </row>
    <row r="50" spans="3:43" x14ac:dyDescent="0.25">
      <c r="E50" s="14"/>
      <c r="F50" s="36" t="s">
        <v>204</v>
      </c>
      <c r="G50" s="36" t="s">
        <v>170</v>
      </c>
      <c r="H50" s="456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2579.3713654173321</v>
      </c>
      <c r="T50" s="284">
        <f>INDEX('Volume adjustments'!$J$615:$Y$655,T$17 + 1 + $H50*$H$50, T$15)</f>
        <v>1557.5358424134015</v>
      </c>
      <c r="U50" s="284">
        <f>INDEX('Volume adjustments'!$J$615:$Y$655,U$17 + 1 + $H50*$H$50, U$15)</f>
        <v>184.8422827355362</v>
      </c>
      <c r="V50" s="284">
        <f>INDEX('Volume adjustments'!$J$615:$Y$655,V$17 + 1 + $H50*$H$50, V$15)</f>
        <v>136.92020943373052</v>
      </c>
      <c r="W50" s="284">
        <f>INDEX('Volume adjustments'!$J$615:$Y$655,W$17 + 1 + $H50*$H$50, W$15)</f>
        <v>0</v>
      </c>
      <c r="X50" s="284">
        <f>INDEX('Volume adjustments'!$J$615:$Y$655,X$17 + 1 + $H50*$H$50, X$15)</f>
        <v>257.47357870280734</v>
      </c>
      <c r="Y50" s="284">
        <f>INDEX('Volume adjustments'!$J$615:$Y$655,Y$17 + 1 + $H50*$H$50, Y$15)</f>
        <v>2902.4053516940949</v>
      </c>
      <c r="Z50" s="284">
        <f>INDEX('Volume adjustments'!$J$615:$Y$655,Z$17 + 1 + $H50*$H$50, Z$15)</f>
        <v>397.33576960309773</v>
      </c>
      <c r="AA50" s="284">
        <f>INDEX('Volume adjustments'!$J$615:$Y$655,AA$17 + 1 + $H50*$H$50, AA$15)</f>
        <v>0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25.730190699295822</v>
      </c>
      <c r="AD50" s="284">
        <f>INDEX('Volume adjustments'!$J$615:$Y$655,AD$17 + 1 + $H50*$H$50, AD$15)</f>
        <v>117.70850154779335</v>
      </c>
      <c r="AE50" s="284">
        <f>INDEX('Volume adjustments'!$J$615:$Y$655,AE$17 + 1 + $H50*$H$50, AE$15)</f>
        <v>87.824451648887944</v>
      </c>
      <c r="AF50" s="284">
        <f>INDEX('Volume adjustments'!$J$615:$Y$655,AF$17 + 1 + $H50*$H$50, AF$15)</f>
        <v>109.18715610402288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36.967100000000002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2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25">
      <c r="C52" s="7" t="str">
        <f ca="1">INDEX('Version control'!$H$34:$H$60,MATCH($A$1,'Version control'!$F$34:$F$60,0),1)&amp;"-B: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2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25">
      <c r="E54" s="96" t="s">
        <v>777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700</v>
      </c>
    </row>
    <row r="55" spans="3:43" x14ac:dyDescent="0.25">
      <c r="F55" s="91" t="s">
        <v>134</v>
      </c>
      <c r="G55" s="129" t="s">
        <v>183</v>
      </c>
      <c r="H55" s="357"/>
      <c r="I55" s="346"/>
      <c r="J55" s="357">
        <f>Rounding!J150</f>
        <v>10.771000000000001</v>
      </c>
      <c r="K55" s="357">
        <f>Rounding!K150</f>
        <v>10.771000000000001</v>
      </c>
      <c r="L55" s="357">
        <f>Rounding!L150</f>
        <v>13.135999999999999</v>
      </c>
      <c r="M55" s="357">
        <f>Rounding!M150</f>
        <v>13.135999999999999</v>
      </c>
      <c r="N55" s="357">
        <f>Rounding!N150</f>
        <v>13.135999999999999</v>
      </c>
      <c r="O55" s="357">
        <f>Rounding!O150</f>
        <v>13.135999999999999</v>
      </c>
      <c r="P55" s="357">
        <f>Rounding!P150</f>
        <v>13.135999999999999</v>
      </c>
      <c r="Q55" s="357">
        <f>Rounding!Q150</f>
        <v>13.135999999999999</v>
      </c>
      <c r="R55" s="357">
        <f>Rounding!R150</f>
        <v>8.6780000000000008</v>
      </c>
      <c r="S55" s="357">
        <f>Rounding!S150</f>
        <v>8.6780000000000008</v>
      </c>
      <c r="T55" s="357">
        <f>Rounding!T150</f>
        <v>8.6780000000000008</v>
      </c>
      <c r="U55" s="357">
        <f>Rounding!U150</f>
        <v>8.6780000000000008</v>
      </c>
      <c r="V55" s="357">
        <f>Rounding!V150</f>
        <v>8.6780000000000008</v>
      </c>
      <c r="W55" s="357">
        <f>Rounding!W150</f>
        <v>6.9480000000000004</v>
      </c>
      <c r="X55" s="357">
        <f>Rounding!X150</f>
        <v>6.9480000000000004</v>
      </c>
      <c r="Y55" s="357">
        <f>Rounding!Y150</f>
        <v>6.9480000000000004</v>
      </c>
      <c r="Z55" s="357">
        <f>Rounding!Z150</f>
        <v>6.9480000000000004</v>
      </c>
      <c r="AA55" s="357">
        <f>Rounding!AA150</f>
        <v>6.9480000000000004</v>
      </c>
      <c r="AB55" s="357">
        <f>Rounding!AB150</f>
        <v>5.2249999999999996</v>
      </c>
      <c r="AC55" s="357">
        <f>Rounding!AC150</f>
        <v>5.2249999999999996</v>
      </c>
      <c r="AD55" s="357">
        <f>Rounding!AD150</f>
        <v>5.2249999999999996</v>
      </c>
      <c r="AE55" s="357">
        <f>Rounding!AE150</f>
        <v>5.2249999999999996</v>
      </c>
      <c r="AF55" s="357">
        <f>Rounding!AF150</f>
        <v>5.2249999999999996</v>
      </c>
      <c r="AG55" s="357">
        <f>Rounding!AG150</f>
        <v>19.902000000000001</v>
      </c>
      <c r="AH55" s="357">
        <f>Rounding!AH150</f>
        <v>-8.0839999999999996</v>
      </c>
      <c r="AI55" s="357">
        <f>Rounding!AI150</f>
        <v>-7.3090000000000002</v>
      </c>
      <c r="AJ55" s="357">
        <f>Rounding!AJ150</f>
        <v>-8.0839999999999996</v>
      </c>
      <c r="AK55" s="357">
        <f>Rounding!AK150</f>
        <v>-8.0839999999999996</v>
      </c>
      <c r="AL55" s="357">
        <f>Rounding!AL150</f>
        <v>-7.3090000000000002</v>
      </c>
      <c r="AM55" s="357">
        <f>Rounding!AM150</f>
        <v>-7.3090000000000002</v>
      </c>
      <c r="AN55" s="357">
        <f>Rounding!AN150</f>
        <v>-5.3920000000000003</v>
      </c>
      <c r="AO55" s="357">
        <f>Rounding!AO150</f>
        <v>-5.3920000000000003</v>
      </c>
      <c r="AP55" s="348"/>
      <c r="AQ55" s="348"/>
    </row>
    <row r="56" spans="3:43" x14ac:dyDescent="0.25">
      <c r="E56" s="14"/>
      <c r="F56" s="293" t="s">
        <v>135</v>
      </c>
      <c r="G56" s="108" t="s">
        <v>183</v>
      </c>
      <c r="H56" s="415"/>
      <c r="I56" s="348"/>
      <c r="J56" s="415">
        <f>Rounding!J151</f>
        <v>1.9379999999999999</v>
      </c>
      <c r="K56" s="415">
        <f>Rounding!K151</f>
        <v>1.9379999999999999</v>
      </c>
      <c r="L56" s="415">
        <f>Rounding!L151</f>
        <v>2.363</v>
      </c>
      <c r="M56" s="415">
        <f>Rounding!M151</f>
        <v>2.363</v>
      </c>
      <c r="N56" s="415">
        <f>Rounding!N151</f>
        <v>2.363</v>
      </c>
      <c r="O56" s="415">
        <f>Rounding!O151</f>
        <v>2.363</v>
      </c>
      <c r="P56" s="415">
        <f>Rounding!P151</f>
        <v>2.363</v>
      </c>
      <c r="Q56" s="415">
        <f>Rounding!Q151</f>
        <v>2.363</v>
      </c>
      <c r="R56" s="415">
        <f>Rounding!R151</f>
        <v>1.4430000000000001</v>
      </c>
      <c r="S56" s="415">
        <f>Rounding!S151</f>
        <v>1.4430000000000001</v>
      </c>
      <c r="T56" s="415">
        <f>Rounding!T151</f>
        <v>1.4430000000000001</v>
      </c>
      <c r="U56" s="415">
        <f>Rounding!U151</f>
        <v>1.4430000000000001</v>
      </c>
      <c r="V56" s="415">
        <f>Rounding!V151</f>
        <v>1.4430000000000001</v>
      </c>
      <c r="W56" s="415">
        <f>Rounding!W151</f>
        <v>0.94499999999999995</v>
      </c>
      <c r="X56" s="415">
        <f>Rounding!X151</f>
        <v>0.94499999999999995</v>
      </c>
      <c r="Y56" s="415">
        <f>Rounding!Y151</f>
        <v>0.94499999999999995</v>
      </c>
      <c r="Z56" s="415">
        <f>Rounding!Z151</f>
        <v>0.94499999999999995</v>
      </c>
      <c r="AA56" s="415">
        <f>Rounding!AA151</f>
        <v>0.94499999999999995</v>
      </c>
      <c r="AB56" s="415">
        <f>Rounding!AB151</f>
        <v>0.624</v>
      </c>
      <c r="AC56" s="415">
        <f>Rounding!AC151</f>
        <v>0.624</v>
      </c>
      <c r="AD56" s="415">
        <f>Rounding!AD151</f>
        <v>0.624</v>
      </c>
      <c r="AE56" s="415">
        <f>Rounding!AE151</f>
        <v>0.624</v>
      </c>
      <c r="AF56" s="415">
        <f>Rounding!AF151</f>
        <v>0.624</v>
      </c>
      <c r="AG56" s="415">
        <f>Rounding!AG151</f>
        <v>4.077</v>
      </c>
      <c r="AH56" s="415">
        <f>Rounding!AH151</f>
        <v>-1.454</v>
      </c>
      <c r="AI56" s="415">
        <f>Rounding!AI151</f>
        <v>-1.2589999999999999</v>
      </c>
      <c r="AJ56" s="415">
        <f>Rounding!AJ151</f>
        <v>-1.454</v>
      </c>
      <c r="AK56" s="415">
        <f>Rounding!AK151</f>
        <v>-1.454</v>
      </c>
      <c r="AL56" s="415">
        <f>Rounding!AL151</f>
        <v>-1.2589999999999999</v>
      </c>
      <c r="AM56" s="415">
        <f>Rounding!AM151</f>
        <v>-1.2589999999999999</v>
      </c>
      <c r="AN56" s="415">
        <f>Rounding!AN151</f>
        <v>-0.70799999999999996</v>
      </c>
      <c r="AO56" s="415">
        <f>Rounding!AO151</f>
        <v>-0.70799999999999996</v>
      </c>
      <c r="AP56" s="348"/>
      <c r="AQ56" s="348"/>
    </row>
    <row r="57" spans="3:43" x14ac:dyDescent="0.25">
      <c r="E57" s="14"/>
      <c r="F57" s="293" t="s">
        <v>136</v>
      </c>
      <c r="G57" s="108" t="s">
        <v>183</v>
      </c>
      <c r="H57" s="415"/>
      <c r="I57" s="348"/>
      <c r="J57" s="415">
        <f>Rounding!J152</f>
        <v>0.215</v>
      </c>
      <c r="K57" s="415">
        <f>Rounding!K152</f>
        <v>0.215</v>
      </c>
      <c r="L57" s="415">
        <f>Rounding!L152</f>
        <v>0.26200000000000001</v>
      </c>
      <c r="M57" s="415">
        <f>Rounding!M152</f>
        <v>0.26200000000000001</v>
      </c>
      <c r="N57" s="415">
        <f>Rounding!N152</f>
        <v>0.26200000000000001</v>
      </c>
      <c r="O57" s="415">
        <f>Rounding!O152</f>
        <v>0.26200000000000001</v>
      </c>
      <c r="P57" s="415">
        <f>Rounding!P152</f>
        <v>0.26200000000000001</v>
      </c>
      <c r="Q57" s="415">
        <f>Rounding!Q152</f>
        <v>0.26200000000000001</v>
      </c>
      <c r="R57" s="415">
        <f>Rounding!R152</f>
        <v>0.16600000000000001</v>
      </c>
      <c r="S57" s="415">
        <f>Rounding!S152</f>
        <v>0.16600000000000001</v>
      </c>
      <c r="T57" s="415">
        <f>Rounding!T152</f>
        <v>0.16600000000000001</v>
      </c>
      <c r="U57" s="415">
        <f>Rounding!U152</f>
        <v>0.16600000000000001</v>
      </c>
      <c r="V57" s="415">
        <f>Rounding!V152</f>
        <v>0.16600000000000001</v>
      </c>
      <c r="W57" s="415">
        <f>Rounding!W152</f>
        <v>0.121</v>
      </c>
      <c r="X57" s="415">
        <f>Rounding!X152</f>
        <v>0.121</v>
      </c>
      <c r="Y57" s="415">
        <f>Rounding!Y152</f>
        <v>0.121</v>
      </c>
      <c r="Z57" s="415">
        <f>Rounding!Z152</f>
        <v>0.121</v>
      </c>
      <c r="AA57" s="415">
        <f>Rounding!AA152</f>
        <v>0.121</v>
      </c>
      <c r="AB57" s="415">
        <f>Rounding!AB152</f>
        <v>0.08</v>
      </c>
      <c r="AC57" s="415">
        <f>Rounding!AC152</f>
        <v>0.08</v>
      </c>
      <c r="AD57" s="415">
        <f>Rounding!AD152</f>
        <v>0.08</v>
      </c>
      <c r="AE57" s="415">
        <f>Rounding!AE152</f>
        <v>0.08</v>
      </c>
      <c r="AF57" s="415">
        <f>Rounding!AF152</f>
        <v>0.08</v>
      </c>
      <c r="AG57" s="415">
        <f>Rounding!AG152</f>
        <v>1.742</v>
      </c>
      <c r="AH57" s="415">
        <f>Rounding!AH152</f>
        <v>-0.161</v>
      </c>
      <c r="AI57" s="415">
        <f>Rounding!AI152</f>
        <v>-0.14199999999999999</v>
      </c>
      <c r="AJ57" s="415">
        <f>Rounding!AJ152</f>
        <v>-0.161</v>
      </c>
      <c r="AK57" s="415">
        <f>Rounding!AK152</f>
        <v>-0.161</v>
      </c>
      <c r="AL57" s="415">
        <f>Rounding!AL152</f>
        <v>-0.14199999999999999</v>
      </c>
      <c r="AM57" s="415">
        <f>Rounding!AM152</f>
        <v>-0.14199999999999999</v>
      </c>
      <c r="AN57" s="415">
        <f>Rounding!AN152</f>
        <v>-0.09</v>
      </c>
      <c r="AO57" s="415">
        <f>Rounding!AO152</f>
        <v>-0.09</v>
      </c>
      <c r="AP57" s="348"/>
      <c r="AQ57" s="348"/>
    </row>
    <row r="58" spans="3:43" x14ac:dyDescent="0.25">
      <c r="E58" s="14"/>
      <c r="F58" s="293" t="s">
        <v>254</v>
      </c>
      <c r="G58" s="108" t="s">
        <v>252</v>
      </c>
      <c r="H58" s="379"/>
      <c r="J58" s="273">
        <f>Rounding!J153</f>
        <v>15.64</v>
      </c>
      <c r="K58" s="273">
        <f>Rounding!K153</f>
        <v>0</v>
      </c>
      <c r="L58" s="273">
        <f>Rounding!L153</f>
        <v>5.28</v>
      </c>
      <c r="M58" s="273">
        <f>Rounding!M153</f>
        <v>9.35</v>
      </c>
      <c r="N58" s="273">
        <f>Rounding!N153</f>
        <v>27.31</v>
      </c>
      <c r="O58" s="273">
        <f>Rounding!O153</f>
        <v>59.86</v>
      </c>
      <c r="P58" s="273">
        <f>Rounding!P153</f>
        <v>181.33</v>
      </c>
      <c r="Q58" s="273">
        <f>Rounding!Q153</f>
        <v>0</v>
      </c>
      <c r="R58" s="273">
        <f>Rounding!R153</f>
        <v>20.84</v>
      </c>
      <c r="S58" s="273">
        <f>Rounding!S153</f>
        <v>286.75</v>
      </c>
      <c r="T58" s="273">
        <f>Rounding!T153</f>
        <v>632.52</v>
      </c>
      <c r="U58" s="273">
        <f>Rounding!U153</f>
        <v>1051.18</v>
      </c>
      <c r="V58" s="273">
        <f>Rounding!V153</f>
        <v>2265.75</v>
      </c>
      <c r="W58" s="273">
        <f>Rounding!W153</f>
        <v>7.4</v>
      </c>
      <c r="X58" s="273">
        <f>Rounding!X153</f>
        <v>273.31</v>
      </c>
      <c r="Y58" s="273">
        <f>Rounding!Y153</f>
        <v>619.08000000000004</v>
      </c>
      <c r="Z58" s="273">
        <f>Rounding!Z153</f>
        <v>1037.74</v>
      </c>
      <c r="AA58" s="273">
        <f>Rounding!AA153</f>
        <v>2252.31</v>
      </c>
      <c r="AB58" s="273">
        <f>Rounding!AB153</f>
        <v>111.08</v>
      </c>
      <c r="AC58" s="273">
        <f>Rounding!AC153</f>
        <v>1630.74</v>
      </c>
      <c r="AD58" s="273">
        <f>Rounding!AD153</f>
        <v>5763.83</v>
      </c>
      <c r="AE58" s="273">
        <f>Rounding!AE153</f>
        <v>11559.76</v>
      </c>
      <c r="AF58" s="273">
        <f>Rounding!AF153</f>
        <v>21623.96</v>
      </c>
      <c r="AG58" s="273">
        <f>Rounding!AG153</f>
        <v>0</v>
      </c>
      <c r="AH58" s="273">
        <f>Rounding!AH153</f>
        <v>0</v>
      </c>
      <c r="AI58" s="273">
        <f>Rounding!AI153</f>
        <v>0</v>
      </c>
      <c r="AJ58" s="273">
        <f>Rounding!AJ153</f>
        <v>0</v>
      </c>
      <c r="AK58" s="273">
        <f>Rounding!AK153</f>
        <v>0</v>
      </c>
      <c r="AL58" s="273">
        <f>Rounding!AL153</f>
        <v>0</v>
      </c>
      <c r="AM58" s="273">
        <f>Rounding!AM153</f>
        <v>0</v>
      </c>
      <c r="AN58" s="273">
        <f>Rounding!AN153</f>
        <v>81.06</v>
      </c>
      <c r="AO58" s="273">
        <f>Rounding!AO153</f>
        <v>81.06</v>
      </c>
    </row>
    <row r="59" spans="3:43" x14ac:dyDescent="0.25">
      <c r="E59" s="14"/>
      <c r="F59" s="293" t="s">
        <v>255</v>
      </c>
      <c r="G59" s="108" t="s">
        <v>251</v>
      </c>
      <c r="H59" s="379"/>
      <c r="J59" s="273">
        <f>Rounding!J154</f>
        <v>0</v>
      </c>
      <c r="K59" s="273">
        <f>Rounding!K154</f>
        <v>0</v>
      </c>
      <c r="L59" s="273">
        <f>Rounding!L154</f>
        <v>0</v>
      </c>
      <c r="M59" s="273">
        <f>Rounding!M154</f>
        <v>0</v>
      </c>
      <c r="N59" s="273">
        <f>Rounding!N154</f>
        <v>0</v>
      </c>
      <c r="O59" s="273">
        <f>Rounding!O154</f>
        <v>0</v>
      </c>
      <c r="P59" s="273">
        <f>Rounding!P154</f>
        <v>0</v>
      </c>
      <c r="Q59" s="273">
        <f>Rounding!Q154</f>
        <v>0</v>
      </c>
      <c r="R59" s="273">
        <f>Rounding!R154</f>
        <v>2.92</v>
      </c>
      <c r="S59" s="273">
        <f>Rounding!S154</f>
        <v>2.92</v>
      </c>
      <c r="T59" s="273">
        <f>Rounding!T154</f>
        <v>2.92</v>
      </c>
      <c r="U59" s="273">
        <f>Rounding!U154</f>
        <v>2.92</v>
      </c>
      <c r="V59" s="273">
        <f>Rounding!V154</f>
        <v>2.92</v>
      </c>
      <c r="W59" s="273">
        <f>Rounding!W154</f>
        <v>5.78</v>
      </c>
      <c r="X59" s="273">
        <f>Rounding!X154</f>
        <v>5.78</v>
      </c>
      <c r="Y59" s="273">
        <f>Rounding!Y154</f>
        <v>5.78</v>
      </c>
      <c r="Z59" s="273">
        <f>Rounding!Z154</f>
        <v>5.78</v>
      </c>
      <c r="AA59" s="273">
        <f>Rounding!AA154</f>
        <v>5.78</v>
      </c>
      <c r="AB59" s="273">
        <f>Rounding!AB154</f>
        <v>4.6100000000000003</v>
      </c>
      <c r="AC59" s="273">
        <f>Rounding!AC154</f>
        <v>4.6100000000000003</v>
      </c>
      <c r="AD59" s="273">
        <f>Rounding!AD154</f>
        <v>4.6100000000000003</v>
      </c>
      <c r="AE59" s="273">
        <f>Rounding!AE154</f>
        <v>4.6100000000000003</v>
      </c>
      <c r="AF59" s="273">
        <f>Rounding!AF154</f>
        <v>4.6100000000000003</v>
      </c>
      <c r="AG59" s="273">
        <f>Rounding!AG154</f>
        <v>0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25">
      <c r="E60" s="14"/>
      <c r="F60" s="293" t="s">
        <v>256</v>
      </c>
      <c r="G60" s="108" t="s">
        <v>251</v>
      </c>
      <c r="H60" s="379"/>
      <c r="J60" s="273">
        <f>Rounding!J155</f>
        <v>0</v>
      </c>
      <c r="K60" s="273">
        <f>Rounding!K155</f>
        <v>0</v>
      </c>
      <c r="L60" s="273">
        <f>Rounding!L155</f>
        <v>0</v>
      </c>
      <c r="M60" s="273">
        <f>Rounding!M155</f>
        <v>0</v>
      </c>
      <c r="N60" s="273">
        <f>Rounding!N155</f>
        <v>0</v>
      </c>
      <c r="O60" s="273">
        <f>Rounding!O155</f>
        <v>0</v>
      </c>
      <c r="P60" s="273">
        <f>Rounding!P155</f>
        <v>0</v>
      </c>
      <c r="Q60" s="273">
        <f>Rounding!Q155</f>
        <v>0</v>
      </c>
      <c r="R60" s="273">
        <f>Rounding!R155</f>
        <v>4.9800000000000004</v>
      </c>
      <c r="S60" s="273">
        <f>Rounding!S155</f>
        <v>4.9800000000000004</v>
      </c>
      <c r="T60" s="273">
        <f>Rounding!T155</f>
        <v>4.9800000000000004</v>
      </c>
      <c r="U60" s="273">
        <f>Rounding!U155</f>
        <v>4.9800000000000004</v>
      </c>
      <c r="V60" s="273">
        <f>Rounding!V155</f>
        <v>4.9800000000000004</v>
      </c>
      <c r="W60" s="273">
        <f>Rounding!W155</f>
        <v>7.82</v>
      </c>
      <c r="X60" s="273">
        <f>Rounding!X155</f>
        <v>7.82</v>
      </c>
      <c r="Y60" s="273">
        <f>Rounding!Y155</f>
        <v>7.82</v>
      </c>
      <c r="Z60" s="273">
        <f>Rounding!Z155</f>
        <v>7.82</v>
      </c>
      <c r="AA60" s="273">
        <f>Rounding!AA155</f>
        <v>7.82</v>
      </c>
      <c r="AB60" s="273">
        <f>Rounding!AB155</f>
        <v>7.28</v>
      </c>
      <c r="AC60" s="273">
        <f>Rounding!AC155</f>
        <v>7.28</v>
      </c>
      <c r="AD60" s="273">
        <f>Rounding!AD155</f>
        <v>7.28</v>
      </c>
      <c r="AE60" s="273">
        <f>Rounding!AE155</f>
        <v>7.28</v>
      </c>
      <c r="AF60" s="273">
        <f>Rounding!AF155</f>
        <v>7.28</v>
      </c>
      <c r="AG60" s="273">
        <f>Rounding!AG155</f>
        <v>0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25">
      <c r="E61" s="14"/>
      <c r="F61" s="93" t="s">
        <v>257</v>
      </c>
      <c r="G61" s="131" t="s">
        <v>258</v>
      </c>
      <c r="H61" s="360"/>
      <c r="I61" s="350"/>
      <c r="J61" s="360">
        <f>Rounding!J156</f>
        <v>0</v>
      </c>
      <c r="K61" s="360">
        <f>Rounding!K156</f>
        <v>0</v>
      </c>
      <c r="L61" s="360">
        <f>Rounding!L156</f>
        <v>0</v>
      </c>
      <c r="M61" s="360">
        <f>Rounding!M156</f>
        <v>0</v>
      </c>
      <c r="N61" s="360">
        <f>Rounding!N156</f>
        <v>0</v>
      </c>
      <c r="O61" s="360">
        <f>Rounding!O156</f>
        <v>0</v>
      </c>
      <c r="P61" s="360">
        <f>Rounding!P156</f>
        <v>0</v>
      </c>
      <c r="Q61" s="360">
        <f>Rounding!Q156</f>
        <v>0</v>
      </c>
      <c r="R61" s="360">
        <f>Rounding!R156</f>
        <v>0.435</v>
      </c>
      <c r="S61" s="360">
        <f>Rounding!S156</f>
        <v>0.435</v>
      </c>
      <c r="T61" s="360">
        <f>Rounding!T156</f>
        <v>0.435</v>
      </c>
      <c r="U61" s="360">
        <f>Rounding!U156</f>
        <v>0.435</v>
      </c>
      <c r="V61" s="360">
        <f>Rounding!V156</f>
        <v>0.435</v>
      </c>
      <c r="W61" s="360">
        <f>Rounding!W156</f>
        <v>0.28999999999999998</v>
      </c>
      <c r="X61" s="360">
        <f>Rounding!X156</f>
        <v>0.28999999999999998</v>
      </c>
      <c r="Y61" s="360">
        <f>Rounding!Y156</f>
        <v>0.28999999999999998</v>
      </c>
      <c r="Z61" s="360">
        <f>Rounding!Z156</f>
        <v>0.28999999999999998</v>
      </c>
      <c r="AA61" s="360">
        <f>Rounding!AA156</f>
        <v>0.28999999999999998</v>
      </c>
      <c r="AB61" s="360">
        <f>Rounding!AB156</f>
        <v>0.193</v>
      </c>
      <c r="AC61" s="360">
        <f>Rounding!AC156</f>
        <v>0.193</v>
      </c>
      <c r="AD61" s="360">
        <f>Rounding!AD156</f>
        <v>0.193</v>
      </c>
      <c r="AE61" s="360">
        <f>Rounding!AE156</f>
        <v>0.193</v>
      </c>
      <c r="AF61" s="360">
        <f>Rounding!AF156</f>
        <v>0.193</v>
      </c>
      <c r="AG61" s="360">
        <f>Rounding!AG156</f>
        <v>0</v>
      </c>
      <c r="AH61" s="360">
        <f>Rounding!AH156</f>
        <v>0</v>
      </c>
      <c r="AI61" s="360">
        <f>Rounding!AI156</f>
        <v>0</v>
      </c>
      <c r="AJ61" s="360">
        <f>Rounding!AJ156</f>
        <v>0.373</v>
      </c>
      <c r="AK61" s="360">
        <f>Rounding!AK156</f>
        <v>0</v>
      </c>
      <c r="AL61" s="360">
        <f>Rounding!AL156</f>
        <v>0.34399999999999997</v>
      </c>
      <c r="AM61" s="360">
        <f>Rounding!AM156</f>
        <v>0</v>
      </c>
      <c r="AN61" s="360">
        <f>Rounding!AN156</f>
        <v>0.26500000000000001</v>
      </c>
      <c r="AO61" s="360">
        <f>Rounding!AO156</f>
        <v>0</v>
      </c>
      <c r="AP61" s="348"/>
      <c r="AQ61" s="348"/>
    </row>
    <row r="62" spans="3:43" x14ac:dyDescent="0.2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25">
      <c r="E63" s="96" t="s">
        <v>778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700</v>
      </c>
    </row>
    <row r="64" spans="3:43" x14ac:dyDescent="0.25">
      <c r="F64" s="91" t="s">
        <v>134</v>
      </c>
      <c r="G64" s="129" t="s">
        <v>183</v>
      </c>
      <c r="H64" s="357"/>
      <c r="I64" s="346"/>
      <c r="J64" s="357">
        <f>Rounding!J159</f>
        <v>6.6820000000000004</v>
      </c>
      <c r="K64" s="357">
        <f>Rounding!K159</f>
        <v>6.6820000000000004</v>
      </c>
      <c r="L64" s="357">
        <f>Rounding!L159</f>
        <v>8.1489999999999991</v>
      </c>
      <c r="M64" s="357">
        <f>Rounding!M159</f>
        <v>8.1489999999999991</v>
      </c>
      <c r="N64" s="357">
        <f>Rounding!N159</f>
        <v>8.1489999999999991</v>
      </c>
      <c r="O64" s="357">
        <f>Rounding!O159</f>
        <v>8.1489999999999991</v>
      </c>
      <c r="P64" s="357">
        <f>Rounding!P159</f>
        <v>8.1489999999999991</v>
      </c>
      <c r="Q64" s="357">
        <f>Rounding!Q159</f>
        <v>8.1489999999999991</v>
      </c>
      <c r="R64" s="357">
        <f>Rounding!R159</f>
        <v>5.383</v>
      </c>
      <c r="S64" s="357">
        <f>Rounding!S159</f>
        <v>5.383</v>
      </c>
      <c r="T64" s="357">
        <f>Rounding!T159</f>
        <v>5.383</v>
      </c>
      <c r="U64" s="357">
        <f>Rounding!U159</f>
        <v>5.383</v>
      </c>
      <c r="V64" s="357">
        <f>Rounding!V159</f>
        <v>5.383</v>
      </c>
      <c r="W64" s="357">
        <f>Rounding!W159</f>
        <v>0</v>
      </c>
      <c r="X64" s="357">
        <f>Rounding!X159</f>
        <v>0</v>
      </c>
      <c r="Y64" s="357">
        <f>Rounding!Y159</f>
        <v>0</v>
      </c>
      <c r="Z64" s="357">
        <f>Rounding!Z159</f>
        <v>0</v>
      </c>
      <c r="AA64" s="357">
        <f>Rounding!AA159</f>
        <v>0</v>
      </c>
      <c r="AB64" s="357">
        <f>Rounding!AB159</f>
        <v>0</v>
      </c>
      <c r="AC64" s="357">
        <f>Rounding!AC159</f>
        <v>0</v>
      </c>
      <c r="AD64" s="357">
        <f>Rounding!AD159</f>
        <v>0</v>
      </c>
      <c r="AE64" s="357">
        <f>Rounding!AE159</f>
        <v>0</v>
      </c>
      <c r="AF64" s="357">
        <f>Rounding!AF159</f>
        <v>0</v>
      </c>
      <c r="AG64" s="357">
        <f>Rounding!AG159</f>
        <v>12.346</v>
      </c>
      <c r="AH64" s="357">
        <f>Rounding!AH159</f>
        <v>-8.0839999999999996</v>
      </c>
      <c r="AI64" s="357">
        <f>Rounding!AI159</f>
        <v>0</v>
      </c>
      <c r="AJ64" s="357">
        <f>Rounding!AJ159</f>
        <v>-8.0839999999999996</v>
      </c>
      <c r="AK64" s="357">
        <f>Rounding!AK159</f>
        <v>0</v>
      </c>
      <c r="AL64" s="357">
        <f>Rounding!AL159</f>
        <v>0</v>
      </c>
      <c r="AM64" s="357">
        <f>Rounding!AM159</f>
        <v>0</v>
      </c>
      <c r="AN64" s="357">
        <f>Rounding!AN159</f>
        <v>0</v>
      </c>
      <c r="AO64" s="357">
        <f>Rounding!AO159</f>
        <v>0</v>
      </c>
      <c r="AP64" s="348"/>
      <c r="AQ64" s="348"/>
    </row>
    <row r="65" spans="3:43" x14ac:dyDescent="0.25">
      <c r="E65" s="14"/>
      <c r="F65" s="293" t="s">
        <v>135</v>
      </c>
      <c r="G65" s="108" t="s">
        <v>183</v>
      </c>
      <c r="H65" s="415"/>
      <c r="I65" s="348"/>
      <c r="J65" s="415">
        <f>Rounding!J160</f>
        <v>1.202</v>
      </c>
      <c r="K65" s="415">
        <f>Rounding!K160</f>
        <v>1.202</v>
      </c>
      <c r="L65" s="415">
        <f>Rounding!L160</f>
        <v>1.466</v>
      </c>
      <c r="M65" s="415">
        <f>Rounding!M160</f>
        <v>1.466</v>
      </c>
      <c r="N65" s="415">
        <f>Rounding!N160</f>
        <v>1.466</v>
      </c>
      <c r="O65" s="415">
        <f>Rounding!O160</f>
        <v>1.466</v>
      </c>
      <c r="P65" s="415">
        <f>Rounding!P160</f>
        <v>1.466</v>
      </c>
      <c r="Q65" s="415">
        <f>Rounding!Q160</f>
        <v>1.466</v>
      </c>
      <c r="R65" s="415">
        <f>Rounding!R160</f>
        <v>0.89500000000000002</v>
      </c>
      <c r="S65" s="415">
        <f>Rounding!S160</f>
        <v>0.89500000000000002</v>
      </c>
      <c r="T65" s="415">
        <f>Rounding!T160</f>
        <v>0.89500000000000002</v>
      </c>
      <c r="U65" s="415">
        <f>Rounding!U160</f>
        <v>0.89500000000000002</v>
      </c>
      <c r="V65" s="415">
        <f>Rounding!V160</f>
        <v>0.89500000000000002</v>
      </c>
      <c r="W65" s="415">
        <f>Rounding!W160</f>
        <v>0</v>
      </c>
      <c r="X65" s="415">
        <f>Rounding!X160</f>
        <v>0</v>
      </c>
      <c r="Y65" s="415">
        <f>Rounding!Y160</f>
        <v>0</v>
      </c>
      <c r="Z65" s="415">
        <f>Rounding!Z160</f>
        <v>0</v>
      </c>
      <c r="AA65" s="415">
        <f>Rounding!AA160</f>
        <v>0</v>
      </c>
      <c r="AB65" s="415">
        <f>Rounding!AB160</f>
        <v>0</v>
      </c>
      <c r="AC65" s="415">
        <f>Rounding!AC160</f>
        <v>0</v>
      </c>
      <c r="AD65" s="415">
        <f>Rounding!AD160</f>
        <v>0</v>
      </c>
      <c r="AE65" s="415">
        <f>Rounding!AE160</f>
        <v>0</v>
      </c>
      <c r="AF65" s="415">
        <f>Rounding!AF160</f>
        <v>0</v>
      </c>
      <c r="AG65" s="415">
        <f>Rounding!AG160</f>
        <v>2.5289999999999999</v>
      </c>
      <c r="AH65" s="415">
        <f>Rounding!AH160</f>
        <v>-1.454</v>
      </c>
      <c r="AI65" s="415">
        <f>Rounding!AI160</f>
        <v>0</v>
      </c>
      <c r="AJ65" s="415">
        <f>Rounding!AJ160</f>
        <v>-1.454</v>
      </c>
      <c r="AK65" s="415">
        <f>Rounding!AK160</f>
        <v>0</v>
      </c>
      <c r="AL65" s="415">
        <f>Rounding!AL160</f>
        <v>0</v>
      </c>
      <c r="AM65" s="415">
        <f>Rounding!AM160</f>
        <v>0</v>
      </c>
      <c r="AN65" s="415">
        <f>Rounding!AN160</f>
        <v>0</v>
      </c>
      <c r="AO65" s="415">
        <f>Rounding!AO160</f>
        <v>0</v>
      </c>
      <c r="AP65" s="348"/>
      <c r="AQ65" s="348"/>
    </row>
    <row r="66" spans="3:43" x14ac:dyDescent="0.25">
      <c r="E66" s="14"/>
      <c r="F66" s="293" t="s">
        <v>136</v>
      </c>
      <c r="G66" s="108" t="s">
        <v>183</v>
      </c>
      <c r="H66" s="415"/>
      <c r="I66" s="348"/>
      <c r="J66" s="415">
        <f>Rounding!J161</f>
        <v>0.13300000000000001</v>
      </c>
      <c r="K66" s="415">
        <f>Rounding!K161</f>
        <v>0.13300000000000001</v>
      </c>
      <c r="L66" s="415">
        <f>Rounding!L161</f>
        <v>0.16200000000000001</v>
      </c>
      <c r="M66" s="415">
        <f>Rounding!M161</f>
        <v>0.16200000000000001</v>
      </c>
      <c r="N66" s="415">
        <f>Rounding!N161</f>
        <v>0.16200000000000001</v>
      </c>
      <c r="O66" s="415">
        <f>Rounding!O161</f>
        <v>0.16200000000000001</v>
      </c>
      <c r="P66" s="415">
        <f>Rounding!P161</f>
        <v>0.16200000000000001</v>
      </c>
      <c r="Q66" s="415">
        <f>Rounding!Q161</f>
        <v>0.16200000000000001</v>
      </c>
      <c r="R66" s="415">
        <f>Rounding!R161</f>
        <v>0.10299999999999999</v>
      </c>
      <c r="S66" s="415">
        <f>Rounding!S161</f>
        <v>0.10299999999999999</v>
      </c>
      <c r="T66" s="415">
        <f>Rounding!T161</f>
        <v>0.10299999999999999</v>
      </c>
      <c r="U66" s="415">
        <f>Rounding!U161</f>
        <v>0.10299999999999999</v>
      </c>
      <c r="V66" s="415">
        <f>Rounding!V161</f>
        <v>0.10299999999999999</v>
      </c>
      <c r="W66" s="415">
        <f>Rounding!W161</f>
        <v>0</v>
      </c>
      <c r="X66" s="415">
        <f>Rounding!X161</f>
        <v>0</v>
      </c>
      <c r="Y66" s="415">
        <f>Rounding!Y161</f>
        <v>0</v>
      </c>
      <c r="Z66" s="415">
        <f>Rounding!Z161</f>
        <v>0</v>
      </c>
      <c r="AA66" s="415">
        <f>Rounding!AA161</f>
        <v>0</v>
      </c>
      <c r="AB66" s="415">
        <f>Rounding!AB161</f>
        <v>0</v>
      </c>
      <c r="AC66" s="415">
        <f>Rounding!AC161</f>
        <v>0</v>
      </c>
      <c r="AD66" s="415">
        <f>Rounding!AD161</f>
        <v>0</v>
      </c>
      <c r="AE66" s="415">
        <f>Rounding!AE161</f>
        <v>0</v>
      </c>
      <c r="AF66" s="415">
        <f>Rounding!AF161</f>
        <v>0</v>
      </c>
      <c r="AG66" s="415">
        <f>Rounding!AG161</f>
        <v>1.08</v>
      </c>
      <c r="AH66" s="415">
        <f>Rounding!AH161</f>
        <v>-0.161</v>
      </c>
      <c r="AI66" s="415">
        <f>Rounding!AI161</f>
        <v>0</v>
      </c>
      <c r="AJ66" s="415">
        <f>Rounding!AJ161</f>
        <v>-0.161</v>
      </c>
      <c r="AK66" s="415">
        <f>Rounding!AK161</f>
        <v>0</v>
      </c>
      <c r="AL66" s="415">
        <f>Rounding!AL161</f>
        <v>0</v>
      </c>
      <c r="AM66" s="415">
        <f>Rounding!AM161</f>
        <v>0</v>
      </c>
      <c r="AN66" s="415">
        <f>Rounding!AN161</f>
        <v>0</v>
      </c>
      <c r="AO66" s="415">
        <f>Rounding!AO161</f>
        <v>0</v>
      </c>
      <c r="AP66" s="348"/>
      <c r="AQ66" s="348"/>
    </row>
    <row r="67" spans="3:43" x14ac:dyDescent="0.25">
      <c r="E67" s="14"/>
      <c r="F67" s="293" t="s">
        <v>254</v>
      </c>
      <c r="G67" s="108" t="s">
        <v>252</v>
      </c>
      <c r="H67" s="379"/>
      <c r="J67" s="273">
        <f>Rounding!J162</f>
        <v>9.76</v>
      </c>
      <c r="K67" s="273">
        <f>Rounding!K162</f>
        <v>0</v>
      </c>
      <c r="L67" s="273">
        <f>Rounding!L162</f>
        <v>3.3</v>
      </c>
      <c r="M67" s="273">
        <f>Rounding!M162</f>
        <v>5.83</v>
      </c>
      <c r="N67" s="273">
        <f>Rounding!N162</f>
        <v>16.97</v>
      </c>
      <c r="O67" s="273">
        <f>Rounding!O162</f>
        <v>37.159999999999997</v>
      </c>
      <c r="P67" s="273">
        <f>Rounding!P162</f>
        <v>112.51</v>
      </c>
      <c r="Q67" s="273">
        <f>Rounding!Q162</f>
        <v>0</v>
      </c>
      <c r="R67" s="273">
        <f>Rounding!R162</f>
        <v>12.95</v>
      </c>
      <c r="S67" s="273">
        <f>Rounding!S162</f>
        <v>177.91</v>
      </c>
      <c r="T67" s="273">
        <f>Rounding!T162</f>
        <v>392.4</v>
      </c>
      <c r="U67" s="273">
        <f>Rounding!U162</f>
        <v>652.12</v>
      </c>
      <c r="V67" s="273">
        <f>Rounding!V162</f>
        <v>1405.57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>
        <f>Rounding!AG162</f>
        <v>0</v>
      </c>
      <c r="AH67" s="273">
        <f>Rounding!AH162</f>
        <v>0</v>
      </c>
      <c r="AI67" s="273">
        <f>Rounding!AI162</f>
        <v>0</v>
      </c>
      <c r="AJ67" s="273">
        <f>Rounding!AJ162</f>
        <v>0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25">
      <c r="E68" s="14"/>
      <c r="F68" s="293" t="s">
        <v>255</v>
      </c>
      <c r="G68" s="108" t="s">
        <v>251</v>
      </c>
      <c r="H68" s="379"/>
      <c r="J68" s="273">
        <f>Rounding!J163</f>
        <v>0</v>
      </c>
      <c r="K68" s="273">
        <f>Rounding!K163</f>
        <v>0</v>
      </c>
      <c r="L68" s="273">
        <f>Rounding!L163</f>
        <v>0</v>
      </c>
      <c r="M68" s="273">
        <f>Rounding!M163</f>
        <v>0</v>
      </c>
      <c r="N68" s="273">
        <f>Rounding!N163</f>
        <v>0</v>
      </c>
      <c r="O68" s="273">
        <f>Rounding!O163</f>
        <v>0</v>
      </c>
      <c r="P68" s="273">
        <f>Rounding!P163</f>
        <v>0</v>
      </c>
      <c r="Q68" s="273">
        <f>Rounding!Q163</f>
        <v>0</v>
      </c>
      <c r="R68" s="273">
        <f>Rounding!R163</f>
        <v>1.81</v>
      </c>
      <c r="S68" s="273">
        <f>Rounding!S163</f>
        <v>1.81</v>
      </c>
      <c r="T68" s="273">
        <f>Rounding!T163</f>
        <v>1.81</v>
      </c>
      <c r="U68" s="273">
        <f>Rounding!U163</f>
        <v>1.81</v>
      </c>
      <c r="V68" s="273">
        <f>Rounding!V163</f>
        <v>1.81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>
        <f>Rounding!AG163</f>
        <v>0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25">
      <c r="E69" s="14"/>
      <c r="F69" s="293" t="s">
        <v>256</v>
      </c>
      <c r="G69" s="108" t="s">
        <v>251</v>
      </c>
      <c r="H69" s="379"/>
      <c r="J69" s="273">
        <f>Rounding!J164</f>
        <v>0</v>
      </c>
      <c r="K69" s="273">
        <f>Rounding!K164</f>
        <v>0</v>
      </c>
      <c r="L69" s="273">
        <f>Rounding!L164</f>
        <v>0</v>
      </c>
      <c r="M69" s="273">
        <f>Rounding!M164</f>
        <v>0</v>
      </c>
      <c r="N69" s="273">
        <f>Rounding!N164</f>
        <v>0</v>
      </c>
      <c r="O69" s="273">
        <f>Rounding!O164</f>
        <v>0</v>
      </c>
      <c r="P69" s="273">
        <f>Rounding!P164</f>
        <v>0</v>
      </c>
      <c r="Q69" s="273">
        <f>Rounding!Q164</f>
        <v>0</v>
      </c>
      <c r="R69" s="273">
        <f>Rounding!R164</f>
        <v>3.09</v>
      </c>
      <c r="S69" s="273">
        <f>Rounding!S164</f>
        <v>3.09</v>
      </c>
      <c r="T69" s="273">
        <f>Rounding!T164</f>
        <v>3.09</v>
      </c>
      <c r="U69" s="273">
        <f>Rounding!U164</f>
        <v>3.09</v>
      </c>
      <c r="V69" s="273">
        <f>Rounding!V164</f>
        <v>3.09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>
        <f>Rounding!AG164</f>
        <v>0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25">
      <c r="E70" s="14"/>
      <c r="F70" s="93" t="s">
        <v>257</v>
      </c>
      <c r="G70" s="131" t="s">
        <v>258</v>
      </c>
      <c r="H70" s="360"/>
      <c r="I70" s="350"/>
      <c r="J70" s="360">
        <f>Rounding!J165</f>
        <v>0</v>
      </c>
      <c r="K70" s="360">
        <f>Rounding!K165</f>
        <v>0</v>
      </c>
      <c r="L70" s="360">
        <f>Rounding!L165</f>
        <v>0</v>
      </c>
      <c r="M70" s="360">
        <f>Rounding!M165</f>
        <v>0</v>
      </c>
      <c r="N70" s="360">
        <f>Rounding!N165</f>
        <v>0</v>
      </c>
      <c r="O70" s="360">
        <f>Rounding!O165</f>
        <v>0</v>
      </c>
      <c r="P70" s="360">
        <f>Rounding!P165</f>
        <v>0</v>
      </c>
      <c r="Q70" s="360">
        <f>Rounding!Q165</f>
        <v>0</v>
      </c>
      <c r="R70" s="360">
        <f>Rounding!R165</f>
        <v>0.27</v>
      </c>
      <c r="S70" s="360">
        <f>Rounding!S165</f>
        <v>0.27</v>
      </c>
      <c r="T70" s="360">
        <f>Rounding!T165</f>
        <v>0.27</v>
      </c>
      <c r="U70" s="360">
        <f>Rounding!U165</f>
        <v>0.27</v>
      </c>
      <c r="V70" s="360">
        <f>Rounding!V165</f>
        <v>0.27</v>
      </c>
      <c r="W70" s="360">
        <f>Rounding!W165</f>
        <v>0</v>
      </c>
      <c r="X70" s="360">
        <f>Rounding!X165</f>
        <v>0</v>
      </c>
      <c r="Y70" s="360">
        <f>Rounding!Y165</f>
        <v>0</v>
      </c>
      <c r="Z70" s="360">
        <f>Rounding!Z165</f>
        <v>0</v>
      </c>
      <c r="AA70" s="360">
        <f>Rounding!AA165</f>
        <v>0</v>
      </c>
      <c r="AB70" s="360">
        <f>Rounding!AB165</f>
        <v>0</v>
      </c>
      <c r="AC70" s="360">
        <f>Rounding!AC165</f>
        <v>0</v>
      </c>
      <c r="AD70" s="360">
        <f>Rounding!AD165</f>
        <v>0</v>
      </c>
      <c r="AE70" s="360">
        <f>Rounding!AE165</f>
        <v>0</v>
      </c>
      <c r="AF70" s="360">
        <f>Rounding!AF165</f>
        <v>0</v>
      </c>
      <c r="AG70" s="360">
        <f>Rounding!AG165</f>
        <v>0</v>
      </c>
      <c r="AH70" s="360">
        <f>Rounding!AH165</f>
        <v>0</v>
      </c>
      <c r="AI70" s="360">
        <f>Rounding!AI165</f>
        <v>0</v>
      </c>
      <c r="AJ70" s="360">
        <f>Rounding!AJ165</f>
        <v>0.373</v>
      </c>
      <c r="AK70" s="360">
        <f>Rounding!AK165</f>
        <v>0</v>
      </c>
      <c r="AL70" s="360">
        <f>Rounding!AL165</f>
        <v>0</v>
      </c>
      <c r="AM70" s="360">
        <f>Rounding!AM165</f>
        <v>0</v>
      </c>
      <c r="AN70" s="360">
        <f>Rounding!AN165</f>
        <v>0</v>
      </c>
      <c r="AO70" s="360">
        <f>Rounding!AO165</f>
        <v>0</v>
      </c>
      <c r="AP70" s="348"/>
      <c r="AQ70" s="348"/>
    </row>
    <row r="71" spans="3:43" x14ac:dyDescent="0.2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25">
      <c r="E72" s="96" t="s">
        <v>779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700</v>
      </c>
    </row>
    <row r="73" spans="3:43" x14ac:dyDescent="0.25">
      <c r="C73" s="86"/>
      <c r="F73" s="91" t="s">
        <v>134</v>
      </c>
      <c r="G73" s="129" t="s">
        <v>183</v>
      </c>
      <c r="H73" s="357"/>
      <c r="I73" s="346"/>
      <c r="J73" s="357">
        <f>Rounding!J168</f>
        <v>4.8579999999999997</v>
      </c>
      <c r="K73" s="357">
        <f>Rounding!K168</f>
        <v>4.8579999999999997</v>
      </c>
      <c r="L73" s="357">
        <f>Rounding!L168</f>
        <v>5.9249999999999998</v>
      </c>
      <c r="M73" s="357">
        <f>Rounding!M168</f>
        <v>5.9249999999999998</v>
      </c>
      <c r="N73" s="357">
        <f>Rounding!N168</f>
        <v>5.9249999999999998</v>
      </c>
      <c r="O73" s="357">
        <f>Rounding!O168</f>
        <v>5.9249999999999998</v>
      </c>
      <c r="P73" s="357">
        <f>Rounding!P168</f>
        <v>5.9249999999999998</v>
      </c>
      <c r="Q73" s="357">
        <f>Rounding!Q168</f>
        <v>5.9249999999999998</v>
      </c>
      <c r="R73" s="357">
        <f>Rounding!R168</f>
        <v>3.9140000000000001</v>
      </c>
      <c r="S73" s="357">
        <f>Rounding!S168</f>
        <v>3.9140000000000001</v>
      </c>
      <c r="T73" s="357">
        <f>Rounding!T168</f>
        <v>3.9140000000000001</v>
      </c>
      <c r="U73" s="357">
        <f>Rounding!U168</f>
        <v>3.9140000000000001</v>
      </c>
      <c r="V73" s="357">
        <f>Rounding!V168</f>
        <v>3.9140000000000001</v>
      </c>
      <c r="W73" s="357">
        <f>Rounding!W168</f>
        <v>5.0629999999999997</v>
      </c>
      <c r="X73" s="357">
        <f>Rounding!X168</f>
        <v>5.0629999999999997</v>
      </c>
      <c r="Y73" s="357">
        <f>Rounding!Y168</f>
        <v>5.0629999999999997</v>
      </c>
      <c r="Z73" s="357">
        <f>Rounding!Z168</f>
        <v>5.0629999999999997</v>
      </c>
      <c r="AA73" s="357">
        <f>Rounding!AA168</f>
        <v>5.0629999999999997</v>
      </c>
      <c r="AB73" s="357">
        <f>Rounding!AB168</f>
        <v>4.3019999999999996</v>
      </c>
      <c r="AC73" s="357">
        <f>Rounding!AC168</f>
        <v>4.3019999999999996</v>
      </c>
      <c r="AD73" s="357">
        <f>Rounding!AD168</f>
        <v>4.3019999999999996</v>
      </c>
      <c r="AE73" s="357">
        <f>Rounding!AE168</f>
        <v>4.3019999999999996</v>
      </c>
      <c r="AF73" s="357">
        <f>Rounding!AF168</f>
        <v>4.3019999999999996</v>
      </c>
      <c r="AG73" s="357">
        <f>Rounding!AG168</f>
        <v>8.9770000000000003</v>
      </c>
      <c r="AH73" s="357">
        <f>Rounding!AH168</f>
        <v>-8.0839999999999996</v>
      </c>
      <c r="AI73" s="357">
        <f>Rounding!AI168</f>
        <v>-7.3090000000000002</v>
      </c>
      <c r="AJ73" s="357">
        <f>Rounding!AJ168</f>
        <v>-8.0839999999999996</v>
      </c>
      <c r="AK73" s="357">
        <f>Rounding!AK168</f>
        <v>0</v>
      </c>
      <c r="AL73" s="357">
        <f>Rounding!AL168</f>
        <v>-7.3090000000000002</v>
      </c>
      <c r="AM73" s="357">
        <f>Rounding!AM168</f>
        <v>0</v>
      </c>
      <c r="AN73" s="357">
        <f>Rounding!AN168</f>
        <v>-5.3920000000000003</v>
      </c>
      <c r="AO73" s="357">
        <f>Rounding!AO168</f>
        <v>0</v>
      </c>
      <c r="AP73" s="348"/>
      <c r="AQ73" s="348"/>
    </row>
    <row r="74" spans="3:43" x14ac:dyDescent="0.25">
      <c r="C74" s="86"/>
      <c r="F74" s="293" t="s">
        <v>135</v>
      </c>
      <c r="G74" s="108" t="s">
        <v>183</v>
      </c>
      <c r="H74" s="415"/>
      <c r="I74" s="348"/>
      <c r="J74" s="415">
        <f>Rounding!J169</f>
        <v>0.874</v>
      </c>
      <c r="K74" s="415">
        <f>Rounding!K169</f>
        <v>0.874</v>
      </c>
      <c r="L74" s="415">
        <f>Rounding!L169</f>
        <v>1.0660000000000001</v>
      </c>
      <c r="M74" s="415">
        <f>Rounding!M169</f>
        <v>1.0660000000000001</v>
      </c>
      <c r="N74" s="415">
        <f>Rounding!N169</f>
        <v>1.0660000000000001</v>
      </c>
      <c r="O74" s="415">
        <f>Rounding!O169</f>
        <v>1.0660000000000001</v>
      </c>
      <c r="P74" s="415">
        <f>Rounding!P169</f>
        <v>1.0660000000000001</v>
      </c>
      <c r="Q74" s="415">
        <f>Rounding!Q169</f>
        <v>1.0660000000000001</v>
      </c>
      <c r="R74" s="415">
        <f>Rounding!R169</f>
        <v>0.65100000000000002</v>
      </c>
      <c r="S74" s="415">
        <f>Rounding!S169</f>
        <v>0.65100000000000002</v>
      </c>
      <c r="T74" s="415">
        <f>Rounding!T169</f>
        <v>0.65100000000000002</v>
      </c>
      <c r="U74" s="415">
        <f>Rounding!U169</f>
        <v>0.65100000000000002</v>
      </c>
      <c r="V74" s="415">
        <f>Rounding!V169</f>
        <v>0.65100000000000002</v>
      </c>
      <c r="W74" s="415">
        <f>Rounding!W169</f>
        <v>0.68899999999999995</v>
      </c>
      <c r="X74" s="415">
        <f>Rounding!X169</f>
        <v>0.68899999999999995</v>
      </c>
      <c r="Y74" s="415">
        <f>Rounding!Y169</f>
        <v>0.68899999999999995</v>
      </c>
      <c r="Z74" s="415">
        <f>Rounding!Z169</f>
        <v>0.68899999999999995</v>
      </c>
      <c r="AA74" s="415">
        <f>Rounding!AA169</f>
        <v>0.68899999999999995</v>
      </c>
      <c r="AB74" s="415">
        <f>Rounding!AB169</f>
        <v>0.51400000000000001</v>
      </c>
      <c r="AC74" s="415">
        <f>Rounding!AC169</f>
        <v>0.51400000000000001</v>
      </c>
      <c r="AD74" s="415">
        <f>Rounding!AD169</f>
        <v>0.51400000000000001</v>
      </c>
      <c r="AE74" s="415">
        <f>Rounding!AE169</f>
        <v>0.51400000000000001</v>
      </c>
      <c r="AF74" s="415">
        <f>Rounding!AF169</f>
        <v>0.51400000000000001</v>
      </c>
      <c r="AG74" s="415">
        <f>Rounding!AG169</f>
        <v>1.839</v>
      </c>
      <c r="AH74" s="415">
        <f>Rounding!AH169</f>
        <v>-1.454</v>
      </c>
      <c r="AI74" s="415">
        <f>Rounding!AI169</f>
        <v>-1.2589999999999999</v>
      </c>
      <c r="AJ74" s="415">
        <f>Rounding!AJ169</f>
        <v>-1.454</v>
      </c>
      <c r="AK74" s="415">
        <f>Rounding!AK169</f>
        <v>0</v>
      </c>
      <c r="AL74" s="415">
        <f>Rounding!AL169</f>
        <v>-1.2589999999999999</v>
      </c>
      <c r="AM74" s="415">
        <f>Rounding!AM169</f>
        <v>0</v>
      </c>
      <c r="AN74" s="415">
        <f>Rounding!AN169</f>
        <v>-0.70799999999999996</v>
      </c>
      <c r="AO74" s="415">
        <f>Rounding!AO169</f>
        <v>0</v>
      </c>
      <c r="AP74" s="348"/>
      <c r="AQ74" s="348"/>
    </row>
    <row r="75" spans="3:43" x14ac:dyDescent="0.25">
      <c r="C75" s="86"/>
      <c r="F75" s="293" t="s">
        <v>136</v>
      </c>
      <c r="G75" s="108" t="s">
        <v>183</v>
      </c>
      <c r="H75" s="415"/>
      <c r="I75" s="348"/>
      <c r="J75" s="415">
        <f>Rounding!J170</f>
        <v>9.7000000000000003E-2</v>
      </c>
      <c r="K75" s="415">
        <f>Rounding!K170</f>
        <v>9.7000000000000003E-2</v>
      </c>
      <c r="L75" s="415">
        <f>Rounding!L170</f>
        <v>0.11799999999999999</v>
      </c>
      <c r="M75" s="415">
        <f>Rounding!M170</f>
        <v>0.11799999999999999</v>
      </c>
      <c r="N75" s="415">
        <f>Rounding!N170</f>
        <v>0.11799999999999999</v>
      </c>
      <c r="O75" s="415">
        <f>Rounding!O170</f>
        <v>0.11799999999999999</v>
      </c>
      <c r="P75" s="415">
        <f>Rounding!P170</f>
        <v>0.11799999999999999</v>
      </c>
      <c r="Q75" s="415">
        <f>Rounding!Q170</f>
        <v>0.11799999999999999</v>
      </c>
      <c r="R75" s="415">
        <f>Rounding!R170</f>
        <v>7.4999999999999997E-2</v>
      </c>
      <c r="S75" s="415">
        <f>Rounding!S170</f>
        <v>7.4999999999999997E-2</v>
      </c>
      <c r="T75" s="415">
        <f>Rounding!T170</f>
        <v>7.4999999999999997E-2</v>
      </c>
      <c r="U75" s="415">
        <f>Rounding!U170</f>
        <v>7.4999999999999997E-2</v>
      </c>
      <c r="V75" s="415">
        <f>Rounding!V170</f>
        <v>7.4999999999999997E-2</v>
      </c>
      <c r="W75" s="415">
        <f>Rounding!W170</f>
        <v>8.7999999999999995E-2</v>
      </c>
      <c r="X75" s="415">
        <f>Rounding!X170</f>
        <v>8.7999999999999995E-2</v>
      </c>
      <c r="Y75" s="415">
        <f>Rounding!Y170</f>
        <v>8.7999999999999995E-2</v>
      </c>
      <c r="Z75" s="415">
        <f>Rounding!Z170</f>
        <v>8.7999999999999995E-2</v>
      </c>
      <c r="AA75" s="415">
        <f>Rounding!AA170</f>
        <v>8.7999999999999995E-2</v>
      </c>
      <c r="AB75" s="415">
        <f>Rounding!AB170</f>
        <v>6.6000000000000003E-2</v>
      </c>
      <c r="AC75" s="415">
        <f>Rounding!AC170</f>
        <v>6.6000000000000003E-2</v>
      </c>
      <c r="AD75" s="415">
        <f>Rounding!AD170</f>
        <v>6.6000000000000003E-2</v>
      </c>
      <c r="AE75" s="415">
        <f>Rounding!AE170</f>
        <v>6.6000000000000003E-2</v>
      </c>
      <c r="AF75" s="415">
        <f>Rounding!AF170</f>
        <v>6.6000000000000003E-2</v>
      </c>
      <c r="AG75" s="415">
        <f>Rounding!AG170</f>
        <v>0.78600000000000003</v>
      </c>
      <c r="AH75" s="415">
        <f>Rounding!AH170</f>
        <v>-0.161</v>
      </c>
      <c r="AI75" s="415">
        <f>Rounding!AI170</f>
        <v>-0.14199999999999999</v>
      </c>
      <c r="AJ75" s="415">
        <f>Rounding!AJ170</f>
        <v>-0.161</v>
      </c>
      <c r="AK75" s="415">
        <f>Rounding!AK170</f>
        <v>0</v>
      </c>
      <c r="AL75" s="415">
        <f>Rounding!AL170</f>
        <v>-0.14199999999999999</v>
      </c>
      <c r="AM75" s="415">
        <f>Rounding!AM170</f>
        <v>0</v>
      </c>
      <c r="AN75" s="415">
        <f>Rounding!AN170</f>
        <v>-0.09</v>
      </c>
      <c r="AO75" s="415">
        <f>Rounding!AO170</f>
        <v>0</v>
      </c>
      <c r="AP75" s="348"/>
      <c r="AQ75" s="348"/>
    </row>
    <row r="76" spans="3:43" x14ac:dyDescent="0.25">
      <c r="C76" s="86"/>
      <c r="F76" s="293" t="s">
        <v>254</v>
      </c>
      <c r="G76" s="108" t="s">
        <v>252</v>
      </c>
      <c r="H76" s="379"/>
      <c r="J76" s="273">
        <f>Rounding!J171</f>
        <v>7.14</v>
      </c>
      <c r="K76" s="273">
        <f>Rounding!K171</f>
        <v>0</v>
      </c>
      <c r="L76" s="273">
        <f>Rounding!L171</f>
        <v>2.42</v>
      </c>
      <c r="M76" s="273">
        <f>Rounding!M171</f>
        <v>4.26</v>
      </c>
      <c r="N76" s="273">
        <f>Rounding!N171</f>
        <v>12.35</v>
      </c>
      <c r="O76" s="273">
        <f>Rounding!O171</f>
        <v>27.04</v>
      </c>
      <c r="P76" s="273">
        <f>Rounding!P171</f>
        <v>81.819999999999993</v>
      </c>
      <c r="Q76" s="273">
        <f>Rounding!Q171</f>
        <v>0</v>
      </c>
      <c r="R76" s="273">
        <f>Rounding!R171</f>
        <v>9.44</v>
      </c>
      <c r="S76" s="273">
        <f>Rounding!S171</f>
        <v>129.37</v>
      </c>
      <c r="T76" s="273">
        <f>Rounding!T171</f>
        <v>285.33</v>
      </c>
      <c r="U76" s="273">
        <f>Rounding!U171</f>
        <v>474.16</v>
      </c>
      <c r="V76" s="273">
        <f>Rounding!V171</f>
        <v>1021.97</v>
      </c>
      <c r="W76" s="273">
        <f>Rounding!W171</f>
        <v>5.41</v>
      </c>
      <c r="X76" s="273">
        <f>Rounding!X171</f>
        <v>199.18</v>
      </c>
      <c r="Y76" s="273">
        <f>Rounding!Y171</f>
        <v>451.14</v>
      </c>
      <c r="Z76" s="273">
        <f>Rounding!Z171</f>
        <v>756.23</v>
      </c>
      <c r="AA76" s="273">
        <f>Rounding!AA171</f>
        <v>1641.29</v>
      </c>
      <c r="AB76" s="273">
        <f>Rounding!AB171</f>
        <v>91.46</v>
      </c>
      <c r="AC76" s="273">
        <f>Rounding!AC171</f>
        <v>1342.52</v>
      </c>
      <c r="AD76" s="273">
        <f>Rounding!AD171</f>
        <v>4745.1000000000004</v>
      </c>
      <c r="AE76" s="273">
        <f>Rounding!AE171</f>
        <v>9516.6</v>
      </c>
      <c r="AF76" s="273">
        <f>Rounding!AF171</f>
        <v>17801.98</v>
      </c>
      <c r="AG76" s="273">
        <f>Rounding!AG171</f>
        <v>0</v>
      </c>
      <c r="AH76" s="273">
        <f>Rounding!AH171</f>
        <v>0</v>
      </c>
      <c r="AI76" s="273">
        <f>Rounding!AI171</f>
        <v>0</v>
      </c>
      <c r="AJ76" s="273">
        <f>Rounding!AJ171</f>
        <v>0</v>
      </c>
      <c r="AK76" s="273">
        <f>Rounding!AK171</f>
        <v>0</v>
      </c>
      <c r="AL76" s="273">
        <f>Rounding!AL171</f>
        <v>0</v>
      </c>
      <c r="AM76" s="273">
        <f>Rounding!AM171</f>
        <v>0</v>
      </c>
      <c r="AN76" s="273">
        <f>Rounding!AN171</f>
        <v>0</v>
      </c>
      <c r="AO76" s="273">
        <f>Rounding!AO171</f>
        <v>0</v>
      </c>
    </row>
    <row r="77" spans="3:43" x14ac:dyDescent="0.25">
      <c r="C77" s="86"/>
      <c r="F77" s="293" t="s">
        <v>255</v>
      </c>
      <c r="G77" s="108" t="s">
        <v>251</v>
      </c>
      <c r="H77" s="379"/>
      <c r="J77" s="273">
        <f>Rounding!J172</f>
        <v>0</v>
      </c>
      <c r="K77" s="273">
        <f>Rounding!K172</f>
        <v>0</v>
      </c>
      <c r="L77" s="273">
        <f>Rounding!L172</f>
        <v>0</v>
      </c>
      <c r="M77" s="273">
        <f>Rounding!M172</f>
        <v>0</v>
      </c>
      <c r="N77" s="273">
        <f>Rounding!N172</f>
        <v>0</v>
      </c>
      <c r="O77" s="273">
        <f>Rounding!O172</f>
        <v>0</v>
      </c>
      <c r="P77" s="273">
        <f>Rounding!P172</f>
        <v>0</v>
      </c>
      <c r="Q77" s="273">
        <f>Rounding!Q172</f>
        <v>0</v>
      </c>
      <c r="R77" s="273">
        <f>Rounding!R172</f>
        <v>1.32</v>
      </c>
      <c r="S77" s="273">
        <f>Rounding!S172</f>
        <v>1.32</v>
      </c>
      <c r="T77" s="273">
        <f>Rounding!T172</f>
        <v>1.32</v>
      </c>
      <c r="U77" s="273">
        <f>Rounding!U172</f>
        <v>1.32</v>
      </c>
      <c r="V77" s="273">
        <f>Rounding!V172</f>
        <v>1.32</v>
      </c>
      <c r="W77" s="273">
        <f>Rounding!W172</f>
        <v>4.21</v>
      </c>
      <c r="X77" s="273">
        <f>Rounding!X172</f>
        <v>4.21</v>
      </c>
      <c r="Y77" s="273">
        <f>Rounding!Y172</f>
        <v>4.21</v>
      </c>
      <c r="Z77" s="273">
        <f>Rounding!Z172</f>
        <v>4.21</v>
      </c>
      <c r="AA77" s="273">
        <f>Rounding!AA172</f>
        <v>4.21</v>
      </c>
      <c r="AB77" s="273">
        <f>Rounding!AB172</f>
        <v>3.79</v>
      </c>
      <c r="AC77" s="273">
        <f>Rounding!AC172</f>
        <v>3.79</v>
      </c>
      <c r="AD77" s="273">
        <f>Rounding!AD172</f>
        <v>3.79</v>
      </c>
      <c r="AE77" s="273">
        <f>Rounding!AE172</f>
        <v>3.79</v>
      </c>
      <c r="AF77" s="273">
        <f>Rounding!AF172</f>
        <v>3.79</v>
      </c>
      <c r="AG77" s="273">
        <f>Rounding!AG172</f>
        <v>0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25">
      <c r="C78" s="86"/>
      <c r="F78" s="293" t="s">
        <v>256</v>
      </c>
      <c r="G78" s="108" t="s">
        <v>251</v>
      </c>
      <c r="H78" s="379"/>
      <c r="J78" s="273">
        <f>Rounding!J173</f>
        <v>0</v>
      </c>
      <c r="K78" s="273">
        <f>Rounding!K173</f>
        <v>0</v>
      </c>
      <c r="L78" s="273">
        <f>Rounding!L173</f>
        <v>0</v>
      </c>
      <c r="M78" s="273">
        <f>Rounding!M173</f>
        <v>0</v>
      </c>
      <c r="N78" s="273">
        <f>Rounding!N173</f>
        <v>0</v>
      </c>
      <c r="O78" s="273">
        <f>Rounding!O173</f>
        <v>0</v>
      </c>
      <c r="P78" s="273">
        <f>Rounding!P173</f>
        <v>0</v>
      </c>
      <c r="Q78" s="273">
        <f>Rounding!Q173</f>
        <v>0</v>
      </c>
      <c r="R78" s="273">
        <f>Rounding!R173</f>
        <v>2.2400000000000002</v>
      </c>
      <c r="S78" s="273">
        <f>Rounding!S173</f>
        <v>2.2400000000000002</v>
      </c>
      <c r="T78" s="273">
        <f>Rounding!T173</f>
        <v>2.2400000000000002</v>
      </c>
      <c r="U78" s="273">
        <f>Rounding!U173</f>
        <v>2.2400000000000002</v>
      </c>
      <c r="V78" s="273">
        <f>Rounding!V173</f>
        <v>2.2400000000000002</v>
      </c>
      <c r="W78" s="273">
        <f>Rounding!W173</f>
        <v>5.7</v>
      </c>
      <c r="X78" s="273">
        <f>Rounding!X173</f>
        <v>5.7</v>
      </c>
      <c r="Y78" s="273">
        <f>Rounding!Y173</f>
        <v>5.7</v>
      </c>
      <c r="Z78" s="273">
        <f>Rounding!Z173</f>
        <v>5.7</v>
      </c>
      <c r="AA78" s="273">
        <f>Rounding!AA173</f>
        <v>5.7</v>
      </c>
      <c r="AB78" s="273">
        <f>Rounding!AB173</f>
        <v>5.99</v>
      </c>
      <c r="AC78" s="273">
        <f>Rounding!AC173</f>
        <v>5.99</v>
      </c>
      <c r="AD78" s="273">
        <f>Rounding!AD173</f>
        <v>5.99</v>
      </c>
      <c r="AE78" s="273">
        <f>Rounding!AE173</f>
        <v>5.99</v>
      </c>
      <c r="AF78" s="273">
        <f>Rounding!AF173</f>
        <v>5.99</v>
      </c>
      <c r="AG78" s="273">
        <f>Rounding!AG173</f>
        <v>0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25">
      <c r="C79" s="86"/>
      <c r="F79" s="93" t="s">
        <v>257</v>
      </c>
      <c r="G79" s="131" t="s">
        <v>258</v>
      </c>
      <c r="H79" s="360"/>
      <c r="I79" s="350"/>
      <c r="J79" s="360">
        <f>Rounding!J174</f>
        <v>0</v>
      </c>
      <c r="K79" s="360">
        <f>Rounding!K174</f>
        <v>0</v>
      </c>
      <c r="L79" s="360">
        <f>Rounding!L174</f>
        <v>0</v>
      </c>
      <c r="M79" s="360">
        <f>Rounding!M174</f>
        <v>0</v>
      </c>
      <c r="N79" s="360">
        <f>Rounding!N174</f>
        <v>0</v>
      </c>
      <c r="O79" s="360">
        <f>Rounding!O174</f>
        <v>0</v>
      </c>
      <c r="P79" s="360">
        <f>Rounding!P174</f>
        <v>0</v>
      </c>
      <c r="Q79" s="360">
        <f>Rounding!Q174</f>
        <v>0</v>
      </c>
      <c r="R79" s="360">
        <f>Rounding!R174</f>
        <v>0.19600000000000001</v>
      </c>
      <c r="S79" s="360">
        <f>Rounding!S174</f>
        <v>0.19600000000000001</v>
      </c>
      <c r="T79" s="360">
        <f>Rounding!T174</f>
        <v>0.19600000000000001</v>
      </c>
      <c r="U79" s="360">
        <f>Rounding!U174</f>
        <v>0.19600000000000001</v>
      </c>
      <c r="V79" s="360">
        <f>Rounding!V174</f>
        <v>0.19600000000000001</v>
      </c>
      <c r="W79" s="360">
        <f>Rounding!W174</f>
        <v>0.21099999999999999</v>
      </c>
      <c r="X79" s="360">
        <f>Rounding!X174</f>
        <v>0.21099999999999999</v>
      </c>
      <c r="Y79" s="360">
        <f>Rounding!Y174</f>
        <v>0.21099999999999999</v>
      </c>
      <c r="Z79" s="360">
        <f>Rounding!Z174</f>
        <v>0.21099999999999999</v>
      </c>
      <c r="AA79" s="360">
        <f>Rounding!AA174</f>
        <v>0.21099999999999999</v>
      </c>
      <c r="AB79" s="360">
        <f>Rounding!AB174</f>
        <v>0.159</v>
      </c>
      <c r="AC79" s="360">
        <f>Rounding!AC174</f>
        <v>0.159</v>
      </c>
      <c r="AD79" s="360">
        <f>Rounding!AD174</f>
        <v>0.159</v>
      </c>
      <c r="AE79" s="360">
        <f>Rounding!AE174</f>
        <v>0.159</v>
      </c>
      <c r="AF79" s="360">
        <f>Rounding!AF174</f>
        <v>0.159</v>
      </c>
      <c r="AG79" s="360">
        <f>Rounding!AG174</f>
        <v>0</v>
      </c>
      <c r="AH79" s="360">
        <f>Rounding!AH174</f>
        <v>0</v>
      </c>
      <c r="AI79" s="360">
        <f>Rounding!AI174</f>
        <v>0</v>
      </c>
      <c r="AJ79" s="360">
        <f>Rounding!AJ174</f>
        <v>0.373</v>
      </c>
      <c r="AK79" s="360">
        <f>Rounding!AK174</f>
        <v>0</v>
      </c>
      <c r="AL79" s="360">
        <f>Rounding!AL174</f>
        <v>0.34399999999999997</v>
      </c>
      <c r="AM79" s="360">
        <f>Rounding!AM174</f>
        <v>0</v>
      </c>
      <c r="AN79" s="360">
        <f>Rounding!AN174</f>
        <v>0.26500000000000001</v>
      </c>
      <c r="AO79" s="360">
        <f>Rounding!AO174</f>
        <v>0</v>
      </c>
      <c r="AP79" s="348"/>
      <c r="AQ79" s="348"/>
    </row>
    <row r="80" spans="3:43" x14ac:dyDescent="0.2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25">
      <c r="C81" s="7" t="str">
        <f ca="1">INDEX('Version control'!$H$34:$H$60,MATCH($A$1,'Version control'!$F$34:$F$60,0),1)&amp;"-C: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2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25">
      <c r="E83" s="293" t="s">
        <v>184</v>
      </c>
      <c r="G83" s="108" t="s">
        <v>107</v>
      </c>
      <c r="H83" s="273">
        <f>'General inputs'!$H$90</f>
        <v>372059643.1657663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2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25">
      <c r="E85" s="293" t="s">
        <v>614</v>
      </c>
      <c r="G85" s="108" t="s">
        <v>107</v>
      </c>
      <c r="H85" s="273">
        <f>'Revenue matching'!H82</f>
        <v>250833203.14114732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25">
      <c r="E86" s="293" t="s">
        <v>988</v>
      </c>
      <c r="G86" s="108" t="s">
        <v>107</v>
      </c>
      <c r="H86" s="272">
        <f>'SoLR &amp; bad debt adders'!H52</f>
        <v>811609.53680877748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25">
      <c r="E87" s="293" t="s">
        <v>989</v>
      </c>
      <c r="G87" s="108" t="s">
        <v>107</v>
      </c>
      <c r="H87" s="272">
        <f>'SoLR &amp; bad debt adders'!H56</f>
        <v>340.77258470477159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25">
      <c r="E88" s="293" t="s">
        <v>1220</v>
      </c>
      <c r="G88" s="108" t="s">
        <v>107</v>
      </c>
      <c r="H88" s="272">
        <f>'Revenue matching'!H84</f>
        <v>120414489.71522552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2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25">
      <c r="B90" s="95" t="s">
        <v>484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2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25">
      <c r="C92" s="7" t="str">
        <f ca="1">INDEX('Version control'!$H$34:$H$60,MATCH($A$1,'Version control'!$F$34:$F$60,0),1)&amp;"-D: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2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25">
      <c r="E94" s="96" t="s">
        <v>905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25">
      <c r="E95" s="14"/>
      <c r="F95" s="91" t="s">
        <v>134</v>
      </c>
      <c r="G95" s="129" t="s">
        <v>107</v>
      </c>
      <c r="H95" s="267">
        <f t="shared" ref="H95:H101" si="0">SUM(J95:AO95)</f>
        <v>108530732.35601121</v>
      </c>
      <c r="I95" s="91"/>
      <c r="J95" s="267">
        <f t="shared" ref="J95:AO95" si="1">J22 * thousand * J55 / hundred</f>
        <v>69483885.098099962</v>
      </c>
      <c r="K95" s="267">
        <f t="shared" si="1"/>
        <v>5459.3396392023469</v>
      </c>
      <c r="L95" s="267">
        <f t="shared" si="1"/>
        <v>0</v>
      </c>
      <c r="M95" s="267">
        <f t="shared" si="1"/>
        <v>565146.52161984483</v>
      </c>
      <c r="N95" s="267">
        <f t="shared" si="1"/>
        <v>2491363.062493159</v>
      </c>
      <c r="O95" s="267">
        <f t="shared" si="1"/>
        <v>3156055.4073125459</v>
      </c>
      <c r="P95" s="267">
        <f t="shared" si="1"/>
        <v>10781547.026436446</v>
      </c>
      <c r="Q95" s="267">
        <f t="shared" si="1"/>
        <v>804.27758047667794</v>
      </c>
      <c r="R95" s="267">
        <f t="shared" si="1"/>
        <v>0</v>
      </c>
      <c r="S95" s="267">
        <f t="shared" si="1"/>
        <v>2015861.7610383697</v>
      </c>
      <c r="T95" s="267">
        <f t="shared" si="1"/>
        <v>2910139.7692944412</v>
      </c>
      <c r="U95" s="267">
        <f t="shared" si="1"/>
        <v>1118794.3896998069</v>
      </c>
      <c r="V95" s="267">
        <f t="shared" si="1"/>
        <v>1495344.7324878126</v>
      </c>
      <c r="W95" s="267">
        <f t="shared" si="1"/>
        <v>0</v>
      </c>
      <c r="X95" s="267">
        <f t="shared" si="1"/>
        <v>695692.93837575673</v>
      </c>
      <c r="Y95" s="267">
        <f t="shared" si="1"/>
        <v>1243139.3313873203</v>
      </c>
      <c r="Z95" s="267">
        <f t="shared" si="1"/>
        <v>1070139.8116512059</v>
      </c>
      <c r="AA95" s="267">
        <f t="shared" si="1"/>
        <v>4302909.2704375088</v>
      </c>
      <c r="AB95" s="267">
        <f t="shared" si="1"/>
        <v>0</v>
      </c>
      <c r="AC95" s="267">
        <f t="shared" si="1"/>
        <v>714294.45470592426</v>
      </c>
      <c r="AD95" s="267">
        <f t="shared" si="1"/>
        <v>2573745.6747100884</v>
      </c>
      <c r="AE95" s="267">
        <f t="shared" si="1"/>
        <v>2311223.8509838302</v>
      </c>
      <c r="AF95" s="267">
        <f t="shared" si="1"/>
        <v>3076194.1602199967</v>
      </c>
      <c r="AG95" s="267">
        <f t="shared" si="1"/>
        <v>1283441.1734534642</v>
      </c>
      <c r="AH95" s="267">
        <f t="shared" si="1"/>
        <v>-11172.66560390413</v>
      </c>
      <c r="AI95" s="267">
        <f t="shared" si="1"/>
        <v>-1450.9079208232806</v>
      </c>
      <c r="AJ95" s="267">
        <f t="shared" si="1"/>
        <v>-372060.43902156147</v>
      </c>
      <c r="AK95" s="267">
        <f t="shared" si="1"/>
        <v>0</v>
      </c>
      <c r="AL95" s="267">
        <f t="shared" si="1"/>
        <v>-96449.029722295323</v>
      </c>
      <c r="AM95" s="267">
        <f t="shared" si="1"/>
        <v>0</v>
      </c>
      <c r="AN95" s="267">
        <f t="shared" si="1"/>
        <v>-2283316.6533473521</v>
      </c>
      <c r="AO95" s="267">
        <f t="shared" si="1"/>
        <v>0</v>
      </c>
    </row>
    <row r="96" spans="2:43" x14ac:dyDescent="0.25">
      <c r="E96" s="14"/>
      <c r="F96" s="293" t="s">
        <v>135</v>
      </c>
      <c r="G96" s="108" t="s">
        <v>107</v>
      </c>
      <c r="H96" s="275">
        <f t="shared" si="0"/>
        <v>76123047.883203328</v>
      </c>
      <c r="J96" s="275">
        <f t="shared" ref="J96:AO96" si="2">J23 * thousand * J56 / hundred</f>
        <v>44244147.81383767</v>
      </c>
      <c r="K96" s="275">
        <f t="shared" si="2"/>
        <v>16994.115022047205</v>
      </c>
      <c r="L96" s="275">
        <f t="shared" si="2"/>
        <v>0</v>
      </c>
      <c r="M96" s="275">
        <f t="shared" si="2"/>
        <v>534437.61623646598</v>
      </c>
      <c r="N96" s="275">
        <f t="shared" si="2"/>
        <v>2355987.4923800146</v>
      </c>
      <c r="O96" s="275">
        <f t="shared" si="2"/>
        <v>2984561.8155090101</v>
      </c>
      <c r="P96" s="275">
        <f t="shared" si="2"/>
        <v>10195699.826010788</v>
      </c>
      <c r="Q96" s="275">
        <f t="shared" si="2"/>
        <v>7467.0399568706634</v>
      </c>
      <c r="R96" s="275">
        <f t="shared" si="2"/>
        <v>0</v>
      </c>
      <c r="S96" s="275">
        <f t="shared" si="2"/>
        <v>1523884.7688038172</v>
      </c>
      <c r="T96" s="275">
        <f t="shared" si="2"/>
        <v>2199911.5987168341</v>
      </c>
      <c r="U96" s="275">
        <f t="shared" si="2"/>
        <v>845749.32807321951</v>
      </c>
      <c r="V96" s="275">
        <f t="shared" si="2"/>
        <v>1130401.4521191283</v>
      </c>
      <c r="W96" s="275">
        <f t="shared" si="2"/>
        <v>0</v>
      </c>
      <c r="X96" s="275">
        <f t="shared" si="2"/>
        <v>457307.18802440149</v>
      </c>
      <c r="Y96" s="275">
        <f t="shared" si="2"/>
        <v>817165.90840572014</v>
      </c>
      <c r="Z96" s="275">
        <f t="shared" si="2"/>
        <v>703446.30664462899</v>
      </c>
      <c r="AA96" s="275">
        <f t="shared" si="2"/>
        <v>2828476.8038353818</v>
      </c>
      <c r="AB96" s="275">
        <f t="shared" si="2"/>
        <v>0</v>
      </c>
      <c r="AC96" s="275">
        <f t="shared" si="2"/>
        <v>391016.9179722892</v>
      </c>
      <c r="AD96" s="275">
        <f t="shared" si="2"/>
        <v>1408912.1016401784</v>
      </c>
      <c r="AE96" s="275">
        <f t="shared" si="2"/>
        <v>1265203.1959674223</v>
      </c>
      <c r="AF96" s="275">
        <f t="shared" si="2"/>
        <v>1683960.9375223131</v>
      </c>
      <c r="AG96" s="275">
        <f t="shared" si="2"/>
        <v>2142927.0942414613</v>
      </c>
      <c r="AH96" s="275">
        <f t="shared" si="2"/>
        <v>-9820.6449244737487</v>
      </c>
      <c r="AI96" s="275">
        <f t="shared" si="2"/>
        <v>-1124.0762801561352</v>
      </c>
      <c r="AJ96" s="275">
        <f t="shared" si="2"/>
        <v>-325658.40010181395</v>
      </c>
      <c r="AK96" s="275">
        <f t="shared" si="2"/>
        <v>0</v>
      </c>
      <c r="AL96" s="275">
        <f t="shared" si="2"/>
        <v>-74759.649265883665</v>
      </c>
      <c r="AM96" s="275">
        <f t="shared" si="2"/>
        <v>0</v>
      </c>
      <c r="AN96" s="275">
        <f t="shared" si="2"/>
        <v>-1203248.667143988</v>
      </c>
      <c r="AO96" s="275">
        <f t="shared" si="2"/>
        <v>0</v>
      </c>
    </row>
    <row r="97" spans="5:41" x14ac:dyDescent="0.25">
      <c r="E97" s="14"/>
      <c r="F97" s="293" t="s">
        <v>136</v>
      </c>
      <c r="G97" s="108" t="s">
        <v>107</v>
      </c>
      <c r="H97" s="275">
        <f t="shared" si="0"/>
        <v>9485230.5572181903</v>
      </c>
      <c r="J97" s="275">
        <f t="shared" ref="J97:AO97" si="3">J24 * thousand * J57 / hundred</f>
        <v>4620187.158725596</v>
      </c>
      <c r="K97" s="275">
        <f t="shared" si="3"/>
        <v>25354.677548272339</v>
      </c>
      <c r="L97" s="275">
        <f t="shared" si="3"/>
        <v>0</v>
      </c>
      <c r="M97" s="275">
        <f t="shared" si="3"/>
        <v>57385.457477419768</v>
      </c>
      <c r="N97" s="275">
        <f t="shared" si="3"/>
        <v>252975.11992772252</v>
      </c>
      <c r="O97" s="275">
        <f t="shared" si="3"/>
        <v>320468.54478305118</v>
      </c>
      <c r="P97" s="275">
        <f t="shared" si="3"/>
        <v>1094767.4359792871</v>
      </c>
      <c r="Q97" s="275">
        <f t="shared" si="3"/>
        <v>10015.284701300094</v>
      </c>
      <c r="R97" s="275">
        <f t="shared" si="3"/>
        <v>0</v>
      </c>
      <c r="S97" s="275">
        <f t="shared" si="3"/>
        <v>150650.06989108285</v>
      </c>
      <c r="T97" s="275">
        <f t="shared" si="3"/>
        <v>217481.55955456046</v>
      </c>
      <c r="U97" s="275">
        <f t="shared" si="3"/>
        <v>83610.124592674983</v>
      </c>
      <c r="V97" s="275">
        <f t="shared" si="3"/>
        <v>111750.613466924</v>
      </c>
      <c r="W97" s="275">
        <f t="shared" si="3"/>
        <v>0</v>
      </c>
      <c r="X97" s="275">
        <f t="shared" si="3"/>
        <v>51802.752235406631</v>
      </c>
      <c r="Y97" s="275">
        <f t="shared" si="3"/>
        <v>92566.756431792106</v>
      </c>
      <c r="Z97" s="275">
        <f t="shared" si="3"/>
        <v>79684.850114534333</v>
      </c>
      <c r="AA97" s="275">
        <f t="shared" si="3"/>
        <v>320403.63000998972</v>
      </c>
      <c r="AB97" s="275">
        <f t="shared" si="3"/>
        <v>0</v>
      </c>
      <c r="AC97" s="275">
        <f t="shared" si="3"/>
        <v>54413.43601551342</v>
      </c>
      <c r="AD97" s="275">
        <f t="shared" si="3"/>
        <v>196062.48469155349</v>
      </c>
      <c r="AE97" s="275">
        <f t="shared" si="3"/>
        <v>176064.12916199016</v>
      </c>
      <c r="AF97" s="275">
        <f t="shared" si="3"/>
        <v>234337.94425485216</v>
      </c>
      <c r="AG97" s="275">
        <f t="shared" si="3"/>
        <v>1548299.5918881262</v>
      </c>
      <c r="AH97" s="275">
        <f t="shared" si="3"/>
        <v>-1182.7451286862024</v>
      </c>
      <c r="AI97" s="275">
        <f t="shared" si="3"/>
        <v>-159.51968590517447</v>
      </c>
      <c r="AJ97" s="275">
        <f t="shared" si="3"/>
        <v>-41842.604478683519</v>
      </c>
      <c r="AK97" s="275">
        <f t="shared" si="3"/>
        <v>0</v>
      </c>
      <c r="AL97" s="275">
        <f t="shared" si="3"/>
        <v>-10614.752974596013</v>
      </c>
      <c r="AM97" s="275">
        <f t="shared" si="3"/>
        <v>0</v>
      </c>
      <c r="AN97" s="275">
        <f t="shared" si="3"/>
        <v>-159251.44196558892</v>
      </c>
      <c r="AO97" s="275">
        <f t="shared" si="3"/>
        <v>0</v>
      </c>
    </row>
    <row r="98" spans="5:41" x14ac:dyDescent="0.25">
      <c r="E98" s="14"/>
      <c r="F98" s="91" t="s">
        <v>254</v>
      </c>
      <c r="G98" s="129" t="s">
        <v>107</v>
      </c>
      <c r="H98" s="267">
        <f t="shared" si="0"/>
        <v>140864320.27899998</v>
      </c>
      <c r="I98" s="91"/>
      <c r="J98" s="267">
        <f t="shared" ref="J98:AO98" si="4" xml:space="preserve"> J25 * J58 * days_in_year / hundred</f>
        <v>79538894.261999995</v>
      </c>
      <c r="K98" s="267">
        <f t="shared" si="4"/>
        <v>0</v>
      </c>
      <c r="L98" s="267">
        <f t="shared" si="4"/>
        <v>0</v>
      </c>
      <c r="M98" s="267">
        <f t="shared" si="4"/>
        <v>1294114.8</v>
      </c>
      <c r="N98" s="267">
        <f t="shared" si="4"/>
        <v>3074775.5489999996</v>
      </c>
      <c r="O98" s="267">
        <f t="shared" si="4"/>
        <v>3432243.7010000004</v>
      </c>
      <c r="P98" s="267">
        <f t="shared" si="4"/>
        <v>10853090.091000002</v>
      </c>
      <c r="Q98" s="267">
        <f t="shared" si="4"/>
        <v>0</v>
      </c>
      <c r="R98" s="267">
        <f t="shared" si="4"/>
        <v>0</v>
      </c>
      <c r="S98" s="267">
        <f t="shared" si="4"/>
        <v>3006989.5375000001</v>
      </c>
      <c r="T98" s="267">
        <f t="shared" si="4"/>
        <v>4197212.9639999997</v>
      </c>
      <c r="U98" s="267">
        <f t="shared" si="4"/>
        <v>1630642.9750000001</v>
      </c>
      <c r="V98" s="267">
        <f t="shared" si="4"/>
        <v>2340406.4624999999</v>
      </c>
      <c r="W98" s="267">
        <f t="shared" si="4"/>
        <v>0</v>
      </c>
      <c r="X98" s="267">
        <f t="shared" si="4"/>
        <v>1020525.8745</v>
      </c>
      <c r="Y98" s="267">
        <f t="shared" si="4"/>
        <v>1819011.81</v>
      </c>
      <c r="Z98" s="267">
        <f t="shared" si="4"/>
        <v>1613581.926</v>
      </c>
      <c r="AA98" s="267">
        <f t="shared" si="4"/>
        <v>6749384.7615</v>
      </c>
      <c r="AB98" s="267">
        <f t="shared" si="4"/>
        <v>0</v>
      </c>
      <c r="AC98" s="267">
        <f t="shared" si="4"/>
        <v>1773755.898</v>
      </c>
      <c r="AD98" s="267">
        <f t="shared" si="4"/>
        <v>6016862.1369999992</v>
      </c>
      <c r="AE98" s="267">
        <f t="shared" si="4"/>
        <v>5358526.7479999997</v>
      </c>
      <c r="AF98" s="267">
        <f t="shared" si="4"/>
        <v>7103470.8600000003</v>
      </c>
      <c r="AG98" s="267">
        <f t="shared" si="4"/>
        <v>0</v>
      </c>
      <c r="AH98" s="267">
        <f t="shared" si="4"/>
        <v>0</v>
      </c>
      <c r="AI98" s="267">
        <f t="shared" si="4"/>
        <v>0</v>
      </c>
      <c r="AJ98" s="267">
        <f t="shared" si="4"/>
        <v>0</v>
      </c>
      <c r="AK98" s="267">
        <f t="shared" si="4"/>
        <v>0</v>
      </c>
      <c r="AL98" s="267">
        <f t="shared" si="4"/>
        <v>0</v>
      </c>
      <c r="AM98" s="267">
        <f t="shared" si="4"/>
        <v>0</v>
      </c>
      <c r="AN98" s="267">
        <f t="shared" si="4"/>
        <v>40829.921999999999</v>
      </c>
      <c r="AO98" s="267">
        <f t="shared" si="4"/>
        <v>0</v>
      </c>
    </row>
    <row r="99" spans="5:41" x14ac:dyDescent="0.25">
      <c r="E99" s="14"/>
      <c r="F99" s="293" t="s">
        <v>255</v>
      </c>
      <c r="G99" s="108" t="s">
        <v>107</v>
      </c>
      <c r="H99" s="275">
        <f t="shared" si="0"/>
        <v>29077757.229499999</v>
      </c>
      <c r="J99" s="275">
        <f t="shared" ref="J99:AO99" si="5" xml:space="preserve"> J26 * J59 * days_in_year / hundred</f>
        <v>0</v>
      </c>
      <c r="K99" s="275">
        <f t="shared" si="5"/>
        <v>0</v>
      </c>
      <c r="L99" s="275">
        <f t="shared" si="5"/>
        <v>0</v>
      </c>
      <c r="M99" s="275">
        <f t="shared" si="5"/>
        <v>0</v>
      </c>
      <c r="N99" s="275">
        <f t="shared" si="5"/>
        <v>0</v>
      </c>
      <c r="O99" s="275">
        <f t="shared" si="5"/>
        <v>0</v>
      </c>
      <c r="P99" s="275">
        <f t="shared" si="5"/>
        <v>0</v>
      </c>
      <c r="Q99" s="275">
        <f t="shared" si="5"/>
        <v>0</v>
      </c>
      <c r="R99" s="275">
        <f t="shared" si="5"/>
        <v>0</v>
      </c>
      <c r="S99" s="275">
        <f t="shared" si="5"/>
        <v>1558444.7339999997</v>
      </c>
      <c r="T99" s="275">
        <f t="shared" si="5"/>
        <v>2249807.878</v>
      </c>
      <c r="U99" s="275">
        <f t="shared" si="5"/>
        <v>864928.67399999988</v>
      </c>
      <c r="V99" s="275">
        <f t="shared" si="5"/>
        <v>1156041.2860000001</v>
      </c>
      <c r="W99" s="275">
        <f t="shared" si="5"/>
        <v>0</v>
      </c>
      <c r="X99" s="275">
        <f t="shared" si="5"/>
        <v>1137761.2100000002</v>
      </c>
      <c r="Y99" s="275">
        <f t="shared" si="5"/>
        <v>2033075.6960000002</v>
      </c>
      <c r="Z99" s="275">
        <f t="shared" si="5"/>
        <v>1750143.8290000001</v>
      </c>
      <c r="AA99" s="275">
        <f t="shared" si="5"/>
        <v>7037157.5140000014</v>
      </c>
      <c r="AB99" s="275">
        <f t="shared" si="5"/>
        <v>0</v>
      </c>
      <c r="AC99" s="275">
        <f t="shared" si="5"/>
        <v>929596.81900000002</v>
      </c>
      <c r="AD99" s="275">
        <f t="shared" si="5"/>
        <v>3349516.7430000002</v>
      </c>
      <c r="AE99" s="275">
        <f t="shared" si="5"/>
        <v>3007871.4869999997</v>
      </c>
      <c r="AF99" s="275">
        <f t="shared" si="5"/>
        <v>4003411.3594999998</v>
      </c>
      <c r="AG99" s="275">
        <f t="shared" si="5"/>
        <v>0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25">
      <c r="E100" s="14"/>
      <c r="F100" s="293" t="s">
        <v>256</v>
      </c>
      <c r="G100" s="108" t="s">
        <v>107</v>
      </c>
      <c r="H100" s="275">
        <f t="shared" si="0"/>
        <v>900188.62300000002</v>
      </c>
      <c r="J100" s="275">
        <f t="shared" ref="J100:AO100" si="6" xml:space="preserve"> J27 * J60 * days_in_year / hundred</f>
        <v>0</v>
      </c>
      <c r="K100" s="275">
        <f t="shared" si="6"/>
        <v>0</v>
      </c>
      <c r="L100" s="275">
        <f t="shared" si="6"/>
        <v>0</v>
      </c>
      <c r="M100" s="275">
        <f t="shared" si="6"/>
        <v>0</v>
      </c>
      <c r="N100" s="275">
        <f t="shared" si="6"/>
        <v>0</v>
      </c>
      <c r="O100" s="275">
        <f t="shared" si="6"/>
        <v>0</v>
      </c>
      <c r="P100" s="275">
        <f t="shared" si="6"/>
        <v>0</v>
      </c>
      <c r="Q100" s="275">
        <f t="shared" si="6"/>
        <v>0</v>
      </c>
      <c r="R100" s="275">
        <f t="shared" si="6"/>
        <v>0</v>
      </c>
      <c r="S100" s="275">
        <f t="shared" si="6"/>
        <v>60038.631000000008</v>
      </c>
      <c r="T100" s="275">
        <f t="shared" si="6"/>
        <v>86667.936000000016</v>
      </c>
      <c r="U100" s="275">
        <f t="shared" si="6"/>
        <v>33318.440999999999</v>
      </c>
      <c r="V100" s="275">
        <f t="shared" si="6"/>
        <v>44533.650000000009</v>
      </c>
      <c r="W100" s="275">
        <f t="shared" si="6"/>
        <v>0</v>
      </c>
      <c r="X100" s="275">
        <f t="shared" si="6"/>
        <v>101270.564</v>
      </c>
      <c r="Y100" s="275">
        <f t="shared" si="6"/>
        <v>146197.24599999998</v>
      </c>
      <c r="Z100" s="275">
        <f t="shared" si="6"/>
        <v>56201.167000000001</v>
      </c>
      <c r="AA100" s="275">
        <f t="shared" si="6"/>
        <v>75125.176000000007</v>
      </c>
      <c r="AB100" s="275">
        <f t="shared" si="6"/>
        <v>0</v>
      </c>
      <c r="AC100" s="275">
        <f t="shared" si="6"/>
        <v>24446.240000000002</v>
      </c>
      <c r="AD100" s="275">
        <f t="shared" si="6"/>
        <v>88059.608000000007</v>
      </c>
      <c r="AE100" s="275">
        <f t="shared" si="6"/>
        <v>79078.272000000012</v>
      </c>
      <c r="AF100" s="275">
        <f t="shared" si="6"/>
        <v>105251.69200000001</v>
      </c>
      <c r="AG100" s="275">
        <f t="shared" si="6"/>
        <v>0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25">
      <c r="E101" s="14"/>
      <c r="F101" s="91" t="s">
        <v>257</v>
      </c>
      <c r="G101" s="129" t="s">
        <v>107</v>
      </c>
      <c r="H101" s="267">
        <f t="shared" si="0"/>
        <v>855919.55766999989</v>
      </c>
      <c r="I101" s="91"/>
      <c r="J101" s="267">
        <f t="shared" ref="J101:AO101" si="7">J28 * thousand * J61 / hundred</f>
        <v>0</v>
      </c>
      <c r="K101" s="267">
        <f t="shared" si="7"/>
        <v>0</v>
      </c>
      <c r="L101" s="267">
        <f t="shared" si="7"/>
        <v>0</v>
      </c>
      <c r="M101" s="267">
        <f t="shared" si="7"/>
        <v>0</v>
      </c>
      <c r="N101" s="267">
        <f t="shared" si="7"/>
        <v>0</v>
      </c>
      <c r="O101" s="267">
        <f t="shared" si="7"/>
        <v>0</v>
      </c>
      <c r="P101" s="267">
        <f t="shared" si="7"/>
        <v>0</v>
      </c>
      <c r="Q101" s="267">
        <f t="shared" si="7"/>
        <v>0</v>
      </c>
      <c r="R101" s="267">
        <f t="shared" si="7"/>
        <v>0</v>
      </c>
      <c r="S101" s="267">
        <f t="shared" si="7"/>
        <v>89178.958499999993</v>
      </c>
      <c r="T101" s="267">
        <f t="shared" si="7"/>
        <v>128740.5903</v>
      </c>
      <c r="U101" s="267">
        <f t="shared" si="7"/>
        <v>49493.930250000005</v>
      </c>
      <c r="V101" s="267">
        <f t="shared" si="7"/>
        <v>66151.998600000006</v>
      </c>
      <c r="W101" s="267">
        <f t="shared" si="7"/>
        <v>0</v>
      </c>
      <c r="X101" s="267">
        <f t="shared" si="7"/>
        <v>72057.04819999999</v>
      </c>
      <c r="Y101" s="267">
        <f t="shared" si="7"/>
        <v>104023.0493</v>
      </c>
      <c r="Z101" s="267">
        <f t="shared" si="7"/>
        <v>39991.345099999999</v>
      </c>
      <c r="AA101" s="267">
        <f t="shared" si="7"/>
        <v>53451.149899999989</v>
      </c>
      <c r="AB101" s="267">
        <f t="shared" si="7"/>
        <v>0</v>
      </c>
      <c r="AC101" s="267">
        <f t="shared" si="7"/>
        <v>17800.801090000001</v>
      </c>
      <c r="AD101" s="267">
        <f t="shared" si="7"/>
        <v>64139.842469999996</v>
      </c>
      <c r="AE101" s="267">
        <f t="shared" si="7"/>
        <v>57597.584439999999</v>
      </c>
      <c r="AF101" s="267">
        <f t="shared" si="7"/>
        <v>76661.267520000009</v>
      </c>
      <c r="AG101" s="267">
        <f t="shared" si="7"/>
        <v>0</v>
      </c>
      <c r="AH101" s="267">
        <f t="shared" si="7"/>
        <v>0</v>
      </c>
      <c r="AI101" s="267">
        <f t="shared" si="7"/>
        <v>0</v>
      </c>
      <c r="AJ101" s="267">
        <f t="shared" si="7"/>
        <v>16377.683999999999</v>
      </c>
      <c r="AK101" s="267">
        <f t="shared" si="7"/>
        <v>0</v>
      </c>
      <c r="AL101" s="267">
        <f t="shared" si="7"/>
        <v>592.36799999999994</v>
      </c>
      <c r="AM101" s="267">
        <f t="shared" si="7"/>
        <v>0</v>
      </c>
      <c r="AN101" s="267">
        <f t="shared" si="7"/>
        <v>19661.939999999999</v>
      </c>
      <c r="AO101" s="267">
        <f t="shared" si="7"/>
        <v>0</v>
      </c>
    </row>
    <row r="102" spans="5:41" x14ac:dyDescent="0.25">
      <c r="E102" s="14"/>
      <c r="F102" s="73" t="s">
        <v>111</v>
      </c>
      <c r="G102" s="169" t="s">
        <v>107</v>
      </c>
      <c r="H102" s="270">
        <f>SUM(H95:H101)</f>
        <v>365837196.48560274</v>
      </c>
      <c r="I102" s="183"/>
      <c r="J102" s="270">
        <f t="shared" ref="J102:AO102" si="8">SUM(J95:J101)</f>
        <v>197887114.33266321</v>
      </c>
      <c r="K102" s="270">
        <f t="shared" si="8"/>
        <v>47808.132209521893</v>
      </c>
      <c r="L102" s="270">
        <f t="shared" si="8"/>
        <v>0</v>
      </c>
      <c r="M102" s="270">
        <f t="shared" si="8"/>
        <v>2451084.3953337306</v>
      </c>
      <c r="N102" s="270">
        <f t="shared" si="8"/>
        <v>8175101.2238008967</v>
      </c>
      <c r="O102" s="270">
        <f t="shared" si="8"/>
        <v>9893329.4686046075</v>
      </c>
      <c r="P102" s="270">
        <f t="shared" si="8"/>
        <v>32925104.379426524</v>
      </c>
      <c r="Q102" s="270">
        <f t="shared" si="8"/>
        <v>18286.602238647436</v>
      </c>
      <c r="R102" s="270">
        <f t="shared" si="8"/>
        <v>0</v>
      </c>
      <c r="S102" s="270">
        <f t="shared" si="8"/>
        <v>8405048.4607332703</v>
      </c>
      <c r="T102" s="270">
        <f t="shared" si="8"/>
        <v>11989962.295865836</v>
      </c>
      <c r="U102" s="270">
        <f t="shared" si="8"/>
        <v>4626537.8626157008</v>
      </c>
      <c r="V102" s="270">
        <f t="shared" si="8"/>
        <v>6344630.1951738652</v>
      </c>
      <c r="W102" s="270">
        <f t="shared" si="8"/>
        <v>0</v>
      </c>
      <c r="X102" s="270">
        <f t="shared" si="8"/>
        <v>3536417.5753355646</v>
      </c>
      <c r="Y102" s="270">
        <f t="shared" si="8"/>
        <v>6255179.7975248331</v>
      </c>
      <c r="Z102" s="270">
        <f t="shared" si="8"/>
        <v>5313189.2355103688</v>
      </c>
      <c r="AA102" s="270">
        <f t="shared" si="8"/>
        <v>21366908.305682883</v>
      </c>
      <c r="AB102" s="270">
        <f t="shared" si="8"/>
        <v>0</v>
      </c>
      <c r="AC102" s="270">
        <f t="shared" si="8"/>
        <v>3905324.5667837276</v>
      </c>
      <c r="AD102" s="270">
        <f t="shared" si="8"/>
        <v>13697298.591511818</v>
      </c>
      <c r="AE102" s="270">
        <f t="shared" si="8"/>
        <v>12255565.267553242</v>
      </c>
      <c r="AF102" s="270">
        <f t="shared" si="8"/>
        <v>16283288.221017161</v>
      </c>
      <c r="AG102" s="270">
        <f t="shared" si="8"/>
        <v>4974667.8595830519</v>
      </c>
      <c r="AH102" s="270">
        <f t="shared" si="8"/>
        <v>-22176.05565706408</v>
      </c>
      <c r="AI102" s="270">
        <f t="shared" si="8"/>
        <v>-2734.50388688459</v>
      </c>
      <c r="AJ102" s="270">
        <f t="shared" si="8"/>
        <v>-723183.75960205903</v>
      </c>
      <c r="AK102" s="270">
        <f t="shared" si="8"/>
        <v>0</v>
      </c>
      <c r="AL102" s="270">
        <f t="shared" si="8"/>
        <v>-181231.06396277502</v>
      </c>
      <c r="AM102" s="270">
        <f t="shared" si="8"/>
        <v>0</v>
      </c>
      <c r="AN102" s="270">
        <f t="shared" si="8"/>
        <v>-3585324.9004569291</v>
      </c>
      <c r="AO102" s="270">
        <f t="shared" si="8"/>
        <v>0</v>
      </c>
    </row>
    <row r="103" spans="5:41" x14ac:dyDescent="0.2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25">
      <c r="E104" s="96" t="s">
        <v>906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25">
      <c r="E105" s="14"/>
      <c r="F105" s="91" t="s">
        <v>134</v>
      </c>
      <c r="G105" s="129" t="s">
        <v>107</v>
      </c>
      <c r="H105" s="267">
        <f t="shared" ref="H105:H111" si="9">SUM(J105:AO105)</f>
        <v>613995.1736229806</v>
      </c>
      <c r="I105" s="91"/>
      <c r="J105" s="267">
        <f t="shared" ref="J105:AO105" si="10">J33 * thousand * J64 / hundred</f>
        <v>555047.15425462602</v>
      </c>
      <c r="K105" s="267">
        <f t="shared" si="10"/>
        <v>0</v>
      </c>
      <c r="L105" s="267">
        <f t="shared" si="10"/>
        <v>0</v>
      </c>
      <c r="M105" s="267">
        <f t="shared" si="10"/>
        <v>590.28678148732138</v>
      </c>
      <c r="N105" s="267">
        <f t="shared" si="10"/>
        <v>2602.1901001183542</v>
      </c>
      <c r="O105" s="267">
        <f t="shared" si="10"/>
        <v>3296.4509508763172</v>
      </c>
      <c r="P105" s="267">
        <f t="shared" si="10"/>
        <v>11261.158744192646</v>
      </c>
      <c r="Q105" s="267">
        <f t="shared" si="10"/>
        <v>0</v>
      </c>
      <c r="R105" s="267">
        <f t="shared" si="10"/>
        <v>0</v>
      </c>
      <c r="S105" s="267">
        <f t="shared" si="10"/>
        <v>1852.4656781399999</v>
      </c>
      <c r="T105" s="267">
        <f t="shared" si="10"/>
        <v>19177.229918017496</v>
      </c>
      <c r="U105" s="267">
        <f t="shared" si="10"/>
        <v>11072.692576154997</v>
      </c>
      <c r="V105" s="267">
        <f t="shared" si="10"/>
        <v>8595.7214231874987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>
        <f t="shared" si="10"/>
        <v>499.82319617976941</v>
      </c>
      <c r="AH105" s="267">
        <f t="shared" si="10"/>
        <v>0</v>
      </c>
      <c r="AI105" s="267">
        <f t="shared" si="10"/>
        <v>0</v>
      </c>
      <c r="AJ105" s="267">
        <f t="shared" si="10"/>
        <v>0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25">
      <c r="E106" s="14"/>
      <c r="F106" s="293" t="s">
        <v>135</v>
      </c>
      <c r="G106" s="108" t="s">
        <v>107</v>
      </c>
      <c r="H106" s="275">
        <f t="shared" si="9"/>
        <v>404073.70583954448</v>
      </c>
      <c r="J106" s="275">
        <f t="shared" ref="J106:AO106" si="11">J34 * thousand * J65 / hundred</f>
        <v>354997.88141375338</v>
      </c>
      <c r="K106" s="275">
        <f t="shared" si="11"/>
        <v>0</v>
      </c>
      <c r="L106" s="275">
        <f t="shared" si="11"/>
        <v>0</v>
      </c>
      <c r="M106" s="275">
        <f t="shared" si="11"/>
        <v>557.9632121718098</v>
      </c>
      <c r="N106" s="275">
        <f t="shared" si="11"/>
        <v>2459.6965279916326</v>
      </c>
      <c r="O106" s="275">
        <f t="shared" si="11"/>
        <v>3115.940283608184</v>
      </c>
      <c r="P106" s="275">
        <f t="shared" si="11"/>
        <v>10644.507894712777</v>
      </c>
      <c r="Q106" s="275">
        <f t="shared" si="11"/>
        <v>0</v>
      </c>
      <c r="R106" s="275">
        <f t="shared" si="11"/>
        <v>0</v>
      </c>
      <c r="S106" s="275">
        <f t="shared" si="11"/>
        <v>1408.8874817736025</v>
      </c>
      <c r="T106" s="275">
        <f t="shared" si="11"/>
        <v>14585.187453360819</v>
      </c>
      <c r="U106" s="275">
        <f t="shared" si="11"/>
        <v>8421.3047206013071</v>
      </c>
      <c r="V106" s="275">
        <f t="shared" si="11"/>
        <v>6537.4513832297871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>
        <f t="shared" si="11"/>
        <v>1344.8854683411889</v>
      </c>
      <c r="AH106" s="275">
        <f t="shared" si="11"/>
        <v>0</v>
      </c>
      <c r="AI106" s="275">
        <f t="shared" si="11"/>
        <v>0</v>
      </c>
      <c r="AJ106" s="275">
        <f t="shared" si="11"/>
        <v>0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25">
      <c r="E107" s="14"/>
      <c r="F107" s="293" t="s">
        <v>136</v>
      </c>
      <c r="G107" s="108" t="s">
        <v>107</v>
      </c>
      <c r="H107" s="275">
        <f t="shared" si="9"/>
        <v>42645.645966073906</v>
      </c>
      <c r="J107" s="275">
        <f t="shared" ref="J107:AO107" si="12">J35 * thousand * J66 / hundred</f>
        <v>36941.694362327748</v>
      </c>
      <c r="K107" s="275">
        <f t="shared" si="12"/>
        <v>0</v>
      </c>
      <c r="L107" s="275">
        <f t="shared" si="12"/>
        <v>0</v>
      </c>
      <c r="M107" s="275">
        <f t="shared" si="12"/>
        <v>59.813117827195896</v>
      </c>
      <c r="N107" s="275">
        <f t="shared" si="12"/>
        <v>263.67709382712115</v>
      </c>
      <c r="O107" s="275">
        <f t="shared" si="12"/>
        <v>334.0257910562276</v>
      </c>
      <c r="P107" s="275">
        <f t="shared" si="12"/>
        <v>1141.0809727773299</v>
      </c>
      <c r="Q107" s="275">
        <f t="shared" si="12"/>
        <v>0</v>
      </c>
      <c r="R107" s="275">
        <f t="shared" si="12"/>
        <v>0</v>
      </c>
      <c r="S107" s="275">
        <f t="shared" si="12"/>
        <v>148.04255083262782</v>
      </c>
      <c r="T107" s="275">
        <f t="shared" si="12"/>
        <v>1532.5768614604995</v>
      </c>
      <c r="U107" s="275">
        <f t="shared" si="12"/>
        <v>884.89070156775256</v>
      </c>
      <c r="V107" s="275">
        <f t="shared" si="12"/>
        <v>686.93986655291326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>
        <f t="shared" si="12"/>
        <v>652.90464784448852</v>
      </c>
      <c r="AH107" s="275">
        <f t="shared" si="12"/>
        <v>0</v>
      </c>
      <c r="AI107" s="275">
        <f t="shared" si="12"/>
        <v>0</v>
      </c>
      <c r="AJ107" s="275">
        <f t="shared" si="12"/>
        <v>0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25">
      <c r="E108" s="14"/>
      <c r="F108" s="91" t="s">
        <v>254</v>
      </c>
      <c r="G108" s="129" t="s">
        <v>107</v>
      </c>
      <c r="H108" s="267">
        <f t="shared" si="9"/>
        <v>1010830.8905000002</v>
      </c>
      <c r="I108" s="91"/>
      <c r="J108" s="267">
        <f t="shared" ref="J108:AO108" si="13" xml:space="preserve"> J36 * J67 * days_in_year / hundred</f>
        <v>824731.22400000005</v>
      </c>
      <c r="K108" s="267">
        <f t="shared" si="13"/>
        <v>0</v>
      </c>
      <c r="L108" s="267">
        <f t="shared" si="13"/>
        <v>0</v>
      </c>
      <c r="M108" s="267">
        <f t="shared" si="13"/>
        <v>255.35400000000001</v>
      </c>
      <c r="N108" s="267">
        <f t="shared" si="13"/>
        <v>3406.7274999999995</v>
      </c>
      <c r="O108" s="267">
        <f t="shared" si="13"/>
        <v>9358.7459999999992</v>
      </c>
      <c r="P108" s="267">
        <f t="shared" si="13"/>
        <v>97326.775500000003</v>
      </c>
      <c r="Q108" s="267">
        <f t="shared" si="13"/>
        <v>0</v>
      </c>
      <c r="R108" s="267">
        <f t="shared" si="13"/>
        <v>0</v>
      </c>
      <c r="S108" s="267">
        <f t="shared" si="13"/>
        <v>3246.8575000000001</v>
      </c>
      <c r="T108" s="267">
        <f t="shared" si="13"/>
        <v>32941.979999999996</v>
      </c>
      <c r="U108" s="267">
        <f t="shared" si="13"/>
        <v>19041.903999999999</v>
      </c>
      <c r="V108" s="267">
        <f t="shared" si="13"/>
        <v>20521.322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>
        <f t="shared" si="13"/>
        <v>0</v>
      </c>
      <c r="AH108" s="267">
        <f t="shared" si="13"/>
        <v>0</v>
      </c>
      <c r="AI108" s="267">
        <f t="shared" si="13"/>
        <v>0</v>
      </c>
      <c r="AJ108" s="267">
        <f t="shared" si="13"/>
        <v>0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25">
      <c r="E109" s="14"/>
      <c r="F109" s="293" t="s">
        <v>255</v>
      </c>
      <c r="G109" s="108" t="s">
        <v>107</v>
      </c>
      <c r="H109" s="275">
        <f t="shared" si="9"/>
        <v>38317.700000000004</v>
      </c>
      <c r="J109" s="275">
        <f t="shared" ref="J109:AO109" si="14" xml:space="preserve"> J37 * J68 * days_in_year / hundred</f>
        <v>0</v>
      </c>
      <c r="K109" s="275">
        <f t="shared" si="14"/>
        <v>0</v>
      </c>
      <c r="L109" s="275">
        <f t="shared" si="14"/>
        <v>0</v>
      </c>
      <c r="M109" s="275">
        <f t="shared" si="14"/>
        <v>0</v>
      </c>
      <c r="N109" s="275">
        <f t="shared" si="14"/>
        <v>0</v>
      </c>
      <c r="O109" s="275">
        <f t="shared" si="14"/>
        <v>0</v>
      </c>
      <c r="P109" s="275">
        <f t="shared" si="14"/>
        <v>0</v>
      </c>
      <c r="Q109" s="275">
        <f t="shared" si="14"/>
        <v>0</v>
      </c>
      <c r="R109" s="275">
        <f t="shared" si="14"/>
        <v>0</v>
      </c>
      <c r="S109" s="275">
        <f t="shared" si="14"/>
        <v>1744.116</v>
      </c>
      <c r="T109" s="275">
        <f t="shared" si="14"/>
        <v>18055.5645</v>
      </c>
      <c r="U109" s="275">
        <f t="shared" si="14"/>
        <v>10425.057000000001</v>
      </c>
      <c r="V109" s="275">
        <f t="shared" si="14"/>
        <v>8092.9624999999996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>
        <f t="shared" si="14"/>
        <v>0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25">
      <c r="E110" s="14"/>
      <c r="F110" s="293" t="s">
        <v>256</v>
      </c>
      <c r="G110" s="108" t="s">
        <v>107</v>
      </c>
      <c r="H110" s="275">
        <f t="shared" si="9"/>
        <v>0</v>
      </c>
      <c r="J110" s="275">
        <f t="shared" ref="J110:AO110" si="15" xml:space="preserve"> J38 * J69 * days_in_year / hundred</f>
        <v>0</v>
      </c>
      <c r="K110" s="275">
        <f t="shared" si="15"/>
        <v>0</v>
      </c>
      <c r="L110" s="275">
        <f t="shared" si="15"/>
        <v>0</v>
      </c>
      <c r="M110" s="275">
        <f t="shared" si="15"/>
        <v>0</v>
      </c>
      <c r="N110" s="275">
        <f t="shared" si="15"/>
        <v>0</v>
      </c>
      <c r="O110" s="275">
        <f t="shared" si="15"/>
        <v>0</v>
      </c>
      <c r="P110" s="275">
        <f t="shared" si="15"/>
        <v>0</v>
      </c>
      <c r="Q110" s="275">
        <f t="shared" si="15"/>
        <v>0</v>
      </c>
      <c r="R110" s="275">
        <f t="shared" si="15"/>
        <v>0</v>
      </c>
      <c r="S110" s="275">
        <f t="shared" si="15"/>
        <v>0</v>
      </c>
      <c r="T110" s="275">
        <f t="shared" si="15"/>
        <v>0</v>
      </c>
      <c r="U110" s="275">
        <f t="shared" si="15"/>
        <v>0</v>
      </c>
      <c r="V110" s="275">
        <f t="shared" si="15"/>
        <v>0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>
        <f t="shared" si="15"/>
        <v>0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25">
      <c r="E111" s="14"/>
      <c r="F111" s="91" t="s">
        <v>257</v>
      </c>
      <c r="G111" s="129" t="s">
        <v>107</v>
      </c>
      <c r="H111" s="267">
        <f t="shared" si="9"/>
        <v>712.51623000000006</v>
      </c>
      <c r="I111" s="91"/>
      <c r="J111" s="267">
        <f t="shared" ref="J111:AO111" si="16">J39 * thousand * J70 / hundred</f>
        <v>0</v>
      </c>
      <c r="K111" s="267">
        <f t="shared" si="16"/>
        <v>0</v>
      </c>
      <c r="L111" s="267">
        <f t="shared" si="16"/>
        <v>0</v>
      </c>
      <c r="M111" s="267">
        <f t="shared" si="16"/>
        <v>0</v>
      </c>
      <c r="N111" s="267">
        <f t="shared" si="16"/>
        <v>0</v>
      </c>
      <c r="O111" s="267">
        <f t="shared" si="16"/>
        <v>0</v>
      </c>
      <c r="P111" s="267">
        <f t="shared" si="16"/>
        <v>0</v>
      </c>
      <c r="Q111" s="267">
        <f t="shared" si="16"/>
        <v>0</v>
      </c>
      <c r="R111" s="267">
        <f t="shared" si="16"/>
        <v>0</v>
      </c>
      <c r="S111" s="267">
        <f t="shared" si="16"/>
        <v>32.431773227586213</v>
      </c>
      <c r="T111" s="267">
        <f t="shared" si="16"/>
        <v>335.7425614810345</v>
      </c>
      <c r="U111" s="267">
        <f t="shared" si="16"/>
        <v>193.85355361034482</v>
      </c>
      <c r="V111" s="267">
        <f t="shared" si="16"/>
        <v>150.48834168103451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>
        <f t="shared" si="16"/>
        <v>0</v>
      </c>
      <c r="AH111" s="267">
        <f t="shared" si="16"/>
        <v>0</v>
      </c>
      <c r="AI111" s="267">
        <f t="shared" si="16"/>
        <v>0</v>
      </c>
      <c r="AJ111" s="267">
        <f t="shared" si="16"/>
        <v>0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25">
      <c r="E112" s="14"/>
      <c r="F112" s="73" t="s">
        <v>111</v>
      </c>
      <c r="G112" s="169" t="s">
        <v>107</v>
      </c>
      <c r="H112" s="270">
        <f>SUM(H105:H111)</f>
        <v>2110575.6321585993</v>
      </c>
      <c r="I112" s="73"/>
      <c r="J112" s="270">
        <f t="shared" ref="J112:AO112" si="17">SUM(J105:J111)</f>
        <v>1771717.954030707</v>
      </c>
      <c r="K112" s="270">
        <f t="shared" si="17"/>
        <v>0</v>
      </c>
      <c r="L112" s="270">
        <f t="shared" si="17"/>
        <v>0</v>
      </c>
      <c r="M112" s="270">
        <f t="shared" si="17"/>
        <v>1463.417111486327</v>
      </c>
      <c r="N112" s="270">
        <f t="shared" si="17"/>
        <v>8732.2912219371083</v>
      </c>
      <c r="O112" s="270">
        <f t="shared" si="17"/>
        <v>16105.163025540729</v>
      </c>
      <c r="P112" s="270">
        <f t="shared" si="17"/>
        <v>120373.52311168276</v>
      </c>
      <c r="Q112" s="270">
        <f t="shared" si="17"/>
        <v>0</v>
      </c>
      <c r="R112" s="270">
        <f t="shared" si="17"/>
        <v>0</v>
      </c>
      <c r="S112" s="270">
        <f t="shared" si="17"/>
        <v>8432.800983973817</v>
      </c>
      <c r="T112" s="270">
        <f t="shared" si="17"/>
        <v>86628.281294319851</v>
      </c>
      <c r="U112" s="270">
        <f t="shared" si="17"/>
        <v>50039.702551934402</v>
      </c>
      <c r="V112" s="270">
        <f t="shared" si="17"/>
        <v>44584.885514651236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>
        <f t="shared" si="17"/>
        <v>2497.6133123654467</v>
      </c>
      <c r="AH112" s="270">
        <f t="shared" si="17"/>
        <v>0</v>
      </c>
      <c r="AI112" s="270">
        <f t="shared" si="17"/>
        <v>0</v>
      </c>
      <c r="AJ112" s="270">
        <f t="shared" si="17"/>
        <v>0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2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25">
      <c r="E114" s="96" t="s">
        <v>907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25">
      <c r="C115" s="86"/>
      <c r="F115" s="91" t="s">
        <v>134</v>
      </c>
      <c r="G115" s="129" t="s">
        <v>107</v>
      </c>
      <c r="H115" s="267">
        <f t="shared" ref="H115:H121" si="18">SUM(J115:AO115)</f>
        <v>1044606.0078273951</v>
      </c>
      <c r="I115" s="91"/>
      <c r="J115" s="267">
        <f t="shared" ref="J115:AO115" si="19">J44 * thousand * J73 / hundred</f>
        <v>562340.8599657194</v>
      </c>
      <c r="K115" s="267">
        <f t="shared" si="19"/>
        <v>0</v>
      </c>
      <c r="L115" s="267">
        <f t="shared" si="19"/>
        <v>0</v>
      </c>
      <c r="M115" s="267">
        <f t="shared" si="19"/>
        <v>1681.8573691447482</v>
      </c>
      <c r="N115" s="267">
        <f t="shared" si="19"/>
        <v>7414.2141295663841</v>
      </c>
      <c r="O115" s="267">
        <f t="shared" si="19"/>
        <v>9392.3165783691638</v>
      </c>
      <c r="P115" s="267">
        <f t="shared" si="19"/>
        <v>32085.527599496163</v>
      </c>
      <c r="Q115" s="267">
        <f t="shared" si="19"/>
        <v>0</v>
      </c>
      <c r="R115" s="267">
        <f t="shared" si="19"/>
        <v>0</v>
      </c>
      <c r="S115" s="267">
        <f t="shared" si="19"/>
        <v>157508.98439182612</v>
      </c>
      <c r="T115" s="267">
        <f t="shared" si="19"/>
        <v>95110.728133833283</v>
      </c>
      <c r="U115" s="267">
        <f t="shared" si="19"/>
        <v>11287.370487510429</v>
      </c>
      <c r="V115" s="267">
        <f t="shared" si="19"/>
        <v>8361.0151759336532</v>
      </c>
      <c r="W115" s="267">
        <f t="shared" si="19"/>
        <v>0</v>
      </c>
      <c r="X115" s="267">
        <f t="shared" si="19"/>
        <v>5168.9886491478292</v>
      </c>
      <c r="Y115" s="267">
        <f t="shared" si="19"/>
        <v>58268.115873161281</v>
      </c>
      <c r="Z115" s="267">
        <f t="shared" si="19"/>
        <v>7976.8343351046751</v>
      </c>
      <c r="AA115" s="267">
        <f t="shared" si="19"/>
        <v>0</v>
      </c>
      <c r="AB115" s="267">
        <f t="shared" si="19"/>
        <v>0</v>
      </c>
      <c r="AC115" s="267">
        <f t="shared" si="19"/>
        <v>6900.0754099657097</v>
      </c>
      <c r="AD115" s="267">
        <f t="shared" si="19"/>
        <v>31565.935385627268</v>
      </c>
      <c r="AE115" s="267">
        <f t="shared" si="19"/>
        <v>23551.917912244586</v>
      </c>
      <c r="AF115" s="267">
        <f t="shared" si="19"/>
        <v>29280.762809817596</v>
      </c>
      <c r="AG115" s="267">
        <f t="shared" si="19"/>
        <v>776.59394092697244</v>
      </c>
      <c r="AH115" s="267">
        <f t="shared" si="19"/>
        <v>0</v>
      </c>
      <c r="AI115" s="267">
        <f t="shared" si="19"/>
        <v>0</v>
      </c>
      <c r="AJ115" s="267">
        <f t="shared" si="19"/>
        <v>-4066.0903200000002</v>
      </c>
      <c r="AK115" s="267">
        <f t="shared" si="19"/>
        <v>0</v>
      </c>
      <c r="AL115" s="267">
        <f t="shared" si="19"/>
        <v>0</v>
      </c>
      <c r="AM115" s="267">
        <f t="shared" si="19"/>
        <v>0</v>
      </c>
      <c r="AN115" s="267">
        <f t="shared" si="19"/>
        <v>0</v>
      </c>
      <c r="AO115" s="267">
        <f t="shared" si="19"/>
        <v>0</v>
      </c>
    </row>
    <row r="116" spans="3:43" x14ac:dyDescent="0.25">
      <c r="C116" s="86"/>
      <c r="F116" s="293" t="s">
        <v>135</v>
      </c>
      <c r="G116" s="108" t="s">
        <v>107</v>
      </c>
      <c r="H116" s="275">
        <f t="shared" si="18"/>
        <v>700164.381038227</v>
      </c>
      <c r="J116" s="275">
        <f t="shared" ref="J116:AO116" si="20">J45 * thousand * J74 / hundred</f>
        <v>359584.33514765988</v>
      </c>
      <c r="K116" s="275">
        <f t="shared" si="20"/>
        <v>0</v>
      </c>
      <c r="L116" s="275">
        <f t="shared" si="20"/>
        <v>0</v>
      </c>
      <c r="M116" s="275">
        <f t="shared" si="20"/>
        <v>1589.3785329640191</v>
      </c>
      <c r="N116" s="275">
        <f t="shared" si="20"/>
        <v>7006.5351512677162</v>
      </c>
      <c r="O116" s="275">
        <f t="shared" si="20"/>
        <v>8875.8693919765155</v>
      </c>
      <c r="P116" s="275">
        <f t="shared" si="20"/>
        <v>30321.268450603566</v>
      </c>
      <c r="Q116" s="275">
        <f t="shared" si="20"/>
        <v>0</v>
      </c>
      <c r="R116" s="275">
        <f t="shared" si="20"/>
        <v>0</v>
      </c>
      <c r="S116" s="275">
        <f t="shared" si="20"/>
        <v>113196.42329299268</v>
      </c>
      <c r="T116" s="275">
        <f t="shared" si="20"/>
        <v>68352.889729513379</v>
      </c>
      <c r="U116" s="275">
        <f t="shared" si="20"/>
        <v>8111.8545237434037</v>
      </c>
      <c r="V116" s="275">
        <f t="shared" si="20"/>
        <v>6008.7811286988172</v>
      </c>
      <c r="W116" s="275">
        <f t="shared" si="20"/>
        <v>0</v>
      </c>
      <c r="X116" s="275">
        <f t="shared" si="20"/>
        <v>3286.9881820896612</v>
      </c>
      <c r="Y116" s="275">
        <f t="shared" si="20"/>
        <v>37053.013900366685</v>
      </c>
      <c r="Z116" s="275">
        <f t="shared" si="20"/>
        <v>5072.512626681576</v>
      </c>
      <c r="AA116" s="275">
        <f t="shared" si="20"/>
        <v>0</v>
      </c>
      <c r="AB116" s="275">
        <f t="shared" si="20"/>
        <v>0</v>
      </c>
      <c r="AC116" s="275">
        <f t="shared" si="20"/>
        <v>3757.0609031270615</v>
      </c>
      <c r="AD116" s="275">
        <f t="shared" si="20"/>
        <v>17187.513854803594</v>
      </c>
      <c r="AE116" s="275">
        <f t="shared" si="20"/>
        <v>12823.916366762107</v>
      </c>
      <c r="AF116" s="275">
        <f t="shared" si="20"/>
        <v>15943.247374893434</v>
      </c>
      <c r="AG116" s="275">
        <f t="shared" si="20"/>
        <v>1992.7924800827252</v>
      </c>
      <c r="AH116" s="275">
        <f t="shared" si="20"/>
        <v>0</v>
      </c>
      <c r="AI116" s="275">
        <f t="shared" si="20"/>
        <v>0</v>
      </c>
      <c r="AJ116" s="275">
        <f t="shared" si="20"/>
        <v>0</v>
      </c>
      <c r="AK116" s="275">
        <f t="shared" si="20"/>
        <v>0</v>
      </c>
      <c r="AL116" s="275">
        <f t="shared" si="20"/>
        <v>0</v>
      </c>
      <c r="AM116" s="275">
        <f t="shared" si="20"/>
        <v>0</v>
      </c>
      <c r="AN116" s="275">
        <f t="shared" si="20"/>
        <v>0</v>
      </c>
      <c r="AO116" s="275">
        <f t="shared" si="20"/>
        <v>0</v>
      </c>
    </row>
    <row r="117" spans="3:43" x14ac:dyDescent="0.25">
      <c r="C117" s="86"/>
      <c r="F117" s="293" t="s">
        <v>136</v>
      </c>
      <c r="G117" s="108" t="s">
        <v>107</v>
      </c>
      <c r="H117" s="275">
        <f t="shared" si="18"/>
        <v>76729.828917877108</v>
      </c>
      <c r="J117" s="275">
        <f t="shared" ref="J117:AO117" si="21">J46 * thousand * J75 / hundred</f>
        <v>37534.920755540836</v>
      </c>
      <c r="K117" s="275">
        <f t="shared" si="21"/>
        <v>0</v>
      </c>
      <c r="L117" s="275">
        <f t="shared" si="21"/>
        <v>0</v>
      </c>
      <c r="M117" s="275">
        <f t="shared" si="21"/>
        <v>170.82569229491205</v>
      </c>
      <c r="N117" s="275">
        <f t="shared" si="21"/>
        <v>753.05925742677675</v>
      </c>
      <c r="O117" s="275">
        <f t="shared" si="21"/>
        <v>953.97446370186594</v>
      </c>
      <c r="P117" s="275">
        <f t="shared" si="21"/>
        <v>3258.9163417695959</v>
      </c>
      <c r="Q117" s="275">
        <f t="shared" si="21"/>
        <v>0</v>
      </c>
      <c r="R117" s="275">
        <f t="shared" si="21"/>
        <v>0</v>
      </c>
      <c r="S117" s="275">
        <f t="shared" si="21"/>
        <v>12087.726288617421</v>
      </c>
      <c r="T117" s="275">
        <f t="shared" si="21"/>
        <v>7299.0912437915695</v>
      </c>
      <c r="U117" s="275">
        <f t="shared" si="21"/>
        <v>866.22769804567884</v>
      </c>
      <c r="V117" s="275">
        <f t="shared" si="21"/>
        <v>641.65014670050277</v>
      </c>
      <c r="W117" s="275">
        <f t="shared" si="21"/>
        <v>0</v>
      </c>
      <c r="X117" s="275">
        <f t="shared" si="21"/>
        <v>405.19627176076472</v>
      </c>
      <c r="Y117" s="275">
        <f t="shared" si="21"/>
        <v>4567.6291663402262</v>
      </c>
      <c r="Z117" s="275">
        <f t="shared" si="21"/>
        <v>625.30288851969863</v>
      </c>
      <c r="AA117" s="275">
        <f t="shared" si="21"/>
        <v>0</v>
      </c>
      <c r="AB117" s="275">
        <f t="shared" si="21"/>
        <v>0</v>
      </c>
      <c r="AC117" s="275">
        <f t="shared" si="21"/>
        <v>498.58426056035023</v>
      </c>
      <c r="AD117" s="275">
        <f t="shared" si="21"/>
        <v>2280.8850074896477</v>
      </c>
      <c r="AE117" s="275">
        <f t="shared" si="21"/>
        <v>1701.8097454550705</v>
      </c>
      <c r="AF117" s="275">
        <f t="shared" si="21"/>
        <v>2115.7634673225202</v>
      </c>
      <c r="AG117" s="275">
        <f t="shared" si="21"/>
        <v>968.26622253964797</v>
      </c>
      <c r="AH117" s="275">
        <f t="shared" si="21"/>
        <v>0</v>
      </c>
      <c r="AI117" s="275">
        <f t="shared" si="21"/>
        <v>0</v>
      </c>
      <c r="AJ117" s="275">
        <f t="shared" si="21"/>
        <v>0</v>
      </c>
      <c r="AK117" s="275">
        <f t="shared" si="21"/>
        <v>0</v>
      </c>
      <c r="AL117" s="275">
        <f t="shared" si="21"/>
        <v>0</v>
      </c>
      <c r="AM117" s="275">
        <f t="shared" si="21"/>
        <v>0</v>
      </c>
      <c r="AN117" s="275">
        <f t="shared" si="21"/>
        <v>0</v>
      </c>
      <c r="AO117" s="275">
        <f t="shared" si="21"/>
        <v>0</v>
      </c>
    </row>
    <row r="118" spans="3:43" x14ac:dyDescent="0.25">
      <c r="C118" s="86"/>
      <c r="F118" s="91" t="s">
        <v>254</v>
      </c>
      <c r="G118" s="129" t="s">
        <v>107</v>
      </c>
      <c r="H118" s="267">
        <f t="shared" si="18"/>
        <v>1545186.1089999995</v>
      </c>
      <c r="I118" s="91"/>
      <c r="J118" s="267">
        <f t="shared" ref="J118:AO118" si="22" xml:space="preserve"> J47 * J76 * days_in_year / hundred</f>
        <v>828583.43400000001</v>
      </c>
      <c r="K118" s="267">
        <f t="shared" si="22"/>
        <v>0</v>
      </c>
      <c r="L118" s="267">
        <f t="shared" si="22"/>
        <v>0</v>
      </c>
      <c r="M118" s="267">
        <f t="shared" si="22"/>
        <v>342.07800000000003</v>
      </c>
      <c r="N118" s="267">
        <f t="shared" si="22"/>
        <v>4372.5174999999999</v>
      </c>
      <c r="O118" s="267">
        <f t="shared" si="22"/>
        <v>12139.608</v>
      </c>
      <c r="P118" s="267">
        <f t="shared" si="22"/>
        <v>125430.05999999998</v>
      </c>
      <c r="Q118" s="267">
        <f t="shared" si="22"/>
        <v>0</v>
      </c>
      <c r="R118" s="267">
        <f t="shared" si="22"/>
        <v>0</v>
      </c>
      <c r="S118" s="267">
        <f t="shared" si="22"/>
        <v>105300.7115</v>
      </c>
      <c r="T118" s="267">
        <f t="shared" si="22"/>
        <v>37492.361999999994</v>
      </c>
      <c r="U118" s="267">
        <f t="shared" si="22"/>
        <v>3461.3680000000004</v>
      </c>
      <c r="V118" s="267">
        <f t="shared" si="22"/>
        <v>3730.1904999999997</v>
      </c>
      <c r="W118" s="267">
        <f t="shared" si="22"/>
        <v>0</v>
      </c>
      <c r="X118" s="267">
        <f t="shared" si="22"/>
        <v>2908.0279999999998</v>
      </c>
      <c r="Y118" s="267">
        <f t="shared" si="22"/>
        <v>26346.576000000001</v>
      </c>
      <c r="Z118" s="267">
        <f t="shared" si="22"/>
        <v>2760.2395000000001</v>
      </c>
      <c r="AA118" s="267">
        <f t="shared" si="22"/>
        <v>0</v>
      </c>
      <c r="AB118" s="267">
        <f t="shared" si="22"/>
        <v>0</v>
      </c>
      <c r="AC118" s="267">
        <f t="shared" si="22"/>
        <v>19600.792000000001</v>
      </c>
      <c r="AD118" s="267">
        <f t="shared" si="22"/>
        <v>138556.92000000001</v>
      </c>
      <c r="AE118" s="267">
        <f t="shared" si="22"/>
        <v>104206.77000000002</v>
      </c>
      <c r="AF118" s="267">
        <f t="shared" si="22"/>
        <v>129954.454</v>
      </c>
      <c r="AG118" s="267">
        <f t="shared" si="22"/>
        <v>0</v>
      </c>
      <c r="AH118" s="267">
        <f t="shared" si="22"/>
        <v>0</v>
      </c>
      <c r="AI118" s="267">
        <f t="shared" si="22"/>
        <v>0</v>
      </c>
      <c r="AJ118" s="267">
        <f t="shared" si="22"/>
        <v>0</v>
      </c>
      <c r="AK118" s="267">
        <f t="shared" si="22"/>
        <v>0</v>
      </c>
      <c r="AL118" s="267">
        <f t="shared" si="22"/>
        <v>0</v>
      </c>
      <c r="AM118" s="267">
        <f t="shared" si="22"/>
        <v>0</v>
      </c>
      <c r="AN118" s="267">
        <f t="shared" si="22"/>
        <v>0</v>
      </c>
      <c r="AO118" s="267">
        <f t="shared" si="22"/>
        <v>0</v>
      </c>
    </row>
    <row r="119" spans="3:43" x14ac:dyDescent="0.25">
      <c r="C119" s="86"/>
      <c r="F119" s="293" t="s">
        <v>255</v>
      </c>
      <c r="G119" s="108" t="s">
        <v>107</v>
      </c>
      <c r="H119" s="275">
        <f t="shared" si="18"/>
        <v>718557.32299999997</v>
      </c>
      <c r="J119" s="275">
        <f t="shared" ref="J119:AO119" si="23" xml:space="preserve"> J48 * J77 * days_in_year / hundred</f>
        <v>0</v>
      </c>
      <c r="K119" s="275">
        <f t="shared" si="23"/>
        <v>0</v>
      </c>
      <c r="L119" s="275">
        <f t="shared" si="23"/>
        <v>0</v>
      </c>
      <c r="M119" s="275">
        <f t="shared" si="23"/>
        <v>0</v>
      </c>
      <c r="N119" s="275">
        <f t="shared" si="23"/>
        <v>0</v>
      </c>
      <c r="O119" s="275">
        <f t="shared" si="23"/>
        <v>0</v>
      </c>
      <c r="P119" s="275">
        <f t="shared" si="23"/>
        <v>0</v>
      </c>
      <c r="Q119" s="275">
        <f t="shared" si="23"/>
        <v>0</v>
      </c>
      <c r="R119" s="275">
        <f t="shared" si="23"/>
        <v>0</v>
      </c>
      <c r="S119" s="275">
        <f t="shared" si="23"/>
        <v>181527.78600000002</v>
      </c>
      <c r="T119" s="275">
        <f t="shared" si="23"/>
        <v>109614.31800000001</v>
      </c>
      <c r="U119" s="275">
        <f t="shared" si="23"/>
        <v>13008.6</v>
      </c>
      <c r="V119" s="275">
        <f t="shared" si="23"/>
        <v>9636</v>
      </c>
      <c r="W119" s="275">
        <f t="shared" si="23"/>
        <v>0</v>
      </c>
      <c r="X119" s="275">
        <f t="shared" si="23"/>
        <v>14936.238000000001</v>
      </c>
      <c r="Y119" s="275">
        <f t="shared" si="23"/>
        <v>168370.74050000001</v>
      </c>
      <c r="Z119" s="275">
        <f t="shared" si="23"/>
        <v>23049.75</v>
      </c>
      <c r="AA119" s="275">
        <f t="shared" si="23"/>
        <v>0</v>
      </c>
      <c r="AB119" s="275">
        <f t="shared" si="23"/>
        <v>0</v>
      </c>
      <c r="AC119" s="275">
        <f t="shared" si="23"/>
        <v>14995.513999999999</v>
      </c>
      <c r="AD119" s="275">
        <f t="shared" si="23"/>
        <v>68600.32650000001</v>
      </c>
      <c r="AE119" s="275">
        <f t="shared" si="23"/>
        <v>51183.95</v>
      </c>
      <c r="AF119" s="275">
        <f t="shared" si="23"/>
        <v>63634.1</v>
      </c>
      <c r="AG119" s="275">
        <f t="shared" si="23"/>
        <v>0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25">
      <c r="C120" s="86"/>
      <c r="F120" s="293" t="s">
        <v>256</v>
      </c>
      <c r="G120" s="108" t="s">
        <v>107</v>
      </c>
      <c r="H120" s="275">
        <f t="shared" si="18"/>
        <v>626.40995833333341</v>
      </c>
      <c r="J120" s="275">
        <f t="shared" ref="J120:AO120" si="24" xml:space="preserve"> J49 * J78 * days_in_year / hundred</f>
        <v>0</v>
      </c>
      <c r="K120" s="275">
        <f t="shared" si="24"/>
        <v>0</v>
      </c>
      <c r="L120" s="275">
        <f t="shared" si="24"/>
        <v>0</v>
      </c>
      <c r="M120" s="275">
        <f t="shared" si="24"/>
        <v>0</v>
      </c>
      <c r="N120" s="275">
        <f t="shared" si="24"/>
        <v>0</v>
      </c>
      <c r="O120" s="275">
        <f t="shared" si="24"/>
        <v>0</v>
      </c>
      <c r="P120" s="275">
        <f t="shared" si="24"/>
        <v>0</v>
      </c>
      <c r="Q120" s="275">
        <f t="shared" si="24"/>
        <v>0</v>
      </c>
      <c r="R120" s="275">
        <f t="shared" si="24"/>
        <v>0</v>
      </c>
      <c r="S120" s="275">
        <f t="shared" si="24"/>
        <v>260.14300085984524</v>
      </c>
      <c r="T120" s="275">
        <f t="shared" si="24"/>
        <v>157.08558039552881</v>
      </c>
      <c r="U120" s="275">
        <f t="shared" si="24"/>
        <v>18.642304385210664</v>
      </c>
      <c r="V120" s="275">
        <f t="shared" si="24"/>
        <v>13.809114359415307</v>
      </c>
      <c r="W120" s="275">
        <f t="shared" si="24"/>
        <v>0</v>
      </c>
      <c r="X120" s="275">
        <f t="shared" si="24"/>
        <v>0</v>
      </c>
      <c r="Y120" s="275">
        <f t="shared" si="24"/>
        <v>0</v>
      </c>
      <c r="Z120" s="275">
        <f t="shared" si="24"/>
        <v>0</v>
      </c>
      <c r="AA120" s="275">
        <f t="shared" si="24"/>
        <v>0</v>
      </c>
      <c r="AB120" s="275">
        <f t="shared" si="24"/>
        <v>0</v>
      </c>
      <c r="AC120" s="275">
        <f t="shared" si="24"/>
        <v>13.356708835901371</v>
      </c>
      <c r="AD120" s="275">
        <f t="shared" si="24"/>
        <v>61.103246418113379</v>
      </c>
      <c r="AE120" s="275">
        <f t="shared" si="24"/>
        <v>45.590242336563712</v>
      </c>
      <c r="AF120" s="275">
        <f t="shared" si="24"/>
        <v>56.679760742754894</v>
      </c>
      <c r="AG120" s="275">
        <f t="shared" si="24"/>
        <v>0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25">
      <c r="C121" s="86"/>
      <c r="F121" s="91" t="s">
        <v>257</v>
      </c>
      <c r="G121" s="129" t="s">
        <v>107</v>
      </c>
      <c r="H121" s="267">
        <f t="shared" si="18"/>
        <v>16923.918889000004</v>
      </c>
      <c r="I121" s="91"/>
      <c r="J121" s="267">
        <f t="shared" ref="J121:AO121" si="25">J50 * thousand * J79 / hundred</f>
        <v>0</v>
      </c>
      <c r="K121" s="267">
        <f t="shared" si="25"/>
        <v>0</v>
      </c>
      <c r="L121" s="267">
        <f t="shared" si="25"/>
        <v>0</v>
      </c>
      <c r="M121" s="267">
        <f t="shared" si="25"/>
        <v>0</v>
      </c>
      <c r="N121" s="267">
        <f t="shared" si="25"/>
        <v>0</v>
      </c>
      <c r="O121" s="267">
        <f t="shared" si="25"/>
        <v>0</v>
      </c>
      <c r="P121" s="267">
        <f t="shared" si="25"/>
        <v>0</v>
      </c>
      <c r="Q121" s="267">
        <f t="shared" si="25"/>
        <v>0</v>
      </c>
      <c r="R121" s="267">
        <f t="shared" si="25"/>
        <v>0</v>
      </c>
      <c r="S121" s="267">
        <f t="shared" si="25"/>
        <v>5055.5678762179705</v>
      </c>
      <c r="T121" s="267">
        <f t="shared" si="25"/>
        <v>3052.7702511302668</v>
      </c>
      <c r="U121" s="267">
        <f t="shared" si="25"/>
        <v>362.29087416165095</v>
      </c>
      <c r="V121" s="267">
        <f t="shared" si="25"/>
        <v>268.3636104901118</v>
      </c>
      <c r="W121" s="267">
        <f t="shared" si="25"/>
        <v>0</v>
      </c>
      <c r="X121" s="267">
        <f t="shared" si="25"/>
        <v>543.26925106292356</v>
      </c>
      <c r="Y121" s="267">
        <f t="shared" si="25"/>
        <v>6124.0752920745408</v>
      </c>
      <c r="Z121" s="267">
        <f t="shared" si="25"/>
        <v>838.37847386253623</v>
      </c>
      <c r="AA121" s="267">
        <f t="shared" si="25"/>
        <v>0</v>
      </c>
      <c r="AB121" s="267">
        <f t="shared" si="25"/>
        <v>0</v>
      </c>
      <c r="AC121" s="267">
        <f t="shared" si="25"/>
        <v>40.911003211880356</v>
      </c>
      <c r="AD121" s="267">
        <f t="shared" si="25"/>
        <v>187.15651746099141</v>
      </c>
      <c r="AE121" s="267">
        <f t="shared" si="25"/>
        <v>139.64087812173184</v>
      </c>
      <c r="AF121" s="267">
        <f t="shared" si="25"/>
        <v>173.60757820539635</v>
      </c>
      <c r="AG121" s="267">
        <f t="shared" si="25"/>
        <v>0</v>
      </c>
      <c r="AH121" s="267">
        <f t="shared" si="25"/>
        <v>0</v>
      </c>
      <c r="AI121" s="267">
        <f t="shared" si="25"/>
        <v>0</v>
      </c>
      <c r="AJ121" s="267">
        <f t="shared" si="25"/>
        <v>137.887283</v>
      </c>
      <c r="AK121" s="267">
        <f t="shared" si="25"/>
        <v>0</v>
      </c>
      <c r="AL121" s="267">
        <f t="shared" si="25"/>
        <v>0</v>
      </c>
      <c r="AM121" s="267">
        <f t="shared" si="25"/>
        <v>0</v>
      </c>
      <c r="AN121" s="267">
        <f t="shared" si="25"/>
        <v>0</v>
      </c>
      <c r="AO121" s="267">
        <f t="shared" si="25"/>
        <v>0</v>
      </c>
    </row>
    <row r="122" spans="3:43" x14ac:dyDescent="0.25">
      <c r="C122" s="86"/>
      <c r="F122" s="73" t="s">
        <v>111</v>
      </c>
      <c r="G122" s="169" t="s">
        <v>107</v>
      </c>
      <c r="H122" s="270">
        <f>SUM(H115:H121)</f>
        <v>4102793.9786308319</v>
      </c>
      <c r="I122" s="73"/>
      <c r="J122" s="270">
        <f t="shared" ref="J122:AO122" si="26">SUM(J115:J121)</f>
        <v>1788043.5498689201</v>
      </c>
      <c r="K122" s="270">
        <f t="shared" si="26"/>
        <v>0</v>
      </c>
      <c r="L122" s="270">
        <f t="shared" si="26"/>
        <v>0</v>
      </c>
      <c r="M122" s="270">
        <f t="shared" si="26"/>
        <v>3784.1395944036794</v>
      </c>
      <c r="N122" s="270">
        <f t="shared" si="26"/>
        <v>19546.326038260879</v>
      </c>
      <c r="O122" s="270">
        <f t="shared" si="26"/>
        <v>31361.768434047546</v>
      </c>
      <c r="P122" s="270">
        <f t="shared" si="26"/>
        <v>191095.77239186931</v>
      </c>
      <c r="Q122" s="270">
        <f t="shared" si="26"/>
        <v>0</v>
      </c>
      <c r="R122" s="270">
        <f t="shared" si="26"/>
        <v>0</v>
      </c>
      <c r="S122" s="270">
        <f t="shared" si="26"/>
        <v>574937.34235051414</v>
      </c>
      <c r="T122" s="270">
        <f t="shared" si="26"/>
        <v>321079.24493866402</v>
      </c>
      <c r="U122" s="270">
        <f t="shared" si="26"/>
        <v>37116.353887846366</v>
      </c>
      <c r="V122" s="270">
        <f t="shared" si="26"/>
        <v>28659.8096761825</v>
      </c>
      <c r="W122" s="270">
        <f t="shared" si="26"/>
        <v>0</v>
      </c>
      <c r="X122" s="270">
        <f t="shared" si="26"/>
        <v>27248.708354061182</v>
      </c>
      <c r="Y122" s="270">
        <f t="shared" si="26"/>
        <v>300730.15073194273</v>
      </c>
      <c r="Z122" s="270">
        <f t="shared" si="26"/>
        <v>40323.017824168484</v>
      </c>
      <c r="AA122" s="270">
        <f t="shared" si="26"/>
        <v>0</v>
      </c>
      <c r="AB122" s="270">
        <f t="shared" si="26"/>
        <v>0</v>
      </c>
      <c r="AC122" s="270">
        <f t="shared" si="26"/>
        <v>45806.294285700904</v>
      </c>
      <c r="AD122" s="270">
        <f t="shared" si="26"/>
        <v>258439.84051179967</v>
      </c>
      <c r="AE122" s="270">
        <f t="shared" si="26"/>
        <v>193653.59514492005</v>
      </c>
      <c r="AF122" s="270">
        <f t="shared" si="26"/>
        <v>241158.61499098173</v>
      </c>
      <c r="AG122" s="270">
        <f t="shared" si="26"/>
        <v>3737.6526435493456</v>
      </c>
      <c r="AH122" s="270">
        <f t="shared" si="26"/>
        <v>0</v>
      </c>
      <c r="AI122" s="270">
        <f t="shared" si="26"/>
        <v>0</v>
      </c>
      <c r="AJ122" s="270">
        <f t="shared" si="26"/>
        <v>-3928.2030370000002</v>
      </c>
      <c r="AK122" s="270">
        <f t="shared" si="26"/>
        <v>0</v>
      </c>
      <c r="AL122" s="270">
        <f t="shared" si="26"/>
        <v>0</v>
      </c>
      <c r="AM122" s="270">
        <f t="shared" si="26"/>
        <v>0</v>
      </c>
      <c r="AN122" s="270">
        <f t="shared" si="26"/>
        <v>0</v>
      </c>
      <c r="AO122" s="270">
        <f t="shared" si="26"/>
        <v>0</v>
      </c>
    </row>
    <row r="123" spans="3:43" x14ac:dyDescent="0.2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25">
      <c r="C124" s="7" t="str">
        <f ca="1">INDEX('Version control'!$H$34:$H$60,MATCH($A$1,'Version control'!$F$34:$F$60,0),1)&amp;"-E: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2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25">
      <c r="E126" s="293" t="s">
        <v>184</v>
      </c>
      <c r="G126" s="108" t="s">
        <v>107</v>
      </c>
      <c r="H126" s="424">
        <f>H83</f>
        <v>372059643.1657663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25">
      <c r="G127" s="108"/>
      <c r="H127" s="424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25">
      <c r="E128" s="293" t="s">
        <v>610</v>
      </c>
      <c r="G128" s="108" t="s">
        <v>107</v>
      </c>
      <c r="H128" s="247">
        <f>H85</f>
        <v>250833203.14114732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25">
      <c r="E129" s="293" t="s">
        <v>988</v>
      </c>
      <c r="G129" s="108" t="s">
        <v>107</v>
      </c>
      <c r="H129" s="247">
        <f>H86</f>
        <v>811609.53680877748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25">
      <c r="E130" s="293" t="s">
        <v>989</v>
      </c>
      <c r="G130" s="108" t="s">
        <v>107</v>
      </c>
      <c r="H130" s="247">
        <f>H87</f>
        <v>340.77258470477159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25">
      <c r="E131" s="293" t="s">
        <v>1221</v>
      </c>
      <c r="G131" s="108" t="s">
        <v>107</v>
      </c>
      <c r="H131" s="247">
        <f>H88</f>
        <v>120414489.71522552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25">
      <c r="E132" s="93" t="s">
        <v>611</v>
      </c>
      <c r="F132" s="93"/>
      <c r="G132" s="131" t="s">
        <v>107</v>
      </c>
      <c r="H132" s="286">
        <f>SUM(H102,H112,H122) - SUM(H128:H129, H131)</f>
        <v>-8736.2967894673347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25">
      <c r="E133" s="73" t="s">
        <v>613</v>
      </c>
      <c r="F133" s="73"/>
      <c r="G133" s="169" t="s">
        <v>107</v>
      </c>
      <c r="H133" s="286">
        <f>SUM(H128:H132)</f>
        <v>372050906.86897689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2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25">
      <c r="E135" s="293" t="s">
        <v>612</v>
      </c>
      <c r="G135" s="108" t="s">
        <v>107</v>
      </c>
      <c r="H135" s="425">
        <f>H133 - H126</f>
        <v>-8736.2967894077301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25">
      <c r="E136" s="293" t="s">
        <v>612</v>
      </c>
      <c r="G136" s="108" t="s">
        <v>94</v>
      </c>
      <c r="H136" s="426">
        <f>(H133 - H126) / H126</f>
        <v>-2.3480904069768693E-5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2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25">
      <c r="C138" s="7" t="str">
        <f ca="1">INDEX('Version control'!$H$34:$H$60,MATCH($A$1,'Version control'!$F$34:$F$60,0),1)&amp;"-F: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2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25">
      <c r="E140" s="293" t="s">
        <v>485</v>
      </c>
      <c r="G140" s="108" t="s">
        <v>681</v>
      </c>
      <c r="H140" s="293" t="s">
        <v>261</v>
      </c>
      <c r="J140" s="233">
        <f t="shared" ref="J140:AO140" si="27" xml:space="preserve"> IF( J25 &lt;&gt; 0, J102 / J25, 0)</f>
        <v>142.02590963338795</v>
      </c>
      <c r="K140" s="233">
        <f t="shared" si="27"/>
        <v>15.148330864867519</v>
      </c>
      <c r="L140" s="233">
        <f t="shared" si="27"/>
        <v>0</v>
      </c>
      <c r="M140" s="233">
        <f t="shared" si="27"/>
        <v>64.638301564708087</v>
      </c>
      <c r="N140" s="233">
        <f t="shared" si="27"/>
        <v>265.02954106856305</v>
      </c>
      <c r="O140" s="233">
        <f t="shared" si="27"/>
        <v>629.78734920138822</v>
      </c>
      <c r="P140" s="233">
        <f t="shared" si="27"/>
        <v>2007.8731784014224</v>
      </c>
      <c r="Q140" s="233">
        <f t="shared" si="27"/>
        <v>18.341627120007459</v>
      </c>
      <c r="R140" s="233">
        <f t="shared" si="27"/>
        <v>0</v>
      </c>
      <c r="S140" s="233">
        <f t="shared" si="27"/>
        <v>2925.5302682677584</v>
      </c>
      <c r="T140" s="233">
        <f t="shared" si="27"/>
        <v>6595.1387766038697</v>
      </c>
      <c r="U140" s="233">
        <f t="shared" si="27"/>
        <v>10885.971441448708</v>
      </c>
      <c r="V140" s="233">
        <f t="shared" si="27"/>
        <v>22419.187968812246</v>
      </c>
      <c r="W140" s="233">
        <f t="shared" si="27"/>
        <v>0</v>
      </c>
      <c r="X140" s="233">
        <f t="shared" si="27"/>
        <v>3456.9086757923405</v>
      </c>
      <c r="Y140" s="233">
        <f t="shared" si="27"/>
        <v>7770.4096863662526</v>
      </c>
      <c r="Z140" s="233">
        <f t="shared" si="27"/>
        <v>12472.275200728565</v>
      </c>
      <c r="AA140" s="233">
        <f t="shared" si="27"/>
        <v>26025.466876593036</v>
      </c>
      <c r="AB140" s="233">
        <f t="shared" si="27"/>
        <v>0</v>
      </c>
      <c r="AC140" s="233">
        <f t="shared" si="27"/>
        <v>13105.11599591855</v>
      </c>
      <c r="AD140" s="233">
        <f t="shared" si="27"/>
        <v>47892.652417873491</v>
      </c>
      <c r="AE140" s="233">
        <f t="shared" si="27"/>
        <v>96500.513917742064</v>
      </c>
      <c r="AF140" s="233">
        <f t="shared" si="27"/>
        <v>180925.42467796846</v>
      </c>
      <c r="AG140" s="233">
        <f t="shared" si="27"/>
        <v>8666.6687449182082</v>
      </c>
      <c r="AH140" s="233">
        <f t="shared" si="27"/>
        <v>-78.36062069633951</v>
      </c>
      <c r="AI140" s="233">
        <f t="shared" si="27"/>
        <v>-109.3801554753836</v>
      </c>
      <c r="AJ140" s="233">
        <f t="shared" si="27"/>
        <v>-2281.3367810790505</v>
      </c>
      <c r="AK140" s="233">
        <f t="shared" si="27"/>
        <v>0</v>
      </c>
      <c r="AL140" s="233">
        <f t="shared" si="27"/>
        <v>-4420.26985275061</v>
      </c>
      <c r="AM140" s="233">
        <f t="shared" si="27"/>
        <v>0</v>
      </c>
      <c r="AN140" s="233">
        <f t="shared" si="27"/>
        <v>-25980.615220702384</v>
      </c>
      <c r="AO140" s="233">
        <f t="shared" si="27"/>
        <v>0</v>
      </c>
    </row>
    <row r="141" spans="2:43" x14ac:dyDescent="0.25">
      <c r="E141" s="293" t="s">
        <v>486</v>
      </c>
      <c r="G141" s="108" t="s">
        <v>681</v>
      </c>
      <c r="H141" s="293" t="s">
        <v>146</v>
      </c>
      <c r="J141" s="233">
        <f t="shared" ref="J141:AO141" si="28" xml:space="preserve"> IF( J36 &lt;&gt; 0, J112 / J36, 0)</f>
        <v>76.528787267535179</v>
      </c>
      <c r="K141" s="233">
        <f t="shared" si="28"/>
        <v>0</v>
      </c>
      <c r="L141" s="233">
        <f t="shared" si="28"/>
        <v>0</v>
      </c>
      <c r="M141" s="233">
        <f t="shared" si="28"/>
        <v>121.95142595719392</v>
      </c>
      <c r="N141" s="233">
        <f t="shared" si="28"/>
        <v>158.76893130794741</v>
      </c>
      <c r="O141" s="233">
        <f t="shared" si="28"/>
        <v>233.40815979044535</v>
      </c>
      <c r="P141" s="233">
        <f t="shared" si="28"/>
        <v>507.90516080878803</v>
      </c>
      <c r="Q141" s="233">
        <f t="shared" si="28"/>
        <v>0</v>
      </c>
      <c r="R141" s="233">
        <f t="shared" si="28"/>
        <v>0</v>
      </c>
      <c r="S141" s="233">
        <f t="shared" si="28"/>
        <v>1686.5601967947634</v>
      </c>
      <c r="T141" s="233">
        <f t="shared" si="28"/>
        <v>3766.4470127965151</v>
      </c>
      <c r="U141" s="233">
        <f t="shared" si="28"/>
        <v>6254.9628189918003</v>
      </c>
      <c r="V141" s="233">
        <f t="shared" si="28"/>
        <v>11146.221378662809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178.4009508832462</v>
      </c>
      <c r="AH141" s="233">
        <f t="shared" si="28"/>
        <v>0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25">
      <c r="E142" s="293" t="s">
        <v>487</v>
      </c>
      <c r="G142" s="108" t="s">
        <v>681</v>
      </c>
      <c r="H142" s="293" t="s">
        <v>147</v>
      </c>
      <c r="J142" s="233">
        <f t="shared" ref="J142:AO142" si="29" xml:space="preserve"> IF( J47 &lt;&gt; 0, J122 / J47, 0)</f>
        <v>56.238395605111663</v>
      </c>
      <c r="K142" s="233">
        <f t="shared" si="29"/>
        <v>0</v>
      </c>
      <c r="L142" s="233">
        <f t="shared" si="29"/>
        <v>0</v>
      </c>
      <c r="M142" s="233">
        <f t="shared" si="29"/>
        <v>172.00634520016726</v>
      </c>
      <c r="N142" s="233">
        <f t="shared" si="29"/>
        <v>201.50851585835957</v>
      </c>
      <c r="O142" s="233">
        <f t="shared" si="29"/>
        <v>254.9737271060776</v>
      </c>
      <c r="P142" s="233">
        <f t="shared" si="29"/>
        <v>454.98993426635548</v>
      </c>
      <c r="Q142" s="233">
        <f t="shared" si="29"/>
        <v>0</v>
      </c>
      <c r="R142" s="233">
        <f t="shared" si="29"/>
        <v>0</v>
      </c>
      <c r="S142" s="233">
        <f t="shared" si="29"/>
        <v>2578.1943603162067</v>
      </c>
      <c r="T142" s="233">
        <f t="shared" si="29"/>
        <v>8918.8679149628897</v>
      </c>
      <c r="U142" s="233">
        <f t="shared" si="29"/>
        <v>18558.176943923183</v>
      </c>
      <c r="V142" s="233">
        <f t="shared" si="29"/>
        <v>28659.8096761825</v>
      </c>
      <c r="W142" s="233">
        <f t="shared" si="29"/>
        <v>0</v>
      </c>
      <c r="X142" s="233">
        <f t="shared" si="29"/>
        <v>6812.1770885152955</v>
      </c>
      <c r="Y142" s="233">
        <f t="shared" si="29"/>
        <v>18795.634420746421</v>
      </c>
      <c r="Z142" s="233">
        <f t="shared" si="29"/>
        <v>40323.017824168484</v>
      </c>
      <c r="AA142" s="233">
        <f t="shared" si="29"/>
        <v>0</v>
      </c>
      <c r="AB142" s="233">
        <f t="shared" si="29"/>
        <v>0</v>
      </c>
      <c r="AC142" s="233">
        <f t="shared" si="29"/>
        <v>11451.573571425226</v>
      </c>
      <c r="AD142" s="233">
        <f t="shared" si="29"/>
        <v>32304.980063974959</v>
      </c>
      <c r="AE142" s="233">
        <f t="shared" si="29"/>
        <v>64551.198381640017</v>
      </c>
      <c r="AF142" s="233">
        <f t="shared" si="29"/>
        <v>120579.30749549087</v>
      </c>
      <c r="AG142" s="233">
        <f t="shared" si="29"/>
        <v>63.350044805921115</v>
      </c>
      <c r="AH142" s="233">
        <f t="shared" si="29"/>
        <v>0</v>
      </c>
      <c r="AI142" s="233">
        <f t="shared" si="29"/>
        <v>0</v>
      </c>
      <c r="AJ142" s="233">
        <f t="shared" si="29"/>
        <v>-3928.2030370000002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2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2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25">
      <c r="F145" s="88"/>
      <c r="G145" s="168"/>
      <c r="H145" s="88"/>
      <c r="I145" s="88"/>
    </row>
    <row r="146" spans="2:43" x14ac:dyDescent="0.25">
      <c r="D146" s="293" t="s">
        <v>416</v>
      </c>
      <c r="G146" s="122" t="s">
        <v>589</v>
      </c>
      <c r="H146" s="310">
        <f t="array" ref="H146">SUM(IF(ISERROR($H$13:$AP$143), 1))</f>
        <v>0</v>
      </c>
      <c r="I146" s="88"/>
    </row>
    <row r="147" spans="2:43" x14ac:dyDescent="0.25">
      <c r="F147" s="88"/>
      <c r="G147" s="88"/>
      <c r="H147" s="88"/>
      <c r="I147" s="88"/>
    </row>
    <row r="148" spans="2:43" x14ac:dyDescent="0.2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00000000-0002-0000-2200-000000000000}">
      <formula1>0</formula1>
    </dataValidation>
  </dataValidations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  <pageSetUpPr fitToPage="1"/>
  </sheetPr>
  <dimension ref="A1:JO64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K147" sqref="K147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0" width="8.7109375" style="85" hidden="1"/>
    <col min="21" max="21" width="24.5703125" style="85" hidden="1"/>
    <col min="22" max="22" width="3.5703125" style="85" hidden="1"/>
    <col min="23" max="23" width="15.42578125" style="85" hidden="1"/>
    <col min="24" max="275" width="24.5703125" style="85" hidden="1"/>
    <col min="276" max="16384" width="8.7109375" style="85" hidden="1"/>
  </cols>
  <sheetData>
    <row r="1" spans="1:90" s="10" customFormat="1" x14ac:dyDescent="0.25">
      <c r="A1" s="10" t="str">
        <f ca="1">MID(CELL("filename",A1),FIND("]",CELL("filename",A1))+1,255)</f>
        <v>Tariff summary</v>
      </c>
    </row>
    <row r="2" spans="1:90" s="10" customFormat="1" x14ac:dyDescent="0.25">
      <c r="A2" s="10" t="str">
        <f>Cover!D21&amp;" - "&amp;Cover!D23</f>
        <v>SP Manweb - One</v>
      </c>
    </row>
    <row r="3" spans="1:90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0" s="195" customFormat="1" x14ac:dyDescent="0.25">
      <c r="A4" s="228" t="str">
        <f>H641 &amp; IF(H641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</row>
    <row r="5" spans="1:90" ht="45" x14ac:dyDescent="0.25">
      <c r="B5" s="134" t="s">
        <v>452</v>
      </c>
      <c r="C5" s="9"/>
      <c r="D5" s="9"/>
      <c r="E5" s="9"/>
      <c r="F5" s="9"/>
      <c r="G5" s="1"/>
      <c r="H5" s="1" t="s">
        <v>535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</row>
    <row r="9" spans="1:90" x14ac:dyDescent="0.25">
      <c r="C9" s="82" t="s">
        <v>780</v>
      </c>
    </row>
    <row r="10" spans="1:90" x14ac:dyDescent="0.25">
      <c r="C10" s="82" t="s">
        <v>781</v>
      </c>
    </row>
    <row r="11" spans="1:90" x14ac:dyDescent="0.25">
      <c r="C11" s="82" t="s">
        <v>509</v>
      </c>
    </row>
    <row r="13" spans="1:90" s="195" customFormat="1" x14ac:dyDescent="0.25">
      <c r="B13" s="95" t="s">
        <v>437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0" s="195" customFormat="1" x14ac:dyDescent="0.25"/>
    <row r="15" spans="1:90" x14ac:dyDescent="0.25">
      <c r="C15" s="7" t="str">
        <f ca="1">INDEX('Version control'!$H$34:$H$60,MATCH($A$1,'Version control'!$F$34:$F$60,0),1)&amp;"-A: Live tariff results (" &amp; charging_year_selected &amp; ")"</f>
        <v>Output 501-A: Live tariff results (2022/23)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0" x14ac:dyDescent="0.25">
      <c r="D16" s="85"/>
      <c r="E16" s="85"/>
    </row>
    <row r="17" spans="4:22" x14ac:dyDescent="0.25">
      <c r="D17" s="96"/>
      <c r="E17" s="96" t="str">
        <f>"All the way tariff forecast (" &amp; charging_year_selected &amp; ")"</f>
        <v>All the way tariff forecast (2022/23)</v>
      </c>
      <c r="F17" s="195"/>
    </row>
    <row r="18" spans="4:22" x14ac:dyDescent="0.25">
      <c r="F18" s="103" t="s">
        <v>1004</v>
      </c>
      <c r="G18" s="91"/>
      <c r="H18" s="91" t="s">
        <v>261</v>
      </c>
      <c r="I18" s="91"/>
      <c r="J18" s="434">
        <f t="array" ref="J18:P49">TRANSPOSE(Rounding!J150:AO156)</f>
        <v>10.771000000000001</v>
      </c>
      <c r="K18" s="434">
        <v>1.9379999999999999</v>
      </c>
      <c r="L18" s="434">
        <v>0.215</v>
      </c>
      <c r="M18" s="339">
        <v>15.64</v>
      </c>
      <c r="N18" s="339">
        <v>0</v>
      </c>
      <c r="O18" s="339">
        <v>0</v>
      </c>
      <c r="P18" s="434">
        <v>0</v>
      </c>
      <c r="T18" s="537"/>
      <c r="U18" s="537"/>
      <c r="V18" s="537"/>
    </row>
    <row r="19" spans="4:22" x14ac:dyDescent="0.25">
      <c r="F19" s="99" t="s">
        <v>929</v>
      </c>
      <c r="G19" s="196"/>
      <c r="H19" s="196" t="s">
        <v>261</v>
      </c>
      <c r="I19" s="196"/>
      <c r="J19" s="450">
        <v>10.771000000000001</v>
      </c>
      <c r="K19" s="450">
        <v>1.9379999999999999</v>
      </c>
      <c r="L19" s="450">
        <v>0.215</v>
      </c>
      <c r="M19" s="451">
        <v>0</v>
      </c>
      <c r="N19" s="451">
        <v>0</v>
      </c>
      <c r="O19" s="451">
        <v>0</v>
      </c>
      <c r="P19" s="450">
        <v>0</v>
      </c>
    </row>
    <row r="20" spans="4:22" x14ac:dyDescent="0.25">
      <c r="F20" s="99" t="s">
        <v>1005</v>
      </c>
      <c r="G20" s="196"/>
      <c r="H20" s="196" t="s">
        <v>261</v>
      </c>
      <c r="I20" s="196"/>
      <c r="J20" s="450">
        <v>13.135999999999999</v>
      </c>
      <c r="K20" s="450">
        <v>2.363</v>
      </c>
      <c r="L20" s="450">
        <v>0.26200000000000001</v>
      </c>
      <c r="M20" s="451">
        <v>5.28</v>
      </c>
      <c r="N20" s="451">
        <v>0</v>
      </c>
      <c r="O20" s="451">
        <v>0</v>
      </c>
      <c r="P20" s="450">
        <v>0</v>
      </c>
    </row>
    <row r="21" spans="4:22" x14ac:dyDescent="0.25">
      <c r="F21" s="99" t="s">
        <v>1006</v>
      </c>
      <c r="G21" s="196"/>
      <c r="H21" s="196" t="s">
        <v>261</v>
      </c>
      <c r="I21" s="196"/>
      <c r="J21" s="450">
        <v>13.135999999999999</v>
      </c>
      <c r="K21" s="450">
        <v>2.363</v>
      </c>
      <c r="L21" s="450">
        <v>0.26200000000000001</v>
      </c>
      <c r="M21" s="451">
        <v>9.35</v>
      </c>
      <c r="N21" s="451">
        <v>0</v>
      </c>
      <c r="O21" s="451">
        <v>0</v>
      </c>
      <c r="P21" s="450">
        <v>0</v>
      </c>
    </row>
    <row r="22" spans="4:22" x14ac:dyDescent="0.25">
      <c r="F22" s="99" t="s">
        <v>1007</v>
      </c>
      <c r="G22" s="196"/>
      <c r="H22" s="196" t="s">
        <v>261</v>
      </c>
      <c r="I22" s="196"/>
      <c r="J22" s="450">
        <v>13.135999999999999</v>
      </c>
      <c r="K22" s="450">
        <v>2.363</v>
      </c>
      <c r="L22" s="450">
        <v>0.26200000000000001</v>
      </c>
      <c r="M22" s="451">
        <v>27.31</v>
      </c>
      <c r="N22" s="451">
        <v>0</v>
      </c>
      <c r="O22" s="451">
        <v>0</v>
      </c>
      <c r="P22" s="450">
        <v>0</v>
      </c>
    </row>
    <row r="23" spans="4:22" x14ac:dyDescent="0.25">
      <c r="F23" s="99" t="s">
        <v>1008</v>
      </c>
      <c r="G23" s="196"/>
      <c r="H23" s="196" t="s">
        <v>261</v>
      </c>
      <c r="I23" s="196"/>
      <c r="J23" s="450">
        <v>13.135999999999999</v>
      </c>
      <c r="K23" s="450">
        <v>2.363</v>
      </c>
      <c r="L23" s="450">
        <v>0.26200000000000001</v>
      </c>
      <c r="M23" s="451">
        <v>59.86</v>
      </c>
      <c r="N23" s="451">
        <v>0</v>
      </c>
      <c r="O23" s="451">
        <v>0</v>
      </c>
      <c r="P23" s="450">
        <v>0</v>
      </c>
    </row>
    <row r="24" spans="4:22" x14ac:dyDescent="0.25">
      <c r="F24" s="99" t="s">
        <v>1009</v>
      </c>
      <c r="G24" s="196"/>
      <c r="H24" s="196" t="s">
        <v>261</v>
      </c>
      <c r="I24" s="196"/>
      <c r="J24" s="450">
        <v>13.135999999999999</v>
      </c>
      <c r="K24" s="450">
        <v>2.363</v>
      </c>
      <c r="L24" s="450">
        <v>0.26200000000000001</v>
      </c>
      <c r="M24" s="451">
        <v>181.33</v>
      </c>
      <c r="N24" s="451">
        <v>0</v>
      </c>
      <c r="O24" s="451">
        <v>0</v>
      </c>
      <c r="P24" s="450">
        <v>0</v>
      </c>
    </row>
    <row r="25" spans="4:22" s="293" customFormat="1" x14ac:dyDescent="0.25">
      <c r="D25" s="98"/>
      <c r="E25" s="98"/>
      <c r="F25" s="99" t="s">
        <v>931</v>
      </c>
      <c r="G25" s="196"/>
      <c r="H25" s="196" t="s">
        <v>261</v>
      </c>
      <c r="I25" s="196"/>
      <c r="J25" s="450">
        <v>13.135999999999999</v>
      </c>
      <c r="K25" s="450">
        <v>2.363</v>
      </c>
      <c r="L25" s="450">
        <v>0.26200000000000001</v>
      </c>
      <c r="M25" s="451">
        <v>0</v>
      </c>
      <c r="N25" s="451">
        <v>0</v>
      </c>
      <c r="O25" s="451">
        <v>0</v>
      </c>
      <c r="P25" s="450">
        <v>0</v>
      </c>
    </row>
    <row r="26" spans="4:22" s="293" customFormat="1" x14ac:dyDescent="0.25">
      <c r="D26" s="98"/>
      <c r="E26" s="98"/>
      <c r="F26" s="99" t="s">
        <v>1010</v>
      </c>
      <c r="G26" s="196"/>
      <c r="H26" s="196" t="s">
        <v>261</v>
      </c>
      <c r="I26" s="196"/>
      <c r="J26" s="450">
        <v>8.6780000000000008</v>
      </c>
      <c r="K26" s="450">
        <v>1.4430000000000001</v>
      </c>
      <c r="L26" s="450">
        <v>0.16600000000000001</v>
      </c>
      <c r="M26" s="451">
        <v>20.84</v>
      </c>
      <c r="N26" s="451">
        <v>2.92</v>
      </c>
      <c r="O26" s="451">
        <v>4.9800000000000004</v>
      </c>
      <c r="P26" s="450">
        <v>0.435</v>
      </c>
    </row>
    <row r="27" spans="4:22" s="293" customFormat="1" x14ac:dyDescent="0.25">
      <c r="D27" s="98"/>
      <c r="E27" s="98"/>
      <c r="F27" s="99" t="s">
        <v>1011</v>
      </c>
      <c r="G27" s="196"/>
      <c r="H27" s="196" t="s">
        <v>261</v>
      </c>
      <c r="I27" s="196"/>
      <c r="J27" s="450">
        <v>8.6780000000000008</v>
      </c>
      <c r="K27" s="450">
        <v>1.4430000000000001</v>
      </c>
      <c r="L27" s="450">
        <v>0.16600000000000001</v>
      </c>
      <c r="M27" s="451">
        <v>286.75</v>
      </c>
      <c r="N27" s="451">
        <v>2.92</v>
      </c>
      <c r="O27" s="451">
        <v>4.9800000000000004</v>
      </c>
      <c r="P27" s="450">
        <v>0.435</v>
      </c>
    </row>
    <row r="28" spans="4:22" x14ac:dyDescent="0.25">
      <c r="F28" s="99" t="s">
        <v>1012</v>
      </c>
      <c r="G28" s="196"/>
      <c r="H28" s="196" t="s">
        <v>261</v>
      </c>
      <c r="I28" s="196"/>
      <c r="J28" s="450">
        <v>8.6780000000000008</v>
      </c>
      <c r="K28" s="450">
        <v>1.4430000000000001</v>
      </c>
      <c r="L28" s="450">
        <v>0.16600000000000001</v>
      </c>
      <c r="M28" s="451">
        <v>632.52</v>
      </c>
      <c r="N28" s="451">
        <v>2.92</v>
      </c>
      <c r="O28" s="451">
        <v>4.9800000000000004</v>
      </c>
      <c r="P28" s="450">
        <v>0.435</v>
      </c>
    </row>
    <row r="29" spans="4:22" x14ac:dyDescent="0.25">
      <c r="F29" s="99" t="s">
        <v>1013</v>
      </c>
      <c r="G29" s="196"/>
      <c r="H29" s="196" t="s">
        <v>261</v>
      </c>
      <c r="I29" s="196"/>
      <c r="J29" s="450">
        <v>8.6780000000000008</v>
      </c>
      <c r="K29" s="450">
        <v>1.4430000000000001</v>
      </c>
      <c r="L29" s="450">
        <v>0.16600000000000001</v>
      </c>
      <c r="M29" s="451">
        <v>1051.18</v>
      </c>
      <c r="N29" s="451">
        <v>2.92</v>
      </c>
      <c r="O29" s="451">
        <v>4.9800000000000004</v>
      </c>
      <c r="P29" s="450">
        <v>0.435</v>
      </c>
    </row>
    <row r="30" spans="4:22" x14ac:dyDescent="0.25">
      <c r="F30" s="99" t="s">
        <v>1014</v>
      </c>
      <c r="G30" s="196"/>
      <c r="H30" s="196" t="s">
        <v>261</v>
      </c>
      <c r="I30" s="196"/>
      <c r="J30" s="450">
        <v>8.6780000000000008</v>
      </c>
      <c r="K30" s="450">
        <v>1.4430000000000001</v>
      </c>
      <c r="L30" s="450">
        <v>0.16600000000000001</v>
      </c>
      <c r="M30" s="451">
        <v>2265.75</v>
      </c>
      <c r="N30" s="451">
        <v>2.92</v>
      </c>
      <c r="O30" s="451">
        <v>4.9800000000000004</v>
      </c>
      <c r="P30" s="450">
        <v>0.435</v>
      </c>
    </row>
    <row r="31" spans="4:22" x14ac:dyDescent="0.25">
      <c r="F31" s="99" t="s">
        <v>1015</v>
      </c>
      <c r="G31" s="196"/>
      <c r="H31" s="196" t="s">
        <v>261</v>
      </c>
      <c r="I31" s="196"/>
      <c r="J31" s="450">
        <v>6.9480000000000004</v>
      </c>
      <c r="K31" s="450">
        <v>0.94499999999999995</v>
      </c>
      <c r="L31" s="450">
        <v>0.121</v>
      </c>
      <c r="M31" s="451">
        <v>7.4</v>
      </c>
      <c r="N31" s="451">
        <v>5.78</v>
      </c>
      <c r="O31" s="451">
        <v>7.82</v>
      </c>
      <c r="P31" s="450">
        <v>0.28999999999999998</v>
      </c>
    </row>
    <row r="32" spans="4:22" s="293" customFormat="1" x14ac:dyDescent="0.25">
      <c r="D32" s="98"/>
      <c r="E32" s="98"/>
      <c r="F32" s="99" t="s">
        <v>1016</v>
      </c>
      <c r="G32" s="196"/>
      <c r="H32" s="196" t="s">
        <v>261</v>
      </c>
      <c r="I32" s="196"/>
      <c r="J32" s="450">
        <v>6.9480000000000004</v>
      </c>
      <c r="K32" s="450">
        <v>0.94499999999999995</v>
      </c>
      <c r="L32" s="450">
        <v>0.121</v>
      </c>
      <c r="M32" s="451">
        <v>273.31</v>
      </c>
      <c r="N32" s="451">
        <v>5.78</v>
      </c>
      <c r="O32" s="451">
        <v>7.82</v>
      </c>
      <c r="P32" s="450">
        <v>0.28999999999999998</v>
      </c>
    </row>
    <row r="33" spans="4:16" s="293" customFormat="1" x14ac:dyDescent="0.25">
      <c r="D33" s="98"/>
      <c r="E33" s="98"/>
      <c r="F33" s="99" t="s">
        <v>1017</v>
      </c>
      <c r="G33" s="196"/>
      <c r="H33" s="196" t="s">
        <v>261</v>
      </c>
      <c r="I33" s="196"/>
      <c r="J33" s="450">
        <v>6.9480000000000004</v>
      </c>
      <c r="K33" s="450">
        <v>0.94499999999999995</v>
      </c>
      <c r="L33" s="450">
        <v>0.121</v>
      </c>
      <c r="M33" s="451">
        <v>619.08000000000004</v>
      </c>
      <c r="N33" s="451">
        <v>5.78</v>
      </c>
      <c r="O33" s="451">
        <v>7.82</v>
      </c>
      <c r="P33" s="450">
        <v>0.28999999999999998</v>
      </c>
    </row>
    <row r="34" spans="4:16" s="293" customFormat="1" x14ac:dyDescent="0.25">
      <c r="D34" s="98"/>
      <c r="E34" s="98"/>
      <c r="F34" s="99" t="s">
        <v>1018</v>
      </c>
      <c r="G34" s="196"/>
      <c r="H34" s="196" t="s">
        <v>261</v>
      </c>
      <c r="I34" s="196"/>
      <c r="J34" s="450">
        <v>6.9480000000000004</v>
      </c>
      <c r="K34" s="450">
        <v>0.94499999999999995</v>
      </c>
      <c r="L34" s="450">
        <v>0.121</v>
      </c>
      <c r="M34" s="451">
        <v>1037.74</v>
      </c>
      <c r="N34" s="451">
        <v>5.78</v>
      </c>
      <c r="O34" s="451">
        <v>7.82</v>
      </c>
      <c r="P34" s="450">
        <v>0.28999999999999998</v>
      </c>
    </row>
    <row r="35" spans="4:16" s="293" customFormat="1" x14ac:dyDescent="0.25">
      <c r="D35" s="98"/>
      <c r="E35" s="98"/>
      <c r="F35" s="99" t="s">
        <v>1019</v>
      </c>
      <c r="G35" s="196"/>
      <c r="H35" s="196" t="s">
        <v>261</v>
      </c>
      <c r="I35" s="196"/>
      <c r="J35" s="450">
        <v>6.9480000000000004</v>
      </c>
      <c r="K35" s="450">
        <v>0.94499999999999995</v>
      </c>
      <c r="L35" s="450">
        <v>0.121</v>
      </c>
      <c r="M35" s="451">
        <v>2252.31</v>
      </c>
      <c r="N35" s="451">
        <v>5.78</v>
      </c>
      <c r="O35" s="451">
        <v>7.82</v>
      </c>
      <c r="P35" s="450">
        <v>0.28999999999999998</v>
      </c>
    </row>
    <row r="36" spans="4:16" s="293" customFormat="1" x14ac:dyDescent="0.25">
      <c r="D36" s="98"/>
      <c r="E36" s="98"/>
      <c r="F36" s="99" t="s">
        <v>1020</v>
      </c>
      <c r="G36" s="196"/>
      <c r="H36" s="196" t="s">
        <v>261</v>
      </c>
      <c r="I36" s="196"/>
      <c r="J36" s="450">
        <v>5.2249999999999996</v>
      </c>
      <c r="K36" s="450">
        <v>0.624</v>
      </c>
      <c r="L36" s="450">
        <v>0.08</v>
      </c>
      <c r="M36" s="451">
        <v>111.08</v>
      </c>
      <c r="N36" s="451">
        <v>4.6100000000000003</v>
      </c>
      <c r="O36" s="451">
        <v>7.28</v>
      </c>
      <c r="P36" s="450">
        <v>0.193</v>
      </c>
    </row>
    <row r="37" spans="4:16" s="293" customFormat="1" x14ac:dyDescent="0.25">
      <c r="D37" s="98"/>
      <c r="E37" s="98"/>
      <c r="F37" s="99" t="s">
        <v>1021</v>
      </c>
      <c r="G37" s="196"/>
      <c r="H37" s="196" t="s">
        <v>261</v>
      </c>
      <c r="I37" s="196"/>
      <c r="J37" s="450">
        <v>5.2249999999999996</v>
      </c>
      <c r="K37" s="450">
        <v>0.624</v>
      </c>
      <c r="L37" s="450">
        <v>0.08</v>
      </c>
      <c r="M37" s="451">
        <v>1630.74</v>
      </c>
      <c r="N37" s="451">
        <v>4.6100000000000003</v>
      </c>
      <c r="O37" s="451">
        <v>7.28</v>
      </c>
      <c r="P37" s="450">
        <v>0.193</v>
      </c>
    </row>
    <row r="38" spans="4:16" s="293" customFormat="1" x14ac:dyDescent="0.25">
      <c r="D38" s="98"/>
      <c r="E38" s="98"/>
      <c r="F38" s="99" t="s">
        <v>1022</v>
      </c>
      <c r="G38" s="196"/>
      <c r="H38" s="196" t="s">
        <v>261</v>
      </c>
      <c r="I38" s="196"/>
      <c r="J38" s="450">
        <v>5.2249999999999996</v>
      </c>
      <c r="K38" s="450">
        <v>0.624</v>
      </c>
      <c r="L38" s="450">
        <v>0.08</v>
      </c>
      <c r="M38" s="451">
        <v>5763.83</v>
      </c>
      <c r="N38" s="451">
        <v>4.6100000000000003</v>
      </c>
      <c r="O38" s="451">
        <v>7.28</v>
      </c>
      <c r="P38" s="450">
        <v>0.193</v>
      </c>
    </row>
    <row r="39" spans="4:16" s="293" customFormat="1" x14ac:dyDescent="0.25">
      <c r="D39" s="98"/>
      <c r="E39" s="98"/>
      <c r="F39" s="99" t="s">
        <v>1023</v>
      </c>
      <c r="G39" s="196"/>
      <c r="H39" s="196" t="s">
        <v>261</v>
      </c>
      <c r="I39" s="196"/>
      <c r="J39" s="450">
        <v>5.2249999999999996</v>
      </c>
      <c r="K39" s="450">
        <v>0.624</v>
      </c>
      <c r="L39" s="450">
        <v>0.08</v>
      </c>
      <c r="M39" s="451">
        <v>11559.76</v>
      </c>
      <c r="N39" s="451">
        <v>4.6100000000000003</v>
      </c>
      <c r="O39" s="451">
        <v>7.28</v>
      </c>
      <c r="P39" s="450">
        <v>0.193</v>
      </c>
    </row>
    <row r="40" spans="4:16" s="293" customFormat="1" x14ac:dyDescent="0.25">
      <c r="D40" s="98"/>
      <c r="E40" s="98"/>
      <c r="F40" s="99" t="s">
        <v>1024</v>
      </c>
      <c r="G40" s="196"/>
      <c r="H40" s="196" t="s">
        <v>261</v>
      </c>
      <c r="I40" s="196"/>
      <c r="J40" s="450">
        <v>5.2249999999999996</v>
      </c>
      <c r="K40" s="450">
        <v>0.624</v>
      </c>
      <c r="L40" s="450">
        <v>0.08</v>
      </c>
      <c r="M40" s="451">
        <v>21623.96</v>
      </c>
      <c r="N40" s="451">
        <v>4.6100000000000003</v>
      </c>
      <c r="O40" s="451">
        <v>7.28</v>
      </c>
      <c r="P40" s="450">
        <v>0.193</v>
      </c>
    </row>
    <row r="41" spans="4:16" s="293" customFormat="1" x14ac:dyDescent="0.25">
      <c r="D41" s="98"/>
      <c r="E41" s="98"/>
      <c r="F41" s="99" t="s">
        <v>935</v>
      </c>
      <c r="G41" s="196"/>
      <c r="H41" s="196" t="s">
        <v>261</v>
      </c>
      <c r="I41" s="196"/>
      <c r="J41" s="450">
        <v>19.902000000000001</v>
      </c>
      <c r="K41" s="450">
        <v>4.077</v>
      </c>
      <c r="L41" s="450">
        <v>1.742</v>
      </c>
      <c r="M41" s="451">
        <v>0</v>
      </c>
      <c r="N41" s="451">
        <v>0</v>
      </c>
      <c r="O41" s="451">
        <v>0</v>
      </c>
      <c r="P41" s="450">
        <v>0</v>
      </c>
    </row>
    <row r="42" spans="4:16" s="293" customFormat="1" x14ac:dyDescent="0.25">
      <c r="D42" s="98"/>
      <c r="E42" s="98"/>
      <c r="F42" s="99" t="s">
        <v>936</v>
      </c>
      <c r="G42" s="196"/>
      <c r="H42" s="196" t="s">
        <v>261</v>
      </c>
      <c r="I42" s="196"/>
      <c r="J42" s="450">
        <v>-8.0839999999999996</v>
      </c>
      <c r="K42" s="450">
        <v>-1.454</v>
      </c>
      <c r="L42" s="450">
        <v>-0.161</v>
      </c>
      <c r="M42" s="451">
        <v>0</v>
      </c>
      <c r="N42" s="451">
        <v>0</v>
      </c>
      <c r="O42" s="451">
        <v>0</v>
      </c>
      <c r="P42" s="450">
        <v>0</v>
      </c>
    </row>
    <row r="43" spans="4:16" s="293" customFormat="1" x14ac:dyDescent="0.25">
      <c r="D43" s="98"/>
      <c r="E43" s="98"/>
      <c r="F43" s="99" t="s">
        <v>937</v>
      </c>
      <c r="G43" s="196"/>
      <c r="H43" s="196" t="s">
        <v>261</v>
      </c>
      <c r="I43" s="196"/>
      <c r="J43" s="450">
        <v>-7.3090000000000002</v>
      </c>
      <c r="K43" s="450">
        <v>-1.2589999999999999</v>
      </c>
      <c r="L43" s="450">
        <v>-0.14199999999999999</v>
      </c>
      <c r="M43" s="451">
        <v>0</v>
      </c>
      <c r="N43" s="451">
        <v>0</v>
      </c>
      <c r="O43" s="451">
        <v>0</v>
      </c>
      <c r="P43" s="450">
        <v>0</v>
      </c>
    </row>
    <row r="44" spans="4:16" s="293" customFormat="1" x14ac:dyDescent="0.25">
      <c r="D44" s="98"/>
      <c r="E44" s="98"/>
      <c r="F44" s="99" t="s">
        <v>938</v>
      </c>
      <c r="G44" s="196"/>
      <c r="H44" s="196" t="s">
        <v>261</v>
      </c>
      <c r="I44" s="196"/>
      <c r="J44" s="450">
        <v>-8.0839999999999996</v>
      </c>
      <c r="K44" s="450">
        <v>-1.454</v>
      </c>
      <c r="L44" s="450">
        <v>-0.161</v>
      </c>
      <c r="M44" s="451">
        <v>0</v>
      </c>
      <c r="N44" s="451">
        <v>0</v>
      </c>
      <c r="O44" s="451">
        <v>0</v>
      </c>
      <c r="P44" s="450">
        <v>0.373</v>
      </c>
    </row>
    <row r="45" spans="4:16" x14ac:dyDescent="0.25">
      <c r="F45" s="99" t="s">
        <v>939</v>
      </c>
      <c r="G45" s="196"/>
      <c r="H45" s="196" t="s">
        <v>261</v>
      </c>
      <c r="I45" s="196"/>
      <c r="J45" s="450">
        <v>-8.0839999999999996</v>
      </c>
      <c r="K45" s="450">
        <v>-1.454</v>
      </c>
      <c r="L45" s="450">
        <v>-0.161</v>
      </c>
      <c r="M45" s="451">
        <v>0</v>
      </c>
      <c r="N45" s="451">
        <v>0</v>
      </c>
      <c r="O45" s="451">
        <v>0</v>
      </c>
      <c r="P45" s="450">
        <v>0</v>
      </c>
    </row>
    <row r="46" spans="4:16" x14ac:dyDescent="0.25">
      <c r="F46" s="99" t="s">
        <v>940</v>
      </c>
      <c r="G46" s="196"/>
      <c r="H46" s="196" t="s">
        <v>261</v>
      </c>
      <c r="I46" s="196"/>
      <c r="J46" s="450">
        <v>-7.3090000000000002</v>
      </c>
      <c r="K46" s="450">
        <v>-1.2589999999999999</v>
      </c>
      <c r="L46" s="450">
        <v>-0.14199999999999999</v>
      </c>
      <c r="M46" s="451">
        <v>0</v>
      </c>
      <c r="N46" s="451">
        <v>0</v>
      </c>
      <c r="O46" s="451">
        <v>0</v>
      </c>
      <c r="P46" s="450">
        <v>0.34399999999999997</v>
      </c>
    </row>
    <row r="47" spans="4:16" x14ac:dyDescent="0.25">
      <c r="F47" s="99" t="s">
        <v>941</v>
      </c>
      <c r="G47" s="196"/>
      <c r="H47" s="196" t="s">
        <v>261</v>
      </c>
      <c r="I47" s="196"/>
      <c r="J47" s="450">
        <v>-7.3090000000000002</v>
      </c>
      <c r="K47" s="450">
        <v>-1.2589999999999999</v>
      </c>
      <c r="L47" s="450">
        <v>-0.14199999999999999</v>
      </c>
      <c r="M47" s="451">
        <v>0</v>
      </c>
      <c r="N47" s="451">
        <v>0</v>
      </c>
      <c r="O47" s="451">
        <v>0</v>
      </c>
      <c r="P47" s="450">
        <v>0</v>
      </c>
    </row>
    <row r="48" spans="4:16" x14ac:dyDescent="0.25">
      <c r="F48" s="99" t="s">
        <v>942</v>
      </c>
      <c r="G48" s="196"/>
      <c r="H48" s="196" t="s">
        <v>261</v>
      </c>
      <c r="I48" s="196"/>
      <c r="J48" s="450">
        <v>-5.3920000000000003</v>
      </c>
      <c r="K48" s="450">
        <v>-0.70799999999999996</v>
      </c>
      <c r="L48" s="450">
        <v>-0.09</v>
      </c>
      <c r="M48" s="451">
        <v>81.06</v>
      </c>
      <c r="N48" s="451">
        <v>0</v>
      </c>
      <c r="O48" s="451">
        <v>0</v>
      </c>
      <c r="P48" s="450">
        <v>0.26500000000000001</v>
      </c>
    </row>
    <row r="49" spans="4:16" x14ac:dyDescent="0.25">
      <c r="F49" s="100" t="s">
        <v>943</v>
      </c>
      <c r="G49" s="93"/>
      <c r="H49" s="93" t="s">
        <v>261</v>
      </c>
      <c r="I49" s="93"/>
      <c r="J49" s="435">
        <v>-5.3920000000000003</v>
      </c>
      <c r="K49" s="435">
        <v>-0.70799999999999996</v>
      </c>
      <c r="L49" s="435">
        <v>-0.09</v>
      </c>
      <c r="M49" s="341">
        <v>81.06</v>
      </c>
      <c r="N49" s="341">
        <v>0</v>
      </c>
      <c r="O49" s="341">
        <v>0</v>
      </c>
      <c r="P49" s="435">
        <v>0</v>
      </c>
    </row>
    <row r="50" spans="4:16" x14ac:dyDescent="0.25">
      <c r="F50" s="98"/>
      <c r="J50" s="342"/>
      <c r="K50" s="342"/>
      <c r="L50" s="342"/>
      <c r="M50" s="342"/>
      <c r="N50" s="342"/>
      <c r="O50" s="342"/>
      <c r="P50" s="436"/>
    </row>
    <row r="51" spans="4:16" x14ac:dyDescent="0.25">
      <c r="D51" s="96"/>
      <c r="E51" s="96" t="str">
        <f>"LDNO LV tariff forecast (" &amp; charging_year_selected &amp; ")"</f>
        <v>LDNO LV tariff forecast (2022/23)</v>
      </c>
      <c r="F51" s="98"/>
      <c r="J51" s="342"/>
      <c r="K51" s="342"/>
      <c r="L51" s="342"/>
      <c r="M51" s="342"/>
      <c r="N51" s="342"/>
      <c r="O51" s="342"/>
      <c r="P51" s="436"/>
    </row>
    <row r="52" spans="4:16" x14ac:dyDescent="0.25">
      <c r="F52" s="103" t="s">
        <v>1004</v>
      </c>
      <c r="G52" s="91"/>
      <c r="H52" s="91" t="s">
        <v>146</v>
      </c>
      <c r="I52" s="91"/>
      <c r="J52" s="434">
        <f t="array" ref="J52:P83">TRANSPOSE(Rounding!J159:AO165)</f>
        <v>6.6820000000000004</v>
      </c>
      <c r="K52" s="434">
        <v>1.202</v>
      </c>
      <c r="L52" s="434">
        <v>0.13300000000000001</v>
      </c>
      <c r="M52" s="339">
        <v>9.76</v>
      </c>
      <c r="N52" s="339">
        <v>0</v>
      </c>
      <c r="O52" s="339">
        <v>0</v>
      </c>
      <c r="P52" s="434">
        <v>0</v>
      </c>
    </row>
    <row r="53" spans="4:16" x14ac:dyDescent="0.25">
      <c r="F53" s="99" t="s">
        <v>929</v>
      </c>
      <c r="G53" s="92"/>
      <c r="H53" s="92" t="s">
        <v>146</v>
      </c>
      <c r="I53" s="92"/>
      <c r="J53" s="450">
        <v>6.6820000000000004</v>
      </c>
      <c r="K53" s="450">
        <v>1.202</v>
      </c>
      <c r="L53" s="450">
        <v>0.13300000000000001</v>
      </c>
      <c r="M53" s="451">
        <v>0</v>
      </c>
      <c r="N53" s="451">
        <v>0</v>
      </c>
      <c r="O53" s="451">
        <v>0</v>
      </c>
      <c r="P53" s="450">
        <v>0</v>
      </c>
    </row>
    <row r="54" spans="4:16" x14ac:dyDescent="0.25">
      <c r="F54" s="99" t="s">
        <v>1005</v>
      </c>
      <c r="G54" s="92"/>
      <c r="H54" s="92" t="s">
        <v>146</v>
      </c>
      <c r="I54" s="92"/>
      <c r="J54" s="450">
        <v>8.1489999999999991</v>
      </c>
      <c r="K54" s="450">
        <v>1.466</v>
      </c>
      <c r="L54" s="450">
        <v>0.16200000000000001</v>
      </c>
      <c r="M54" s="451">
        <v>3.3</v>
      </c>
      <c r="N54" s="451">
        <v>0</v>
      </c>
      <c r="O54" s="451">
        <v>0</v>
      </c>
      <c r="P54" s="450">
        <v>0</v>
      </c>
    </row>
    <row r="55" spans="4:16" x14ac:dyDescent="0.25">
      <c r="F55" s="99" t="s">
        <v>1006</v>
      </c>
      <c r="G55" s="92"/>
      <c r="H55" s="92" t="s">
        <v>146</v>
      </c>
      <c r="I55" s="92"/>
      <c r="J55" s="450">
        <v>8.1489999999999991</v>
      </c>
      <c r="K55" s="450">
        <v>1.466</v>
      </c>
      <c r="L55" s="450">
        <v>0.16200000000000001</v>
      </c>
      <c r="M55" s="451">
        <v>5.83</v>
      </c>
      <c r="N55" s="451">
        <v>0</v>
      </c>
      <c r="O55" s="451">
        <v>0</v>
      </c>
      <c r="P55" s="450">
        <v>0</v>
      </c>
    </row>
    <row r="56" spans="4:16" x14ac:dyDescent="0.25">
      <c r="F56" s="99" t="s">
        <v>1007</v>
      </c>
      <c r="G56" s="92"/>
      <c r="H56" s="92" t="s">
        <v>146</v>
      </c>
      <c r="I56" s="92"/>
      <c r="J56" s="450">
        <v>8.1489999999999991</v>
      </c>
      <c r="K56" s="450">
        <v>1.466</v>
      </c>
      <c r="L56" s="450">
        <v>0.16200000000000001</v>
      </c>
      <c r="M56" s="451">
        <v>16.97</v>
      </c>
      <c r="N56" s="451">
        <v>0</v>
      </c>
      <c r="O56" s="451">
        <v>0</v>
      </c>
      <c r="P56" s="450">
        <v>0</v>
      </c>
    </row>
    <row r="57" spans="4:16" x14ac:dyDescent="0.25">
      <c r="F57" s="99" t="s">
        <v>1008</v>
      </c>
      <c r="G57" s="92"/>
      <c r="H57" s="92" t="s">
        <v>146</v>
      </c>
      <c r="I57" s="92"/>
      <c r="J57" s="450">
        <v>8.1489999999999991</v>
      </c>
      <c r="K57" s="450">
        <v>1.466</v>
      </c>
      <c r="L57" s="450">
        <v>0.16200000000000001</v>
      </c>
      <c r="M57" s="451">
        <v>37.159999999999997</v>
      </c>
      <c r="N57" s="451">
        <v>0</v>
      </c>
      <c r="O57" s="451">
        <v>0</v>
      </c>
      <c r="P57" s="450">
        <v>0</v>
      </c>
    </row>
    <row r="58" spans="4:16" x14ac:dyDescent="0.25">
      <c r="F58" s="99" t="s">
        <v>1009</v>
      </c>
      <c r="G58" s="92"/>
      <c r="H58" s="92" t="s">
        <v>146</v>
      </c>
      <c r="I58" s="92"/>
      <c r="J58" s="450">
        <v>8.1489999999999991</v>
      </c>
      <c r="K58" s="450">
        <v>1.466</v>
      </c>
      <c r="L58" s="450">
        <v>0.16200000000000001</v>
      </c>
      <c r="M58" s="451">
        <v>112.51</v>
      </c>
      <c r="N58" s="451">
        <v>0</v>
      </c>
      <c r="O58" s="451">
        <v>0</v>
      </c>
      <c r="P58" s="450">
        <v>0</v>
      </c>
    </row>
    <row r="59" spans="4:16" s="293" customFormat="1" x14ac:dyDescent="0.25">
      <c r="D59" s="98"/>
      <c r="E59" s="98"/>
      <c r="F59" s="99" t="s">
        <v>931</v>
      </c>
      <c r="G59" s="196"/>
      <c r="H59" s="196" t="s">
        <v>146</v>
      </c>
      <c r="I59" s="196"/>
      <c r="J59" s="450">
        <v>8.1489999999999991</v>
      </c>
      <c r="K59" s="450">
        <v>1.466</v>
      </c>
      <c r="L59" s="450">
        <v>0.16200000000000001</v>
      </c>
      <c r="M59" s="451">
        <v>0</v>
      </c>
      <c r="N59" s="451">
        <v>0</v>
      </c>
      <c r="O59" s="451">
        <v>0</v>
      </c>
      <c r="P59" s="450">
        <v>0</v>
      </c>
    </row>
    <row r="60" spans="4:16" s="293" customFormat="1" x14ac:dyDescent="0.25">
      <c r="D60" s="98"/>
      <c r="E60" s="98"/>
      <c r="F60" s="99" t="s">
        <v>1010</v>
      </c>
      <c r="G60" s="196"/>
      <c r="H60" s="196" t="s">
        <v>146</v>
      </c>
      <c r="I60" s="196"/>
      <c r="J60" s="450">
        <v>5.383</v>
      </c>
      <c r="K60" s="450">
        <v>0.89500000000000002</v>
      </c>
      <c r="L60" s="450">
        <v>0.10299999999999999</v>
      </c>
      <c r="M60" s="451">
        <v>12.95</v>
      </c>
      <c r="N60" s="451">
        <v>1.81</v>
      </c>
      <c r="O60" s="451">
        <v>3.09</v>
      </c>
      <c r="P60" s="450">
        <v>0.27</v>
      </c>
    </row>
    <row r="61" spans="4:16" s="293" customFormat="1" x14ac:dyDescent="0.25">
      <c r="D61" s="98"/>
      <c r="E61" s="98"/>
      <c r="F61" s="99" t="s">
        <v>1011</v>
      </c>
      <c r="G61" s="196"/>
      <c r="H61" s="196" t="s">
        <v>146</v>
      </c>
      <c r="I61" s="196"/>
      <c r="J61" s="450">
        <v>5.383</v>
      </c>
      <c r="K61" s="450">
        <v>0.89500000000000002</v>
      </c>
      <c r="L61" s="450">
        <v>0.10299999999999999</v>
      </c>
      <c r="M61" s="451">
        <v>177.91</v>
      </c>
      <c r="N61" s="451">
        <v>1.81</v>
      </c>
      <c r="O61" s="451">
        <v>3.09</v>
      </c>
      <c r="P61" s="450">
        <v>0.27</v>
      </c>
    </row>
    <row r="62" spans="4:16" x14ac:dyDescent="0.25">
      <c r="F62" s="99" t="s">
        <v>1012</v>
      </c>
      <c r="G62" s="92"/>
      <c r="H62" s="92" t="s">
        <v>146</v>
      </c>
      <c r="I62" s="92"/>
      <c r="J62" s="450">
        <v>5.383</v>
      </c>
      <c r="K62" s="450">
        <v>0.89500000000000002</v>
      </c>
      <c r="L62" s="450">
        <v>0.10299999999999999</v>
      </c>
      <c r="M62" s="451">
        <v>392.4</v>
      </c>
      <c r="N62" s="451">
        <v>1.81</v>
      </c>
      <c r="O62" s="451">
        <v>3.09</v>
      </c>
      <c r="P62" s="450">
        <v>0.27</v>
      </c>
    </row>
    <row r="63" spans="4:16" x14ac:dyDescent="0.25">
      <c r="F63" s="99" t="s">
        <v>1013</v>
      </c>
      <c r="G63" s="92"/>
      <c r="H63" s="92" t="s">
        <v>146</v>
      </c>
      <c r="I63" s="92"/>
      <c r="J63" s="450">
        <v>5.383</v>
      </c>
      <c r="K63" s="450">
        <v>0.89500000000000002</v>
      </c>
      <c r="L63" s="450">
        <v>0.10299999999999999</v>
      </c>
      <c r="M63" s="451">
        <v>652.12</v>
      </c>
      <c r="N63" s="451">
        <v>1.81</v>
      </c>
      <c r="O63" s="451">
        <v>3.09</v>
      </c>
      <c r="P63" s="450">
        <v>0.27</v>
      </c>
    </row>
    <row r="64" spans="4:16" x14ac:dyDescent="0.25">
      <c r="F64" s="99" t="s">
        <v>1014</v>
      </c>
      <c r="G64" s="92"/>
      <c r="H64" s="92" t="s">
        <v>146</v>
      </c>
      <c r="I64" s="92"/>
      <c r="J64" s="450">
        <v>5.383</v>
      </c>
      <c r="K64" s="450">
        <v>0.89500000000000002</v>
      </c>
      <c r="L64" s="450">
        <v>0.10299999999999999</v>
      </c>
      <c r="M64" s="451">
        <v>1405.57</v>
      </c>
      <c r="N64" s="451">
        <v>1.81</v>
      </c>
      <c r="O64" s="451">
        <v>3.09</v>
      </c>
      <c r="P64" s="450">
        <v>0.27</v>
      </c>
    </row>
    <row r="65" spans="4:16" x14ac:dyDescent="0.25">
      <c r="F65" s="99" t="s">
        <v>1015</v>
      </c>
      <c r="G65" s="92"/>
      <c r="H65" s="92" t="s">
        <v>146</v>
      </c>
      <c r="I65" s="92"/>
      <c r="J65" s="452">
        <v>0</v>
      </c>
      <c r="K65" s="452">
        <v>0</v>
      </c>
      <c r="L65" s="452">
        <v>0</v>
      </c>
      <c r="M65" s="453">
        <v>0</v>
      </c>
      <c r="N65" s="453">
        <v>0</v>
      </c>
      <c r="O65" s="453">
        <v>0</v>
      </c>
      <c r="P65" s="452">
        <v>0</v>
      </c>
    </row>
    <row r="66" spans="4:16" s="293" customFormat="1" x14ac:dyDescent="0.25">
      <c r="D66" s="98"/>
      <c r="E66" s="98"/>
      <c r="F66" s="99" t="s">
        <v>1016</v>
      </c>
      <c r="G66" s="196"/>
      <c r="H66" s="196" t="s">
        <v>146</v>
      </c>
      <c r="I66" s="196"/>
      <c r="J66" s="452">
        <v>0</v>
      </c>
      <c r="K66" s="452">
        <v>0</v>
      </c>
      <c r="L66" s="452">
        <v>0</v>
      </c>
      <c r="M66" s="453">
        <v>0</v>
      </c>
      <c r="N66" s="453">
        <v>0</v>
      </c>
      <c r="O66" s="453">
        <v>0</v>
      </c>
      <c r="P66" s="452">
        <v>0</v>
      </c>
    </row>
    <row r="67" spans="4:16" s="293" customFormat="1" x14ac:dyDescent="0.25">
      <c r="D67" s="98"/>
      <c r="E67" s="98"/>
      <c r="F67" s="99" t="s">
        <v>1017</v>
      </c>
      <c r="G67" s="196"/>
      <c r="H67" s="196" t="s">
        <v>146</v>
      </c>
      <c r="I67" s="196"/>
      <c r="J67" s="452">
        <v>0</v>
      </c>
      <c r="K67" s="452">
        <v>0</v>
      </c>
      <c r="L67" s="452">
        <v>0</v>
      </c>
      <c r="M67" s="453">
        <v>0</v>
      </c>
      <c r="N67" s="453">
        <v>0</v>
      </c>
      <c r="O67" s="453">
        <v>0</v>
      </c>
      <c r="P67" s="452">
        <v>0</v>
      </c>
    </row>
    <row r="68" spans="4:16" s="293" customFormat="1" x14ac:dyDescent="0.25">
      <c r="D68" s="98"/>
      <c r="E68" s="98"/>
      <c r="F68" s="99" t="s">
        <v>1018</v>
      </c>
      <c r="G68" s="196"/>
      <c r="H68" s="196" t="s">
        <v>146</v>
      </c>
      <c r="I68" s="196"/>
      <c r="J68" s="452">
        <v>0</v>
      </c>
      <c r="K68" s="452">
        <v>0</v>
      </c>
      <c r="L68" s="452">
        <v>0</v>
      </c>
      <c r="M68" s="453">
        <v>0</v>
      </c>
      <c r="N68" s="453">
        <v>0</v>
      </c>
      <c r="O68" s="453">
        <v>0</v>
      </c>
      <c r="P68" s="452">
        <v>0</v>
      </c>
    </row>
    <row r="69" spans="4:16" s="293" customFormat="1" x14ac:dyDescent="0.25">
      <c r="D69" s="98"/>
      <c r="E69" s="98"/>
      <c r="F69" s="99" t="s">
        <v>1019</v>
      </c>
      <c r="G69" s="196"/>
      <c r="H69" s="196" t="s">
        <v>146</v>
      </c>
      <c r="I69" s="196"/>
      <c r="J69" s="452">
        <v>0</v>
      </c>
      <c r="K69" s="452">
        <v>0</v>
      </c>
      <c r="L69" s="452">
        <v>0</v>
      </c>
      <c r="M69" s="453">
        <v>0</v>
      </c>
      <c r="N69" s="453">
        <v>0</v>
      </c>
      <c r="O69" s="453">
        <v>0</v>
      </c>
      <c r="P69" s="452">
        <v>0</v>
      </c>
    </row>
    <row r="70" spans="4:16" s="293" customFormat="1" x14ac:dyDescent="0.25">
      <c r="D70" s="98"/>
      <c r="E70" s="98"/>
      <c r="F70" s="99" t="s">
        <v>1020</v>
      </c>
      <c r="G70" s="196"/>
      <c r="H70" s="196" t="s">
        <v>146</v>
      </c>
      <c r="I70" s="196"/>
      <c r="J70" s="452">
        <v>0</v>
      </c>
      <c r="K70" s="452">
        <v>0</v>
      </c>
      <c r="L70" s="452">
        <v>0</v>
      </c>
      <c r="M70" s="453">
        <v>0</v>
      </c>
      <c r="N70" s="453">
        <v>0</v>
      </c>
      <c r="O70" s="453">
        <v>0</v>
      </c>
      <c r="P70" s="452">
        <v>0</v>
      </c>
    </row>
    <row r="71" spans="4:16" s="293" customFormat="1" x14ac:dyDescent="0.25">
      <c r="D71" s="98"/>
      <c r="E71" s="98"/>
      <c r="F71" s="99" t="s">
        <v>1021</v>
      </c>
      <c r="G71" s="196"/>
      <c r="H71" s="196" t="s">
        <v>146</v>
      </c>
      <c r="I71" s="196"/>
      <c r="J71" s="452">
        <v>0</v>
      </c>
      <c r="K71" s="452">
        <v>0</v>
      </c>
      <c r="L71" s="452">
        <v>0</v>
      </c>
      <c r="M71" s="453">
        <v>0</v>
      </c>
      <c r="N71" s="453">
        <v>0</v>
      </c>
      <c r="O71" s="453">
        <v>0</v>
      </c>
      <c r="P71" s="452">
        <v>0</v>
      </c>
    </row>
    <row r="72" spans="4:16" s="293" customFormat="1" x14ac:dyDescent="0.25">
      <c r="D72" s="98"/>
      <c r="E72" s="98"/>
      <c r="F72" s="99" t="s">
        <v>1022</v>
      </c>
      <c r="G72" s="196"/>
      <c r="H72" s="196" t="s">
        <v>146</v>
      </c>
      <c r="I72" s="196"/>
      <c r="J72" s="452">
        <v>0</v>
      </c>
      <c r="K72" s="452">
        <v>0</v>
      </c>
      <c r="L72" s="452">
        <v>0</v>
      </c>
      <c r="M72" s="453">
        <v>0</v>
      </c>
      <c r="N72" s="453">
        <v>0</v>
      </c>
      <c r="O72" s="453">
        <v>0</v>
      </c>
      <c r="P72" s="452">
        <v>0</v>
      </c>
    </row>
    <row r="73" spans="4:16" s="293" customFormat="1" x14ac:dyDescent="0.25">
      <c r="D73" s="98"/>
      <c r="E73" s="98"/>
      <c r="F73" s="99" t="s">
        <v>1023</v>
      </c>
      <c r="G73" s="196"/>
      <c r="H73" s="196" t="s">
        <v>146</v>
      </c>
      <c r="I73" s="196"/>
      <c r="J73" s="452">
        <v>0</v>
      </c>
      <c r="K73" s="452">
        <v>0</v>
      </c>
      <c r="L73" s="452">
        <v>0</v>
      </c>
      <c r="M73" s="453">
        <v>0</v>
      </c>
      <c r="N73" s="453">
        <v>0</v>
      </c>
      <c r="O73" s="453">
        <v>0</v>
      </c>
      <c r="P73" s="452">
        <v>0</v>
      </c>
    </row>
    <row r="74" spans="4:16" s="293" customFormat="1" x14ac:dyDescent="0.25">
      <c r="D74" s="98"/>
      <c r="E74" s="98"/>
      <c r="F74" s="99" t="s">
        <v>1024</v>
      </c>
      <c r="G74" s="196"/>
      <c r="H74" s="196" t="s">
        <v>146</v>
      </c>
      <c r="I74" s="196"/>
      <c r="J74" s="452">
        <v>0</v>
      </c>
      <c r="K74" s="452">
        <v>0</v>
      </c>
      <c r="L74" s="452">
        <v>0</v>
      </c>
      <c r="M74" s="453">
        <v>0</v>
      </c>
      <c r="N74" s="453">
        <v>0</v>
      </c>
      <c r="O74" s="453">
        <v>0</v>
      </c>
      <c r="P74" s="452">
        <v>0</v>
      </c>
    </row>
    <row r="75" spans="4:16" s="293" customFormat="1" x14ac:dyDescent="0.25">
      <c r="D75" s="98"/>
      <c r="E75" s="98"/>
      <c r="F75" s="99" t="s">
        <v>935</v>
      </c>
      <c r="G75" s="196"/>
      <c r="H75" s="196" t="s">
        <v>146</v>
      </c>
      <c r="I75" s="196"/>
      <c r="J75" s="450">
        <v>12.346</v>
      </c>
      <c r="K75" s="450">
        <v>2.5289999999999999</v>
      </c>
      <c r="L75" s="450">
        <v>1.08</v>
      </c>
      <c r="M75" s="451">
        <v>0</v>
      </c>
      <c r="N75" s="451">
        <v>0</v>
      </c>
      <c r="O75" s="451">
        <v>0</v>
      </c>
      <c r="P75" s="450">
        <v>0</v>
      </c>
    </row>
    <row r="76" spans="4:16" s="293" customFormat="1" x14ac:dyDescent="0.25">
      <c r="D76" s="98"/>
      <c r="E76" s="98"/>
      <c r="F76" s="99" t="s">
        <v>936</v>
      </c>
      <c r="G76" s="196"/>
      <c r="H76" s="196" t="s">
        <v>146</v>
      </c>
      <c r="I76" s="196"/>
      <c r="J76" s="450">
        <v>-8.0839999999999996</v>
      </c>
      <c r="K76" s="450">
        <v>-1.454</v>
      </c>
      <c r="L76" s="450">
        <v>-0.161</v>
      </c>
      <c r="M76" s="451">
        <v>0</v>
      </c>
      <c r="N76" s="451">
        <v>0</v>
      </c>
      <c r="O76" s="451">
        <v>0</v>
      </c>
      <c r="P76" s="450">
        <v>0</v>
      </c>
    </row>
    <row r="77" spans="4:16" s="293" customFormat="1" x14ac:dyDescent="0.25">
      <c r="D77" s="98"/>
      <c r="E77" s="98"/>
      <c r="F77" s="99" t="s">
        <v>937</v>
      </c>
      <c r="G77" s="196"/>
      <c r="H77" s="196" t="s">
        <v>146</v>
      </c>
      <c r="I77" s="196"/>
      <c r="J77" s="452">
        <v>0</v>
      </c>
      <c r="K77" s="452">
        <v>0</v>
      </c>
      <c r="L77" s="452">
        <v>0</v>
      </c>
      <c r="M77" s="453">
        <v>0</v>
      </c>
      <c r="N77" s="453">
        <v>0</v>
      </c>
      <c r="O77" s="453">
        <v>0</v>
      </c>
      <c r="P77" s="452">
        <v>0</v>
      </c>
    </row>
    <row r="78" spans="4:16" s="293" customFormat="1" x14ac:dyDescent="0.25">
      <c r="D78" s="98"/>
      <c r="E78" s="98"/>
      <c r="F78" s="99" t="s">
        <v>938</v>
      </c>
      <c r="G78" s="196"/>
      <c r="H78" s="196" t="s">
        <v>146</v>
      </c>
      <c r="I78" s="196"/>
      <c r="J78" s="450">
        <v>-8.0839999999999996</v>
      </c>
      <c r="K78" s="450">
        <v>-1.454</v>
      </c>
      <c r="L78" s="450">
        <v>-0.161</v>
      </c>
      <c r="M78" s="451">
        <v>0</v>
      </c>
      <c r="N78" s="451">
        <v>0</v>
      </c>
      <c r="O78" s="451">
        <v>0</v>
      </c>
      <c r="P78" s="450">
        <v>0.373</v>
      </c>
    </row>
    <row r="79" spans="4:16" x14ac:dyDescent="0.25">
      <c r="F79" s="99" t="s">
        <v>939</v>
      </c>
      <c r="G79" s="92"/>
      <c r="H79" s="92" t="s">
        <v>146</v>
      </c>
      <c r="I79" s="92"/>
      <c r="J79" s="452">
        <v>0</v>
      </c>
      <c r="K79" s="452">
        <v>0</v>
      </c>
      <c r="L79" s="452">
        <v>0</v>
      </c>
      <c r="M79" s="453">
        <v>0</v>
      </c>
      <c r="N79" s="453">
        <v>0</v>
      </c>
      <c r="O79" s="453">
        <v>0</v>
      </c>
      <c r="P79" s="452">
        <v>0</v>
      </c>
    </row>
    <row r="80" spans="4:16" x14ac:dyDescent="0.25">
      <c r="F80" s="99" t="s">
        <v>940</v>
      </c>
      <c r="G80" s="92"/>
      <c r="H80" s="92" t="s">
        <v>146</v>
      </c>
      <c r="I80" s="92"/>
      <c r="J80" s="452">
        <v>0</v>
      </c>
      <c r="K80" s="452">
        <v>0</v>
      </c>
      <c r="L80" s="452">
        <v>0</v>
      </c>
      <c r="M80" s="453">
        <v>0</v>
      </c>
      <c r="N80" s="453">
        <v>0</v>
      </c>
      <c r="O80" s="453">
        <v>0</v>
      </c>
      <c r="P80" s="452">
        <v>0</v>
      </c>
    </row>
    <row r="81" spans="4:19" x14ac:dyDescent="0.25">
      <c r="F81" s="99" t="s">
        <v>941</v>
      </c>
      <c r="G81" s="92"/>
      <c r="H81" s="92" t="s">
        <v>146</v>
      </c>
      <c r="I81" s="92"/>
      <c r="J81" s="452">
        <v>0</v>
      </c>
      <c r="K81" s="452">
        <v>0</v>
      </c>
      <c r="L81" s="452">
        <v>0</v>
      </c>
      <c r="M81" s="453">
        <v>0</v>
      </c>
      <c r="N81" s="453">
        <v>0</v>
      </c>
      <c r="O81" s="453">
        <v>0</v>
      </c>
      <c r="P81" s="452">
        <v>0</v>
      </c>
    </row>
    <row r="82" spans="4:19" x14ac:dyDescent="0.25">
      <c r="F82" s="99" t="s">
        <v>942</v>
      </c>
      <c r="G82" s="92"/>
      <c r="H82" s="92" t="s">
        <v>146</v>
      </c>
      <c r="I82" s="92"/>
      <c r="J82" s="452">
        <v>0</v>
      </c>
      <c r="K82" s="452">
        <v>0</v>
      </c>
      <c r="L82" s="452">
        <v>0</v>
      </c>
      <c r="M82" s="453">
        <v>0</v>
      </c>
      <c r="N82" s="453">
        <v>0</v>
      </c>
      <c r="O82" s="453">
        <v>0</v>
      </c>
      <c r="P82" s="452">
        <v>0</v>
      </c>
    </row>
    <row r="83" spans="4:19" x14ac:dyDescent="0.25">
      <c r="F83" s="100" t="s">
        <v>943</v>
      </c>
      <c r="G83" s="93"/>
      <c r="H83" s="93" t="s">
        <v>146</v>
      </c>
      <c r="I83" s="93"/>
      <c r="J83" s="437">
        <v>0</v>
      </c>
      <c r="K83" s="437">
        <v>0</v>
      </c>
      <c r="L83" s="437">
        <v>0</v>
      </c>
      <c r="M83" s="343">
        <v>0</v>
      </c>
      <c r="N83" s="343">
        <v>0</v>
      </c>
      <c r="O83" s="343">
        <v>0</v>
      </c>
      <c r="P83" s="437">
        <v>0</v>
      </c>
    </row>
    <row r="84" spans="4:19" x14ac:dyDescent="0.25">
      <c r="D84" s="195"/>
      <c r="E84" s="195"/>
      <c r="F84" s="195"/>
      <c r="G84" s="195"/>
      <c r="H84" s="195"/>
      <c r="I84" s="195"/>
      <c r="J84" s="436"/>
      <c r="K84" s="436"/>
      <c r="L84" s="436"/>
      <c r="M84" s="342"/>
      <c r="N84" s="342"/>
      <c r="O84" s="342"/>
      <c r="P84" s="436"/>
      <c r="Q84" s="195"/>
      <c r="R84" s="195"/>
      <c r="S84" s="195"/>
    </row>
    <row r="85" spans="4:19" x14ac:dyDescent="0.25">
      <c r="D85" s="96"/>
      <c r="E85" s="96" t="str">
        <f>"LDNO HV tariff forecast (" &amp; charging_year_selected &amp; ")"</f>
        <v>LDNO HV tariff forecast (2022/23)</v>
      </c>
      <c r="F85" s="195"/>
      <c r="G85" s="195"/>
      <c r="H85" s="195"/>
      <c r="I85" s="195"/>
      <c r="J85" s="436"/>
      <c r="K85" s="436"/>
      <c r="L85" s="436"/>
      <c r="M85" s="342"/>
      <c r="N85" s="342"/>
      <c r="O85" s="342"/>
      <c r="P85" s="436"/>
      <c r="Q85" s="195"/>
      <c r="R85" s="195"/>
      <c r="S85" s="195"/>
    </row>
    <row r="86" spans="4:19" x14ac:dyDescent="0.25">
      <c r="F86" s="103" t="s">
        <v>1004</v>
      </c>
      <c r="G86" s="91"/>
      <c r="H86" s="91" t="s">
        <v>147</v>
      </c>
      <c r="I86" s="91"/>
      <c r="J86" s="434">
        <f t="array" ref="J86:P117">TRANSPOSE(Rounding!J168:AO174)</f>
        <v>4.8579999999999997</v>
      </c>
      <c r="K86" s="434">
        <v>0.874</v>
      </c>
      <c r="L86" s="434">
        <v>9.7000000000000003E-2</v>
      </c>
      <c r="M86" s="339">
        <v>7.14</v>
      </c>
      <c r="N86" s="339">
        <v>0</v>
      </c>
      <c r="O86" s="339">
        <v>0</v>
      </c>
      <c r="P86" s="434">
        <v>0</v>
      </c>
    </row>
    <row r="87" spans="4:19" x14ac:dyDescent="0.25">
      <c r="F87" s="99" t="s">
        <v>929</v>
      </c>
      <c r="G87" s="92"/>
      <c r="H87" s="92" t="s">
        <v>147</v>
      </c>
      <c r="I87" s="92"/>
      <c r="J87" s="450">
        <v>4.8579999999999997</v>
      </c>
      <c r="K87" s="450">
        <v>0.874</v>
      </c>
      <c r="L87" s="450">
        <v>9.7000000000000003E-2</v>
      </c>
      <c r="M87" s="451">
        <v>0</v>
      </c>
      <c r="N87" s="451">
        <v>0</v>
      </c>
      <c r="O87" s="451">
        <v>0</v>
      </c>
      <c r="P87" s="450">
        <v>0</v>
      </c>
    </row>
    <row r="88" spans="4:19" x14ac:dyDescent="0.25">
      <c r="F88" s="99" t="s">
        <v>1005</v>
      </c>
      <c r="G88" s="92"/>
      <c r="H88" s="92" t="s">
        <v>147</v>
      </c>
      <c r="I88" s="92"/>
      <c r="J88" s="450">
        <v>5.9249999999999998</v>
      </c>
      <c r="K88" s="450">
        <v>1.0660000000000001</v>
      </c>
      <c r="L88" s="450">
        <v>0.11799999999999999</v>
      </c>
      <c r="M88" s="451">
        <v>2.42</v>
      </c>
      <c r="N88" s="451">
        <v>0</v>
      </c>
      <c r="O88" s="451">
        <v>0</v>
      </c>
      <c r="P88" s="450">
        <v>0</v>
      </c>
    </row>
    <row r="89" spans="4:19" x14ac:dyDescent="0.25">
      <c r="F89" s="99" t="s">
        <v>1006</v>
      </c>
      <c r="G89" s="92"/>
      <c r="H89" s="92" t="s">
        <v>147</v>
      </c>
      <c r="I89" s="92"/>
      <c r="J89" s="450">
        <v>5.9249999999999998</v>
      </c>
      <c r="K89" s="450">
        <v>1.0660000000000001</v>
      </c>
      <c r="L89" s="450">
        <v>0.11799999999999999</v>
      </c>
      <c r="M89" s="451">
        <v>4.26</v>
      </c>
      <c r="N89" s="451">
        <v>0</v>
      </c>
      <c r="O89" s="451">
        <v>0</v>
      </c>
      <c r="P89" s="450">
        <v>0</v>
      </c>
    </row>
    <row r="90" spans="4:19" x14ac:dyDescent="0.25">
      <c r="F90" s="99" t="s">
        <v>1007</v>
      </c>
      <c r="G90" s="92"/>
      <c r="H90" s="92" t="s">
        <v>147</v>
      </c>
      <c r="I90" s="92"/>
      <c r="J90" s="450">
        <v>5.9249999999999998</v>
      </c>
      <c r="K90" s="450">
        <v>1.0660000000000001</v>
      </c>
      <c r="L90" s="450">
        <v>0.11799999999999999</v>
      </c>
      <c r="M90" s="451">
        <v>12.35</v>
      </c>
      <c r="N90" s="451">
        <v>0</v>
      </c>
      <c r="O90" s="451">
        <v>0</v>
      </c>
      <c r="P90" s="450">
        <v>0</v>
      </c>
    </row>
    <row r="91" spans="4:19" x14ac:dyDescent="0.25">
      <c r="F91" s="99" t="s">
        <v>1008</v>
      </c>
      <c r="G91" s="92"/>
      <c r="H91" s="92" t="s">
        <v>147</v>
      </c>
      <c r="I91" s="92"/>
      <c r="J91" s="450">
        <v>5.9249999999999998</v>
      </c>
      <c r="K91" s="450">
        <v>1.0660000000000001</v>
      </c>
      <c r="L91" s="450">
        <v>0.11799999999999999</v>
      </c>
      <c r="M91" s="451">
        <v>27.04</v>
      </c>
      <c r="N91" s="451">
        <v>0</v>
      </c>
      <c r="O91" s="451">
        <v>0</v>
      </c>
      <c r="P91" s="450">
        <v>0</v>
      </c>
    </row>
    <row r="92" spans="4:19" x14ac:dyDescent="0.25">
      <c r="F92" s="99" t="s">
        <v>1009</v>
      </c>
      <c r="G92" s="92"/>
      <c r="H92" s="92" t="s">
        <v>147</v>
      </c>
      <c r="I92" s="92"/>
      <c r="J92" s="450">
        <v>5.9249999999999998</v>
      </c>
      <c r="K92" s="450">
        <v>1.0660000000000001</v>
      </c>
      <c r="L92" s="450">
        <v>0.11799999999999999</v>
      </c>
      <c r="M92" s="451">
        <v>81.819999999999993</v>
      </c>
      <c r="N92" s="451">
        <v>0</v>
      </c>
      <c r="O92" s="451">
        <v>0</v>
      </c>
      <c r="P92" s="450">
        <v>0</v>
      </c>
    </row>
    <row r="93" spans="4:19" s="293" customFormat="1" x14ac:dyDescent="0.25">
      <c r="D93" s="98"/>
      <c r="E93" s="98"/>
      <c r="F93" s="99" t="s">
        <v>931</v>
      </c>
      <c r="G93" s="196"/>
      <c r="H93" s="196" t="s">
        <v>147</v>
      </c>
      <c r="I93" s="196"/>
      <c r="J93" s="450">
        <v>5.9249999999999998</v>
      </c>
      <c r="K93" s="450">
        <v>1.0660000000000001</v>
      </c>
      <c r="L93" s="450">
        <v>0.11799999999999999</v>
      </c>
      <c r="M93" s="451">
        <v>0</v>
      </c>
      <c r="N93" s="451">
        <v>0</v>
      </c>
      <c r="O93" s="451">
        <v>0</v>
      </c>
      <c r="P93" s="450">
        <v>0</v>
      </c>
    </row>
    <row r="94" spans="4:19" s="293" customFormat="1" x14ac:dyDescent="0.25">
      <c r="D94" s="98"/>
      <c r="E94" s="98"/>
      <c r="F94" s="99" t="s">
        <v>1010</v>
      </c>
      <c r="G94" s="196"/>
      <c r="H94" s="196" t="s">
        <v>147</v>
      </c>
      <c r="I94" s="196"/>
      <c r="J94" s="450">
        <v>3.9140000000000001</v>
      </c>
      <c r="K94" s="450">
        <v>0.65100000000000002</v>
      </c>
      <c r="L94" s="450">
        <v>7.4999999999999997E-2</v>
      </c>
      <c r="M94" s="451">
        <v>9.44</v>
      </c>
      <c r="N94" s="451">
        <v>1.32</v>
      </c>
      <c r="O94" s="451">
        <v>2.2400000000000002</v>
      </c>
      <c r="P94" s="450">
        <v>0.19600000000000001</v>
      </c>
    </row>
    <row r="95" spans="4:19" s="293" customFormat="1" x14ac:dyDescent="0.25">
      <c r="D95" s="98"/>
      <c r="E95" s="98"/>
      <c r="F95" s="99" t="s">
        <v>1011</v>
      </c>
      <c r="G95" s="196"/>
      <c r="H95" s="196" t="s">
        <v>147</v>
      </c>
      <c r="I95" s="196"/>
      <c r="J95" s="450">
        <v>3.9140000000000001</v>
      </c>
      <c r="K95" s="450">
        <v>0.65100000000000002</v>
      </c>
      <c r="L95" s="450">
        <v>7.4999999999999997E-2</v>
      </c>
      <c r="M95" s="451">
        <v>129.37</v>
      </c>
      <c r="N95" s="451">
        <v>1.32</v>
      </c>
      <c r="O95" s="451">
        <v>2.2400000000000002</v>
      </c>
      <c r="P95" s="450">
        <v>0.19600000000000001</v>
      </c>
    </row>
    <row r="96" spans="4:19" x14ac:dyDescent="0.25">
      <c r="F96" s="99" t="s">
        <v>1012</v>
      </c>
      <c r="G96" s="92"/>
      <c r="H96" s="92" t="s">
        <v>147</v>
      </c>
      <c r="I96" s="92"/>
      <c r="J96" s="450">
        <v>3.9140000000000001</v>
      </c>
      <c r="K96" s="450">
        <v>0.65100000000000002</v>
      </c>
      <c r="L96" s="450">
        <v>7.4999999999999997E-2</v>
      </c>
      <c r="M96" s="451">
        <v>285.33</v>
      </c>
      <c r="N96" s="451">
        <v>1.32</v>
      </c>
      <c r="O96" s="451">
        <v>2.2400000000000002</v>
      </c>
      <c r="P96" s="450">
        <v>0.19600000000000001</v>
      </c>
    </row>
    <row r="97" spans="4:16" x14ac:dyDescent="0.25">
      <c r="F97" s="99" t="s">
        <v>1013</v>
      </c>
      <c r="G97" s="92"/>
      <c r="H97" s="92" t="s">
        <v>147</v>
      </c>
      <c r="I97" s="92"/>
      <c r="J97" s="450">
        <v>3.9140000000000001</v>
      </c>
      <c r="K97" s="450">
        <v>0.65100000000000002</v>
      </c>
      <c r="L97" s="450">
        <v>7.4999999999999997E-2</v>
      </c>
      <c r="M97" s="451">
        <v>474.16</v>
      </c>
      <c r="N97" s="451">
        <v>1.32</v>
      </c>
      <c r="O97" s="451">
        <v>2.2400000000000002</v>
      </c>
      <c r="P97" s="450">
        <v>0.19600000000000001</v>
      </c>
    </row>
    <row r="98" spans="4:16" x14ac:dyDescent="0.25">
      <c r="F98" s="99" t="s">
        <v>1014</v>
      </c>
      <c r="G98" s="92"/>
      <c r="H98" s="92" t="s">
        <v>147</v>
      </c>
      <c r="I98" s="92"/>
      <c r="J98" s="450">
        <v>3.9140000000000001</v>
      </c>
      <c r="K98" s="450">
        <v>0.65100000000000002</v>
      </c>
      <c r="L98" s="450">
        <v>7.4999999999999997E-2</v>
      </c>
      <c r="M98" s="451">
        <v>1021.97</v>
      </c>
      <c r="N98" s="451">
        <v>1.32</v>
      </c>
      <c r="O98" s="451">
        <v>2.2400000000000002</v>
      </c>
      <c r="P98" s="450">
        <v>0.19600000000000001</v>
      </c>
    </row>
    <row r="99" spans="4:16" x14ac:dyDescent="0.25">
      <c r="F99" s="99" t="s">
        <v>1015</v>
      </c>
      <c r="G99" s="92"/>
      <c r="H99" s="92" t="s">
        <v>147</v>
      </c>
      <c r="I99" s="92"/>
      <c r="J99" s="450">
        <v>5.0629999999999997</v>
      </c>
      <c r="K99" s="450">
        <v>0.68899999999999995</v>
      </c>
      <c r="L99" s="450">
        <v>8.7999999999999995E-2</v>
      </c>
      <c r="M99" s="451">
        <v>5.41</v>
      </c>
      <c r="N99" s="451">
        <v>4.21</v>
      </c>
      <c r="O99" s="451">
        <v>5.7</v>
      </c>
      <c r="P99" s="450">
        <v>0.21099999999999999</v>
      </c>
    </row>
    <row r="100" spans="4:16" s="293" customFormat="1" x14ac:dyDescent="0.25">
      <c r="D100" s="98"/>
      <c r="E100" s="98"/>
      <c r="F100" s="99" t="s">
        <v>1016</v>
      </c>
      <c r="G100" s="196"/>
      <c r="H100" s="196" t="s">
        <v>147</v>
      </c>
      <c r="I100" s="196"/>
      <c r="J100" s="450">
        <v>5.0629999999999997</v>
      </c>
      <c r="K100" s="450">
        <v>0.68899999999999995</v>
      </c>
      <c r="L100" s="450">
        <v>8.7999999999999995E-2</v>
      </c>
      <c r="M100" s="451">
        <v>199.18</v>
      </c>
      <c r="N100" s="451">
        <v>4.21</v>
      </c>
      <c r="O100" s="451">
        <v>5.7</v>
      </c>
      <c r="P100" s="450">
        <v>0.21099999999999999</v>
      </c>
    </row>
    <row r="101" spans="4:16" s="293" customFormat="1" x14ac:dyDescent="0.25">
      <c r="D101" s="98"/>
      <c r="E101" s="98"/>
      <c r="F101" s="99" t="s">
        <v>1017</v>
      </c>
      <c r="G101" s="196"/>
      <c r="H101" s="196" t="s">
        <v>147</v>
      </c>
      <c r="I101" s="196"/>
      <c r="J101" s="450">
        <v>5.0629999999999997</v>
      </c>
      <c r="K101" s="450">
        <v>0.68899999999999995</v>
      </c>
      <c r="L101" s="450">
        <v>8.7999999999999995E-2</v>
      </c>
      <c r="M101" s="451">
        <v>451.14</v>
      </c>
      <c r="N101" s="451">
        <v>4.21</v>
      </c>
      <c r="O101" s="451">
        <v>5.7</v>
      </c>
      <c r="P101" s="450">
        <v>0.21099999999999999</v>
      </c>
    </row>
    <row r="102" spans="4:16" s="293" customFormat="1" x14ac:dyDescent="0.25">
      <c r="D102" s="98"/>
      <c r="E102" s="98"/>
      <c r="F102" s="99" t="s">
        <v>1018</v>
      </c>
      <c r="G102" s="196"/>
      <c r="H102" s="196" t="s">
        <v>147</v>
      </c>
      <c r="I102" s="196"/>
      <c r="J102" s="450">
        <v>5.0629999999999997</v>
      </c>
      <c r="K102" s="450">
        <v>0.68899999999999995</v>
      </c>
      <c r="L102" s="450">
        <v>8.7999999999999995E-2</v>
      </c>
      <c r="M102" s="451">
        <v>756.23</v>
      </c>
      <c r="N102" s="451">
        <v>4.21</v>
      </c>
      <c r="O102" s="451">
        <v>5.7</v>
      </c>
      <c r="P102" s="450">
        <v>0.21099999999999999</v>
      </c>
    </row>
    <row r="103" spans="4:16" s="293" customFormat="1" x14ac:dyDescent="0.25">
      <c r="D103" s="98"/>
      <c r="E103" s="98"/>
      <c r="F103" s="99" t="s">
        <v>1019</v>
      </c>
      <c r="G103" s="196"/>
      <c r="H103" s="196" t="s">
        <v>147</v>
      </c>
      <c r="I103" s="196"/>
      <c r="J103" s="450">
        <v>5.0629999999999997</v>
      </c>
      <c r="K103" s="450">
        <v>0.68899999999999995</v>
      </c>
      <c r="L103" s="450">
        <v>8.7999999999999995E-2</v>
      </c>
      <c r="M103" s="451">
        <v>1641.29</v>
      </c>
      <c r="N103" s="451">
        <v>4.21</v>
      </c>
      <c r="O103" s="451">
        <v>5.7</v>
      </c>
      <c r="P103" s="450">
        <v>0.21099999999999999</v>
      </c>
    </row>
    <row r="104" spans="4:16" s="293" customFormat="1" x14ac:dyDescent="0.25">
      <c r="D104" s="98"/>
      <c r="E104" s="98"/>
      <c r="F104" s="99" t="s">
        <v>1020</v>
      </c>
      <c r="G104" s="196"/>
      <c r="H104" s="196" t="s">
        <v>147</v>
      </c>
      <c r="I104" s="196"/>
      <c r="J104" s="450">
        <v>4.3019999999999996</v>
      </c>
      <c r="K104" s="450">
        <v>0.51400000000000001</v>
      </c>
      <c r="L104" s="450">
        <v>6.6000000000000003E-2</v>
      </c>
      <c r="M104" s="451">
        <v>91.46</v>
      </c>
      <c r="N104" s="451">
        <v>3.79</v>
      </c>
      <c r="O104" s="451">
        <v>5.99</v>
      </c>
      <c r="P104" s="450">
        <v>0.159</v>
      </c>
    </row>
    <row r="105" spans="4:16" s="293" customFormat="1" x14ac:dyDescent="0.25">
      <c r="D105" s="98"/>
      <c r="E105" s="98"/>
      <c r="F105" s="99" t="s">
        <v>1021</v>
      </c>
      <c r="G105" s="196"/>
      <c r="H105" s="196" t="s">
        <v>147</v>
      </c>
      <c r="I105" s="196"/>
      <c r="J105" s="450">
        <v>4.3019999999999996</v>
      </c>
      <c r="K105" s="450">
        <v>0.51400000000000001</v>
      </c>
      <c r="L105" s="450">
        <v>6.6000000000000003E-2</v>
      </c>
      <c r="M105" s="451">
        <v>1342.52</v>
      </c>
      <c r="N105" s="451">
        <v>3.79</v>
      </c>
      <c r="O105" s="451">
        <v>5.99</v>
      </c>
      <c r="P105" s="450">
        <v>0.159</v>
      </c>
    </row>
    <row r="106" spans="4:16" s="293" customFormat="1" x14ac:dyDescent="0.25">
      <c r="D106" s="98"/>
      <c r="E106" s="98"/>
      <c r="F106" s="99" t="s">
        <v>1022</v>
      </c>
      <c r="G106" s="196"/>
      <c r="H106" s="196" t="s">
        <v>147</v>
      </c>
      <c r="I106" s="196"/>
      <c r="J106" s="450">
        <v>4.3019999999999996</v>
      </c>
      <c r="K106" s="450">
        <v>0.51400000000000001</v>
      </c>
      <c r="L106" s="450">
        <v>6.6000000000000003E-2</v>
      </c>
      <c r="M106" s="451">
        <v>4745.1000000000004</v>
      </c>
      <c r="N106" s="451">
        <v>3.79</v>
      </c>
      <c r="O106" s="451">
        <v>5.99</v>
      </c>
      <c r="P106" s="450">
        <v>0.159</v>
      </c>
    </row>
    <row r="107" spans="4:16" s="293" customFormat="1" x14ac:dyDescent="0.25">
      <c r="D107" s="98"/>
      <c r="E107" s="98"/>
      <c r="F107" s="99" t="s">
        <v>1023</v>
      </c>
      <c r="G107" s="196"/>
      <c r="H107" s="196" t="s">
        <v>147</v>
      </c>
      <c r="I107" s="196"/>
      <c r="J107" s="450">
        <v>4.3019999999999996</v>
      </c>
      <c r="K107" s="450">
        <v>0.51400000000000001</v>
      </c>
      <c r="L107" s="450">
        <v>6.6000000000000003E-2</v>
      </c>
      <c r="M107" s="451">
        <v>9516.6</v>
      </c>
      <c r="N107" s="451">
        <v>3.79</v>
      </c>
      <c r="O107" s="451">
        <v>5.99</v>
      </c>
      <c r="P107" s="450">
        <v>0.159</v>
      </c>
    </row>
    <row r="108" spans="4:16" s="293" customFormat="1" x14ac:dyDescent="0.25">
      <c r="D108" s="98"/>
      <c r="E108" s="98"/>
      <c r="F108" s="99" t="s">
        <v>1024</v>
      </c>
      <c r="G108" s="196"/>
      <c r="H108" s="196" t="s">
        <v>147</v>
      </c>
      <c r="I108" s="196"/>
      <c r="J108" s="450">
        <v>4.3019999999999996</v>
      </c>
      <c r="K108" s="450">
        <v>0.51400000000000001</v>
      </c>
      <c r="L108" s="450">
        <v>6.6000000000000003E-2</v>
      </c>
      <c r="M108" s="451">
        <v>17801.98</v>
      </c>
      <c r="N108" s="451">
        <v>3.79</v>
      </c>
      <c r="O108" s="451">
        <v>5.99</v>
      </c>
      <c r="P108" s="450">
        <v>0.159</v>
      </c>
    </row>
    <row r="109" spans="4:16" s="293" customFormat="1" x14ac:dyDescent="0.25">
      <c r="D109" s="98"/>
      <c r="E109" s="98"/>
      <c r="F109" s="99" t="s">
        <v>935</v>
      </c>
      <c r="G109" s="196"/>
      <c r="H109" s="196" t="s">
        <v>147</v>
      </c>
      <c r="I109" s="196"/>
      <c r="J109" s="450">
        <v>8.9770000000000003</v>
      </c>
      <c r="K109" s="450">
        <v>1.839</v>
      </c>
      <c r="L109" s="450">
        <v>0.78600000000000003</v>
      </c>
      <c r="M109" s="451">
        <v>0</v>
      </c>
      <c r="N109" s="451">
        <v>0</v>
      </c>
      <c r="O109" s="451">
        <v>0</v>
      </c>
      <c r="P109" s="450">
        <v>0</v>
      </c>
    </row>
    <row r="110" spans="4:16" s="293" customFormat="1" x14ac:dyDescent="0.25">
      <c r="D110" s="98"/>
      <c r="E110" s="98"/>
      <c r="F110" s="99" t="s">
        <v>936</v>
      </c>
      <c r="G110" s="196"/>
      <c r="H110" s="196" t="s">
        <v>147</v>
      </c>
      <c r="I110" s="196"/>
      <c r="J110" s="450">
        <v>-8.0839999999999996</v>
      </c>
      <c r="K110" s="450">
        <v>-1.454</v>
      </c>
      <c r="L110" s="450">
        <v>-0.161</v>
      </c>
      <c r="M110" s="451">
        <v>0</v>
      </c>
      <c r="N110" s="451">
        <v>0</v>
      </c>
      <c r="O110" s="451">
        <v>0</v>
      </c>
      <c r="P110" s="450">
        <v>0</v>
      </c>
    </row>
    <row r="111" spans="4:16" s="293" customFormat="1" x14ac:dyDescent="0.25">
      <c r="D111" s="98"/>
      <c r="E111" s="98"/>
      <c r="F111" s="99" t="s">
        <v>937</v>
      </c>
      <c r="G111" s="196"/>
      <c r="H111" s="196" t="s">
        <v>147</v>
      </c>
      <c r="I111" s="196"/>
      <c r="J111" s="450">
        <v>-7.3090000000000002</v>
      </c>
      <c r="K111" s="450">
        <v>-1.2589999999999999</v>
      </c>
      <c r="L111" s="450">
        <v>-0.14199999999999999</v>
      </c>
      <c r="M111" s="451">
        <v>0</v>
      </c>
      <c r="N111" s="451">
        <v>0</v>
      </c>
      <c r="O111" s="451">
        <v>0</v>
      </c>
      <c r="P111" s="450">
        <v>0</v>
      </c>
    </row>
    <row r="112" spans="4:16" s="293" customFormat="1" x14ac:dyDescent="0.25">
      <c r="D112" s="98"/>
      <c r="E112" s="98"/>
      <c r="F112" s="99" t="s">
        <v>938</v>
      </c>
      <c r="G112" s="196"/>
      <c r="H112" s="196" t="s">
        <v>147</v>
      </c>
      <c r="I112" s="196"/>
      <c r="J112" s="450">
        <v>-8.0839999999999996</v>
      </c>
      <c r="K112" s="450">
        <v>-1.454</v>
      </c>
      <c r="L112" s="450">
        <v>-0.161</v>
      </c>
      <c r="M112" s="451">
        <v>0</v>
      </c>
      <c r="N112" s="451">
        <v>0</v>
      </c>
      <c r="O112" s="451">
        <v>0</v>
      </c>
      <c r="P112" s="450">
        <v>0.373</v>
      </c>
    </row>
    <row r="113" spans="3:19" x14ac:dyDescent="0.25">
      <c r="F113" s="99" t="s">
        <v>939</v>
      </c>
      <c r="G113" s="92"/>
      <c r="H113" s="92" t="s">
        <v>147</v>
      </c>
      <c r="I113" s="92"/>
      <c r="J113" s="452">
        <v>0</v>
      </c>
      <c r="K113" s="452">
        <v>0</v>
      </c>
      <c r="L113" s="452">
        <v>0</v>
      </c>
      <c r="M113" s="453">
        <v>0</v>
      </c>
      <c r="N113" s="453">
        <v>0</v>
      </c>
      <c r="O113" s="453">
        <v>0</v>
      </c>
      <c r="P113" s="452">
        <v>0</v>
      </c>
    </row>
    <row r="114" spans="3:19" x14ac:dyDescent="0.25">
      <c r="F114" s="99" t="s">
        <v>940</v>
      </c>
      <c r="G114" s="92"/>
      <c r="H114" s="92" t="s">
        <v>147</v>
      </c>
      <c r="I114" s="92"/>
      <c r="J114" s="450">
        <v>-7.3090000000000002</v>
      </c>
      <c r="K114" s="450">
        <v>-1.2589999999999999</v>
      </c>
      <c r="L114" s="450">
        <v>-0.14199999999999999</v>
      </c>
      <c r="M114" s="451">
        <v>0</v>
      </c>
      <c r="N114" s="451">
        <v>0</v>
      </c>
      <c r="O114" s="451">
        <v>0</v>
      </c>
      <c r="P114" s="450">
        <v>0.34399999999999997</v>
      </c>
    </row>
    <row r="115" spans="3:19" x14ac:dyDescent="0.25">
      <c r="F115" s="99" t="s">
        <v>941</v>
      </c>
      <c r="G115" s="92"/>
      <c r="H115" s="92" t="s">
        <v>147</v>
      </c>
      <c r="I115" s="92"/>
      <c r="J115" s="452">
        <v>0</v>
      </c>
      <c r="K115" s="452">
        <v>0</v>
      </c>
      <c r="L115" s="452">
        <v>0</v>
      </c>
      <c r="M115" s="453">
        <v>0</v>
      </c>
      <c r="N115" s="453">
        <v>0</v>
      </c>
      <c r="O115" s="453">
        <v>0</v>
      </c>
      <c r="P115" s="452">
        <v>0</v>
      </c>
    </row>
    <row r="116" spans="3:19" x14ac:dyDescent="0.25">
      <c r="F116" s="99" t="s">
        <v>942</v>
      </c>
      <c r="G116" s="92"/>
      <c r="H116" s="92" t="s">
        <v>147</v>
      </c>
      <c r="I116" s="92"/>
      <c r="J116" s="450">
        <v>-5.3920000000000003</v>
      </c>
      <c r="K116" s="450">
        <v>-0.70799999999999996</v>
      </c>
      <c r="L116" s="450">
        <v>-0.09</v>
      </c>
      <c r="M116" s="451">
        <v>0</v>
      </c>
      <c r="N116" s="451">
        <v>0</v>
      </c>
      <c r="O116" s="451">
        <v>0</v>
      </c>
      <c r="P116" s="450">
        <v>0.26500000000000001</v>
      </c>
    </row>
    <row r="117" spans="3:19" x14ac:dyDescent="0.25">
      <c r="F117" s="100" t="s">
        <v>943</v>
      </c>
      <c r="G117" s="93"/>
      <c r="H117" s="93" t="s">
        <v>147</v>
      </c>
      <c r="I117" s="93"/>
      <c r="J117" s="437">
        <v>0</v>
      </c>
      <c r="K117" s="437">
        <v>0</v>
      </c>
      <c r="L117" s="437">
        <v>0</v>
      </c>
      <c r="M117" s="343">
        <v>0</v>
      </c>
      <c r="N117" s="343">
        <v>0</v>
      </c>
      <c r="O117" s="343">
        <v>0</v>
      </c>
      <c r="P117" s="437">
        <v>0</v>
      </c>
    </row>
    <row r="118" spans="3:19" x14ac:dyDescent="0.25">
      <c r="D118" s="96"/>
      <c r="E118" s="96"/>
      <c r="F118" s="96"/>
      <c r="G118" s="96"/>
      <c r="H118" s="96"/>
      <c r="I118" s="96"/>
      <c r="J118" s="438"/>
      <c r="K118" s="438"/>
      <c r="L118" s="438"/>
      <c r="M118" s="215"/>
      <c r="N118" s="215"/>
      <c r="O118" s="215"/>
      <c r="P118" s="438"/>
      <c r="Q118" s="96"/>
      <c r="R118" s="96"/>
      <c r="S118" s="96"/>
    </row>
    <row r="119" spans="3:19" s="195" customFormat="1" x14ac:dyDescent="0.25">
      <c r="C119" s="7" t="str">
        <f ca="1">INDEX('Version control'!$H$34:$H$60,MATCH($A$1,'Version control'!$F$34:$F$60,0),1)&amp;"-B: tariff forecast results for charging year " &amp; charging_year</f>
        <v>Output 501-B: tariff forecast results for charging year 2022/23</v>
      </c>
      <c r="D119" s="7"/>
      <c r="E119" s="7"/>
      <c r="F119" s="7"/>
      <c r="G119" s="7"/>
      <c r="H119" s="7"/>
      <c r="I119" s="7"/>
      <c r="J119" s="439"/>
      <c r="K119" s="439"/>
      <c r="L119" s="439"/>
      <c r="M119" s="7"/>
      <c r="N119" s="7"/>
      <c r="O119" s="7"/>
      <c r="P119" s="439"/>
      <c r="Q119" s="7"/>
      <c r="R119" s="7"/>
    </row>
    <row r="120" spans="3:19" x14ac:dyDescent="0.25">
      <c r="D120" s="85"/>
      <c r="E120" s="195"/>
      <c r="F120" s="195"/>
      <c r="J120" s="440"/>
      <c r="K120" s="440"/>
      <c r="L120" s="440"/>
      <c r="M120" s="213"/>
      <c r="N120" s="213"/>
      <c r="O120" s="213"/>
      <c r="P120" s="440"/>
    </row>
    <row r="121" spans="3:19" x14ac:dyDescent="0.25">
      <c r="D121" s="96"/>
      <c r="E121" s="96" t="str">
        <f>"All the way tariff forecast " &amp; charging_year</f>
        <v>All the way tariff forecast 2022/23</v>
      </c>
      <c r="F121" s="195"/>
      <c r="J121" s="440"/>
      <c r="K121" s="440"/>
      <c r="L121" s="440"/>
      <c r="M121" s="440"/>
      <c r="N121" s="213"/>
      <c r="O121" s="213"/>
      <c r="P121" s="440"/>
    </row>
    <row r="122" spans="3:19" x14ac:dyDescent="0.25">
      <c r="F122" s="103" t="s">
        <v>1004</v>
      </c>
      <c r="G122" s="91"/>
      <c r="H122" s="91" t="s">
        <v>261</v>
      </c>
      <c r="I122" s="91"/>
      <c r="J122" s="434">
        <v>10.771000000000001</v>
      </c>
      <c r="K122" s="434">
        <v>1.9379999999999999</v>
      </c>
      <c r="L122" s="434">
        <v>0.215</v>
      </c>
      <c r="M122" s="339">
        <v>15.64</v>
      </c>
      <c r="N122" s="339">
        <v>0</v>
      </c>
      <c r="O122" s="339">
        <v>0</v>
      </c>
      <c r="P122" s="434">
        <v>0</v>
      </c>
    </row>
    <row r="123" spans="3:19" x14ac:dyDescent="0.25">
      <c r="F123" s="99" t="s">
        <v>929</v>
      </c>
      <c r="G123" s="196"/>
      <c r="H123" s="196" t="s">
        <v>261</v>
      </c>
      <c r="I123" s="196"/>
      <c r="J123" s="450">
        <v>10.771000000000001</v>
      </c>
      <c r="K123" s="450">
        <v>1.9379999999999999</v>
      </c>
      <c r="L123" s="450">
        <v>0.215</v>
      </c>
      <c r="M123" s="451">
        <v>0</v>
      </c>
      <c r="N123" s="451">
        <v>0</v>
      </c>
      <c r="O123" s="451">
        <v>0</v>
      </c>
      <c r="P123" s="450">
        <v>0</v>
      </c>
    </row>
    <row r="124" spans="3:19" x14ac:dyDescent="0.25">
      <c r="F124" s="99" t="s">
        <v>1005</v>
      </c>
      <c r="G124" s="196"/>
      <c r="H124" s="196" t="s">
        <v>261</v>
      </c>
      <c r="I124" s="196"/>
      <c r="J124" s="450">
        <v>13.135999999999999</v>
      </c>
      <c r="K124" s="450">
        <v>2.363</v>
      </c>
      <c r="L124" s="450">
        <v>0.26200000000000001</v>
      </c>
      <c r="M124" s="451">
        <v>5.28</v>
      </c>
      <c r="N124" s="451">
        <v>0</v>
      </c>
      <c r="O124" s="451">
        <v>0</v>
      </c>
      <c r="P124" s="450">
        <v>0</v>
      </c>
    </row>
    <row r="125" spans="3:19" x14ac:dyDescent="0.25">
      <c r="F125" s="99" t="s">
        <v>1006</v>
      </c>
      <c r="G125" s="196"/>
      <c r="H125" s="196" t="s">
        <v>261</v>
      </c>
      <c r="I125" s="196"/>
      <c r="J125" s="450">
        <v>13.135999999999999</v>
      </c>
      <c r="K125" s="450">
        <v>2.363</v>
      </c>
      <c r="L125" s="450">
        <v>0.26200000000000001</v>
      </c>
      <c r="M125" s="451">
        <v>9.35</v>
      </c>
      <c r="N125" s="451">
        <v>0</v>
      </c>
      <c r="O125" s="451">
        <v>0</v>
      </c>
      <c r="P125" s="450">
        <v>0</v>
      </c>
    </row>
    <row r="126" spans="3:19" x14ac:dyDescent="0.25">
      <c r="F126" s="99" t="s">
        <v>1007</v>
      </c>
      <c r="G126" s="196"/>
      <c r="H126" s="196" t="s">
        <v>261</v>
      </c>
      <c r="I126" s="196"/>
      <c r="J126" s="450">
        <v>13.135999999999999</v>
      </c>
      <c r="K126" s="450">
        <v>2.363</v>
      </c>
      <c r="L126" s="450">
        <v>0.26200000000000001</v>
      </c>
      <c r="M126" s="451">
        <v>27.31</v>
      </c>
      <c r="N126" s="451">
        <v>0</v>
      </c>
      <c r="O126" s="451">
        <v>0</v>
      </c>
      <c r="P126" s="450">
        <v>0</v>
      </c>
    </row>
    <row r="127" spans="3:19" x14ac:dyDescent="0.25">
      <c r="F127" s="99" t="s">
        <v>1008</v>
      </c>
      <c r="G127" s="196"/>
      <c r="H127" s="196" t="s">
        <v>261</v>
      </c>
      <c r="I127" s="196"/>
      <c r="J127" s="450">
        <v>13.135999999999999</v>
      </c>
      <c r="K127" s="450">
        <v>2.363</v>
      </c>
      <c r="L127" s="450">
        <v>0.26200000000000001</v>
      </c>
      <c r="M127" s="451">
        <v>59.86</v>
      </c>
      <c r="N127" s="451">
        <v>0</v>
      </c>
      <c r="O127" s="451">
        <v>0</v>
      </c>
      <c r="P127" s="450">
        <v>0</v>
      </c>
    </row>
    <row r="128" spans="3:19" x14ac:dyDescent="0.25">
      <c r="F128" s="99" t="s">
        <v>1009</v>
      </c>
      <c r="G128" s="196"/>
      <c r="H128" s="196" t="s">
        <v>261</v>
      </c>
      <c r="I128" s="196"/>
      <c r="J128" s="450">
        <v>13.135999999999999</v>
      </c>
      <c r="K128" s="450">
        <v>2.363</v>
      </c>
      <c r="L128" s="450">
        <v>0.26200000000000001</v>
      </c>
      <c r="M128" s="451">
        <v>181.33</v>
      </c>
      <c r="N128" s="451">
        <v>0</v>
      </c>
      <c r="O128" s="451">
        <v>0</v>
      </c>
      <c r="P128" s="450">
        <v>0</v>
      </c>
    </row>
    <row r="129" spans="4:16" s="293" customFormat="1" x14ac:dyDescent="0.25">
      <c r="D129" s="98"/>
      <c r="E129" s="98"/>
      <c r="F129" s="99" t="s">
        <v>931</v>
      </c>
      <c r="G129" s="196"/>
      <c r="H129" s="196" t="s">
        <v>261</v>
      </c>
      <c r="I129" s="196"/>
      <c r="J129" s="450">
        <v>13.135999999999999</v>
      </c>
      <c r="K129" s="450">
        <v>2.363</v>
      </c>
      <c r="L129" s="450">
        <v>0.26200000000000001</v>
      </c>
      <c r="M129" s="451">
        <v>0</v>
      </c>
      <c r="N129" s="451">
        <v>0</v>
      </c>
      <c r="O129" s="451">
        <v>0</v>
      </c>
      <c r="P129" s="450">
        <v>0</v>
      </c>
    </row>
    <row r="130" spans="4:16" s="293" customFormat="1" x14ac:dyDescent="0.25">
      <c r="D130" s="98"/>
      <c r="E130" s="98"/>
      <c r="F130" s="99" t="s">
        <v>1010</v>
      </c>
      <c r="G130" s="196"/>
      <c r="H130" s="196" t="s">
        <v>261</v>
      </c>
      <c r="I130" s="196"/>
      <c r="J130" s="450">
        <v>8.6780000000000008</v>
      </c>
      <c r="K130" s="450">
        <v>1.4430000000000001</v>
      </c>
      <c r="L130" s="450">
        <v>0.16600000000000001</v>
      </c>
      <c r="M130" s="451">
        <v>20.84</v>
      </c>
      <c r="N130" s="451">
        <v>2.92</v>
      </c>
      <c r="O130" s="451">
        <v>4.9800000000000004</v>
      </c>
      <c r="P130" s="450">
        <v>0.435</v>
      </c>
    </row>
    <row r="131" spans="4:16" s="293" customFormat="1" x14ac:dyDescent="0.25">
      <c r="D131" s="98"/>
      <c r="E131" s="98"/>
      <c r="F131" s="99" t="s">
        <v>1011</v>
      </c>
      <c r="G131" s="196"/>
      <c r="H131" s="196" t="s">
        <v>261</v>
      </c>
      <c r="I131" s="196"/>
      <c r="J131" s="450">
        <v>8.6780000000000008</v>
      </c>
      <c r="K131" s="450">
        <v>1.4430000000000001</v>
      </c>
      <c r="L131" s="450">
        <v>0.16600000000000001</v>
      </c>
      <c r="M131" s="451">
        <v>286.75</v>
      </c>
      <c r="N131" s="451">
        <v>2.92</v>
      </c>
      <c r="O131" s="451">
        <v>4.9800000000000004</v>
      </c>
      <c r="P131" s="450">
        <v>0.435</v>
      </c>
    </row>
    <row r="132" spans="4:16" x14ac:dyDescent="0.25">
      <c r="F132" s="99" t="s">
        <v>1012</v>
      </c>
      <c r="G132" s="196"/>
      <c r="H132" s="196" t="s">
        <v>261</v>
      </c>
      <c r="I132" s="196"/>
      <c r="J132" s="450">
        <v>8.6780000000000008</v>
      </c>
      <c r="K132" s="450">
        <v>1.4430000000000001</v>
      </c>
      <c r="L132" s="450">
        <v>0.16600000000000001</v>
      </c>
      <c r="M132" s="451">
        <v>632.52</v>
      </c>
      <c r="N132" s="451">
        <v>2.92</v>
      </c>
      <c r="O132" s="451">
        <v>4.9800000000000004</v>
      </c>
      <c r="P132" s="450">
        <v>0.435</v>
      </c>
    </row>
    <row r="133" spans="4:16" x14ac:dyDescent="0.25">
      <c r="F133" s="99" t="s">
        <v>1013</v>
      </c>
      <c r="G133" s="196"/>
      <c r="H133" s="196" t="s">
        <v>261</v>
      </c>
      <c r="I133" s="196"/>
      <c r="J133" s="450">
        <v>8.6780000000000008</v>
      </c>
      <c r="K133" s="450">
        <v>1.4430000000000001</v>
      </c>
      <c r="L133" s="450">
        <v>0.16600000000000001</v>
      </c>
      <c r="M133" s="451">
        <v>1051.18</v>
      </c>
      <c r="N133" s="451">
        <v>2.92</v>
      </c>
      <c r="O133" s="451">
        <v>4.9800000000000004</v>
      </c>
      <c r="P133" s="450">
        <v>0.435</v>
      </c>
    </row>
    <row r="134" spans="4:16" x14ac:dyDescent="0.25">
      <c r="F134" s="99" t="s">
        <v>1014</v>
      </c>
      <c r="G134" s="196"/>
      <c r="H134" s="196" t="s">
        <v>261</v>
      </c>
      <c r="I134" s="196"/>
      <c r="J134" s="450">
        <v>8.6780000000000008</v>
      </c>
      <c r="K134" s="450">
        <v>1.4430000000000001</v>
      </c>
      <c r="L134" s="450">
        <v>0.16600000000000001</v>
      </c>
      <c r="M134" s="451">
        <v>2265.75</v>
      </c>
      <c r="N134" s="451">
        <v>2.92</v>
      </c>
      <c r="O134" s="451">
        <v>4.9800000000000004</v>
      </c>
      <c r="P134" s="450">
        <v>0.435</v>
      </c>
    </row>
    <row r="135" spans="4:16" x14ac:dyDescent="0.25">
      <c r="F135" s="99" t="s">
        <v>1015</v>
      </c>
      <c r="G135" s="196"/>
      <c r="H135" s="196" t="s">
        <v>261</v>
      </c>
      <c r="I135" s="196"/>
      <c r="J135" s="450">
        <v>6.9480000000000004</v>
      </c>
      <c r="K135" s="450">
        <v>0.94499999999999995</v>
      </c>
      <c r="L135" s="450">
        <v>0.121</v>
      </c>
      <c r="M135" s="451">
        <v>7.4</v>
      </c>
      <c r="N135" s="451">
        <v>5.78</v>
      </c>
      <c r="O135" s="451">
        <v>7.82</v>
      </c>
      <c r="P135" s="450">
        <v>0.28999999999999998</v>
      </c>
    </row>
    <row r="136" spans="4:16" s="293" customFormat="1" x14ac:dyDescent="0.25">
      <c r="D136" s="98"/>
      <c r="E136" s="98"/>
      <c r="F136" s="99" t="s">
        <v>1016</v>
      </c>
      <c r="G136" s="196"/>
      <c r="H136" s="196" t="s">
        <v>261</v>
      </c>
      <c r="I136" s="196"/>
      <c r="J136" s="450">
        <v>6.9480000000000004</v>
      </c>
      <c r="K136" s="450">
        <v>0.94499999999999995</v>
      </c>
      <c r="L136" s="450">
        <v>0.121</v>
      </c>
      <c r="M136" s="451">
        <v>273.31</v>
      </c>
      <c r="N136" s="451">
        <v>5.78</v>
      </c>
      <c r="O136" s="451">
        <v>7.82</v>
      </c>
      <c r="P136" s="450">
        <v>0.28999999999999998</v>
      </c>
    </row>
    <row r="137" spans="4:16" s="293" customFormat="1" x14ac:dyDescent="0.25">
      <c r="D137" s="98"/>
      <c r="E137" s="98"/>
      <c r="F137" s="99" t="s">
        <v>1017</v>
      </c>
      <c r="G137" s="196"/>
      <c r="H137" s="196" t="s">
        <v>261</v>
      </c>
      <c r="I137" s="196"/>
      <c r="J137" s="450">
        <v>6.9480000000000004</v>
      </c>
      <c r="K137" s="450">
        <v>0.94499999999999995</v>
      </c>
      <c r="L137" s="450">
        <v>0.121</v>
      </c>
      <c r="M137" s="451">
        <v>619.08000000000004</v>
      </c>
      <c r="N137" s="451">
        <v>5.78</v>
      </c>
      <c r="O137" s="451">
        <v>7.82</v>
      </c>
      <c r="P137" s="450">
        <v>0.28999999999999998</v>
      </c>
    </row>
    <row r="138" spans="4:16" s="293" customFormat="1" x14ac:dyDescent="0.25">
      <c r="D138" s="98"/>
      <c r="E138" s="98"/>
      <c r="F138" s="99" t="s">
        <v>1018</v>
      </c>
      <c r="G138" s="196"/>
      <c r="H138" s="196" t="s">
        <v>261</v>
      </c>
      <c r="I138" s="196"/>
      <c r="J138" s="450">
        <v>6.9480000000000004</v>
      </c>
      <c r="K138" s="450">
        <v>0.94499999999999995</v>
      </c>
      <c r="L138" s="450">
        <v>0.121</v>
      </c>
      <c r="M138" s="451">
        <v>1037.74</v>
      </c>
      <c r="N138" s="451">
        <v>5.78</v>
      </c>
      <c r="O138" s="451">
        <v>7.82</v>
      </c>
      <c r="P138" s="450">
        <v>0.28999999999999998</v>
      </c>
    </row>
    <row r="139" spans="4:16" s="293" customFormat="1" x14ac:dyDescent="0.25">
      <c r="D139" s="98"/>
      <c r="E139" s="98"/>
      <c r="F139" s="99" t="s">
        <v>1019</v>
      </c>
      <c r="G139" s="196"/>
      <c r="H139" s="196" t="s">
        <v>261</v>
      </c>
      <c r="I139" s="196"/>
      <c r="J139" s="450">
        <v>6.9480000000000004</v>
      </c>
      <c r="K139" s="450">
        <v>0.94499999999999995</v>
      </c>
      <c r="L139" s="450">
        <v>0.121</v>
      </c>
      <c r="M139" s="451">
        <v>2252.31</v>
      </c>
      <c r="N139" s="451">
        <v>5.78</v>
      </c>
      <c r="O139" s="451">
        <v>7.82</v>
      </c>
      <c r="P139" s="450">
        <v>0.28999999999999998</v>
      </c>
    </row>
    <row r="140" spans="4:16" s="293" customFormat="1" x14ac:dyDescent="0.25">
      <c r="D140" s="98"/>
      <c r="E140" s="98"/>
      <c r="F140" s="99" t="s">
        <v>1020</v>
      </c>
      <c r="G140" s="196"/>
      <c r="H140" s="196" t="s">
        <v>261</v>
      </c>
      <c r="I140" s="196"/>
      <c r="J140" s="450">
        <v>5.2249999999999996</v>
      </c>
      <c r="K140" s="450">
        <v>0.624</v>
      </c>
      <c r="L140" s="450">
        <v>0.08</v>
      </c>
      <c r="M140" s="451">
        <v>111.08</v>
      </c>
      <c r="N140" s="451">
        <v>4.6100000000000003</v>
      </c>
      <c r="O140" s="451">
        <v>7.28</v>
      </c>
      <c r="P140" s="450">
        <v>0.193</v>
      </c>
    </row>
    <row r="141" spans="4:16" s="293" customFormat="1" x14ac:dyDescent="0.25">
      <c r="D141" s="98"/>
      <c r="E141" s="98"/>
      <c r="F141" s="99" t="s">
        <v>1021</v>
      </c>
      <c r="G141" s="196"/>
      <c r="H141" s="196" t="s">
        <v>261</v>
      </c>
      <c r="I141" s="196"/>
      <c r="J141" s="450">
        <v>5.2249999999999996</v>
      </c>
      <c r="K141" s="450">
        <v>0.624</v>
      </c>
      <c r="L141" s="450">
        <v>0.08</v>
      </c>
      <c r="M141" s="451">
        <v>1630.74</v>
      </c>
      <c r="N141" s="451">
        <v>4.6100000000000003</v>
      </c>
      <c r="O141" s="451">
        <v>7.28</v>
      </c>
      <c r="P141" s="450">
        <v>0.193</v>
      </c>
    </row>
    <row r="142" spans="4:16" s="293" customFormat="1" x14ac:dyDescent="0.25">
      <c r="D142" s="98"/>
      <c r="E142" s="98"/>
      <c r="F142" s="99" t="s">
        <v>1022</v>
      </c>
      <c r="G142" s="196"/>
      <c r="H142" s="196" t="s">
        <v>261</v>
      </c>
      <c r="I142" s="196"/>
      <c r="J142" s="450">
        <v>5.2249999999999996</v>
      </c>
      <c r="K142" s="450">
        <v>0.624</v>
      </c>
      <c r="L142" s="450">
        <v>0.08</v>
      </c>
      <c r="M142" s="451">
        <v>5763.83</v>
      </c>
      <c r="N142" s="451">
        <v>4.6100000000000003</v>
      </c>
      <c r="O142" s="451">
        <v>7.28</v>
      </c>
      <c r="P142" s="450">
        <v>0.193</v>
      </c>
    </row>
    <row r="143" spans="4:16" s="293" customFormat="1" x14ac:dyDescent="0.25">
      <c r="D143" s="98"/>
      <c r="E143" s="98"/>
      <c r="F143" s="99" t="s">
        <v>1023</v>
      </c>
      <c r="G143" s="196"/>
      <c r="H143" s="196" t="s">
        <v>261</v>
      </c>
      <c r="I143" s="196"/>
      <c r="J143" s="450">
        <v>5.2249999999999996</v>
      </c>
      <c r="K143" s="450">
        <v>0.624</v>
      </c>
      <c r="L143" s="450">
        <v>0.08</v>
      </c>
      <c r="M143" s="451">
        <v>11559.76</v>
      </c>
      <c r="N143" s="451">
        <v>4.6100000000000003</v>
      </c>
      <c r="O143" s="451">
        <v>7.28</v>
      </c>
      <c r="P143" s="450">
        <v>0.193</v>
      </c>
    </row>
    <row r="144" spans="4:16" s="293" customFormat="1" x14ac:dyDescent="0.25">
      <c r="D144" s="98"/>
      <c r="E144" s="98"/>
      <c r="F144" s="99" t="s">
        <v>1024</v>
      </c>
      <c r="G144" s="196"/>
      <c r="H144" s="196" t="s">
        <v>261</v>
      </c>
      <c r="I144" s="196"/>
      <c r="J144" s="450">
        <v>5.2249999999999996</v>
      </c>
      <c r="K144" s="450">
        <v>0.624</v>
      </c>
      <c r="L144" s="450">
        <v>0.08</v>
      </c>
      <c r="M144" s="451">
        <v>21623.96</v>
      </c>
      <c r="N144" s="451">
        <v>4.6100000000000003</v>
      </c>
      <c r="O144" s="451">
        <v>7.28</v>
      </c>
      <c r="P144" s="450">
        <v>0.193</v>
      </c>
    </row>
    <row r="145" spans="4:16" s="293" customFormat="1" x14ac:dyDescent="0.25">
      <c r="D145" s="98"/>
      <c r="E145" s="98"/>
      <c r="F145" s="99" t="s">
        <v>935</v>
      </c>
      <c r="G145" s="196"/>
      <c r="H145" s="196" t="s">
        <v>261</v>
      </c>
      <c r="I145" s="196"/>
      <c r="J145" s="450">
        <v>19.902000000000001</v>
      </c>
      <c r="K145" s="450">
        <v>4.077</v>
      </c>
      <c r="L145" s="450">
        <v>1.742</v>
      </c>
      <c r="M145" s="451">
        <v>0</v>
      </c>
      <c r="N145" s="451">
        <v>0</v>
      </c>
      <c r="O145" s="451">
        <v>0</v>
      </c>
      <c r="P145" s="450">
        <v>0</v>
      </c>
    </row>
    <row r="146" spans="4:16" s="293" customFormat="1" x14ac:dyDescent="0.25">
      <c r="D146" s="98"/>
      <c r="E146" s="98"/>
      <c r="F146" s="99" t="s">
        <v>936</v>
      </c>
      <c r="G146" s="196"/>
      <c r="H146" s="196" t="s">
        <v>261</v>
      </c>
      <c r="I146" s="196"/>
      <c r="J146" s="450">
        <v>-8.0839999999999996</v>
      </c>
      <c r="K146" s="450">
        <v>-1.454</v>
      </c>
      <c r="L146" s="450">
        <v>-0.161</v>
      </c>
      <c r="M146" s="451">
        <v>0</v>
      </c>
      <c r="N146" s="451">
        <v>0</v>
      </c>
      <c r="O146" s="451">
        <v>0</v>
      </c>
      <c r="P146" s="450">
        <v>0</v>
      </c>
    </row>
    <row r="147" spans="4:16" s="293" customFormat="1" x14ac:dyDescent="0.25">
      <c r="D147" s="98"/>
      <c r="E147" s="98"/>
      <c r="F147" s="99" t="s">
        <v>937</v>
      </c>
      <c r="G147" s="196"/>
      <c r="H147" s="196" t="s">
        <v>261</v>
      </c>
      <c r="I147" s="196"/>
      <c r="J147" s="450">
        <v>-7.3090000000000002</v>
      </c>
      <c r="K147" s="450">
        <v>-1.2589999999999999</v>
      </c>
      <c r="L147" s="450">
        <v>-0.14199999999999999</v>
      </c>
      <c r="M147" s="451">
        <v>0</v>
      </c>
      <c r="N147" s="451">
        <v>0</v>
      </c>
      <c r="O147" s="451">
        <v>0</v>
      </c>
      <c r="P147" s="450">
        <v>0</v>
      </c>
    </row>
    <row r="148" spans="4:16" s="293" customFormat="1" x14ac:dyDescent="0.25">
      <c r="D148" s="98"/>
      <c r="E148" s="98"/>
      <c r="F148" s="99" t="s">
        <v>938</v>
      </c>
      <c r="G148" s="196"/>
      <c r="H148" s="196" t="s">
        <v>261</v>
      </c>
      <c r="I148" s="196"/>
      <c r="J148" s="450">
        <v>-8.0839999999999996</v>
      </c>
      <c r="K148" s="450">
        <v>-1.454</v>
      </c>
      <c r="L148" s="450">
        <v>-0.161</v>
      </c>
      <c r="M148" s="451">
        <v>0</v>
      </c>
      <c r="N148" s="451">
        <v>0</v>
      </c>
      <c r="O148" s="451">
        <v>0</v>
      </c>
      <c r="P148" s="450">
        <v>0.373</v>
      </c>
    </row>
    <row r="149" spans="4:16" x14ac:dyDescent="0.25">
      <c r="F149" s="99" t="s">
        <v>939</v>
      </c>
      <c r="G149" s="196"/>
      <c r="H149" s="196" t="s">
        <v>261</v>
      </c>
      <c r="I149" s="196"/>
      <c r="J149" s="450">
        <v>-8.0839999999999996</v>
      </c>
      <c r="K149" s="450">
        <v>-1.454</v>
      </c>
      <c r="L149" s="450">
        <v>-0.161</v>
      </c>
      <c r="M149" s="451">
        <v>0</v>
      </c>
      <c r="N149" s="451">
        <v>0</v>
      </c>
      <c r="O149" s="451">
        <v>0</v>
      </c>
      <c r="P149" s="450">
        <v>0</v>
      </c>
    </row>
    <row r="150" spans="4:16" x14ac:dyDescent="0.25">
      <c r="F150" s="99" t="s">
        <v>940</v>
      </c>
      <c r="G150" s="196"/>
      <c r="H150" s="196" t="s">
        <v>261</v>
      </c>
      <c r="I150" s="196"/>
      <c r="J150" s="450">
        <v>-7.3090000000000002</v>
      </c>
      <c r="K150" s="450">
        <v>-1.2589999999999999</v>
      </c>
      <c r="L150" s="450">
        <v>-0.14199999999999999</v>
      </c>
      <c r="M150" s="451">
        <v>0</v>
      </c>
      <c r="N150" s="451">
        <v>0</v>
      </c>
      <c r="O150" s="451">
        <v>0</v>
      </c>
      <c r="P150" s="450">
        <v>0.34399999999999997</v>
      </c>
    </row>
    <row r="151" spans="4:16" x14ac:dyDescent="0.25">
      <c r="F151" s="99" t="s">
        <v>941</v>
      </c>
      <c r="G151" s="196"/>
      <c r="H151" s="196" t="s">
        <v>261</v>
      </c>
      <c r="I151" s="196"/>
      <c r="J151" s="450">
        <v>-7.3090000000000002</v>
      </c>
      <c r="K151" s="450">
        <v>-1.2589999999999999</v>
      </c>
      <c r="L151" s="450">
        <v>-0.14199999999999999</v>
      </c>
      <c r="M151" s="451">
        <v>0</v>
      </c>
      <c r="N151" s="451">
        <v>0</v>
      </c>
      <c r="O151" s="451">
        <v>0</v>
      </c>
      <c r="P151" s="450">
        <v>0</v>
      </c>
    </row>
    <row r="152" spans="4:16" x14ac:dyDescent="0.25">
      <c r="F152" s="99" t="s">
        <v>942</v>
      </c>
      <c r="G152" s="196"/>
      <c r="H152" s="196" t="s">
        <v>261</v>
      </c>
      <c r="I152" s="196"/>
      <c r="J152" s="450">
        <v>-5.3920000000000003</v>
      </c>
      <c r="K152" s="450">
        <v>-0.70799999999999996</v>
      </c>
      <c r="L152" s="450">
        <v>-0.09</v>
      </c>
      <c r="M152" s="451">
        <v>81.06</v>
      </c>
      <c r="N152" s="451">
        <v>0</v>
      </c>
      <c r="O152" s="451">
        <v>0</v>
      </c>
      <c r="P152" s="450">
        <v>0.26500000000000001</v>
      </c>
    </row>
    <row r="153" spans="4:16" x14ac:dyDescent="0.25">
      <c r="F153" s="100" t="s">
        <v>943</v>
      </c>
      <c r="G153" s="93"/>
      <c r="H153" s="93" t="s">
        <v>261</v>
      </c>
      <c r="I153" s="93"/>
      <c r="J153" s="435">
        <v>-5.3920000000000003</v>
      </c>
      <c r="K153" s="435">
        <v>-0.70799999999999996</v>
      </c>
      <c r="L153" s="435">
        <v>-0.09</v>
      </c>
      <c r="M153" s="341">
        <v>81.06</v>
      </c>
      <c r="N153" s="341">
        <v>0</v>
      </c>
      <c r="O153" s="341">
        <v>0</v>
      </c>
      <c r="P153" s="435">
        <v>0</v>
      </c>
    </row>
    <row r="154" spans="4:16" x14ac:dyDescent="0.25">
      <c r="F154" s="98"/>
      <c r="G154" s="293"/>
      <c r="H154" s="293"/>
      <c r="I154" s="293"/>
      <c r="J154" s="342"/>
      <c r="K154" s="342"/>
      <c r="L154" s="342"/>
      <c r="M154" s="342"/>
      <c r="N154" s="342"/>
      <c r="O154" s="342"/>
      <c r="P154" s="436"/>
    </row>
    <row r="155" spans="4:16" x14ac:dyDescent="0.25">
      <c r="D155" s="96"/>
      <c r="E155" s="96" t="str">
        <f>"LDNO LV tariff forecast " &amp; charging_year</f>
        <v>LDNO LV tariff forecast 2022/23</v>
      </c>
      <c r="F155" s="98"/>
      <c r="G155" s="293"/>
      <c r="H155" s="293"/>
      <c r="I155" s="293"/>
      <c r="J155" s="342"/>
      <c r="K155" s="342"/>
      <c r="L155" s="342"/>
      <c r="M155" s="342"/>
      <c r="N155" s="342"/>
      <c r="O155" s="342"/>
      <c r="P155" s="436"/>
    </row>
    <row r="156" spans="4:16" x14ac:dyDescent="0.25">
      <c r="F156" s="103" t="s">
        <v>1004</v>
      </c>
      <c r="G156" s="91"/>
      <c r="H156" s="91" t="s">
        <v>146</v>
      </c>
      <c r="I156" s="91"/>
      <c r="J156" s="434">
        <v>6.6820000000000004</v>
      </c>
      <c r="K156" s="434">
        <v>1.202</v>
      </c>
      <c r="L156" s="434">
        <v>0.13300000000000001</v>
      </c>
      <c r="M156" s="339">
        <v>9.76</v>
      </c>
      <c r="N156" s="339">
        <v>0</v>
      </c>
      <c r="O156" s="339">
        <v>0</v>
      </c>
      <c r="P156" s="434">
        <v>0</v>
      </c>
    </row>
    <row r="157" spans="4:16" x14ac:dyDescent="0.25">
      <c r="F157" s="99" t="s">
        <v>929</v>
      </c>
      <c r="G157" s="196"/>
      <c r="H157" s="196" t="s">
        <v>146</v>
      </c>
      <c r="I157" s="196"/>
      <c r="J157" s="450">
        <v>6.6820000000000004</v>
      </c>
      <c r="K157" s="450">
        <v>1.202</v>
      </c>
      <c r="L157" s="450">
        <v>0.13300000000000001</v>
      </c>
      <c r="M157" s="451">
        <v>0</v>
      </c>
      <c r="N157" s="451">
        <v>0</v>
      </c>
      <c r="O157" s="451">
        <v>0</v>
      </c>
      <c r="P157" s="450">
        <v>0</v>
      </c>
    </row>
    <row r="158" spans="4:16" x14ac:dyDescent="0.25">
      <c r="F158" s="99" t="s">
        <v>1005</v>
      </c>
      <c r="G158" s="196"/>
      <c r="H158" s="196" t="s">
        <v>146</v>
      </c>
      <c r="I158" s="196"/>
      <c r="J158" s="450">
        <v>8.1489999999999991</v>
      </c>
      <c r="K158" s="450">
        <v>1.466</v>
      </c>
      <c r="L158" s="450">
        <v>0.16200000000000001</v>
      </c>
      <c r="M158" s="451">
        <v>3.3</v>
      </c>
      <c r="N158" s="451">
        <v>0</v>
      </c>
      <c r="O158" s="451">
        <v>0</v>
      </c>
      <c r="P158" s="450">
        <v>0</v>
      </c>
    </row>
    <row r="159" spans="4:16" x14ac:dyDescent="0.25">
      <c r="F159" s="99" t="s">
        <v>1006</v>
      </c>
      <c r="G159" s="196"/>
      <c r="H159" s="196" t="s">
        <v>146</v>
      </c>
      <c r="I159" s="196"/>
      <c r="J159" s="450">
        <v>8.1489999999999991</v>
      </c>
      <c r="K159" s="450">
        <v>1.466</v>
      </c>
      <c r="L159" s="450">
        <v>0.16200000000000001</v>
      </c>
      <c r="M159" s="451">
        <v>5.83</v>
      </c>
      <c r="N159" s="451">
        <v>0</v>
      </c>
      <c r="O159" s="451">
        <v>0</v>
      </c>
      <c r="P159" s="450">
        <v>0</v>
      </c>
    </row>
    <row r="160" spans="4:16" x14ac:dyDescent="0.25">
      <c r="F160" s="99" t="s">
        <v>1007</v>
      </c>
      <c r="G160" s="196"/>
      <c r="H160" s="196" t="s">
        <v>146</v>
      </c>
      <c r="I160" s="196"/>
      <c r="J160" s="450">
        <v>8.1489999999999991</v>
      </c>
      <c r="K160" s="450">
        <v>1.466</v>
      </c>
      <c r="L160" s="450">
        <v>0.16200000000000001</v>
      </c>
      <c r="M160" s="451">
        <v>16.97</v>
      </c>
      <c r="N160" s="451">
        <v>0</v>
      </c>
      <c r="O160" s="451">
        <v>0</v>
      </c>
      <c r="P160" s="450">
        <v>0</v>
      </c>
    </row>
    <row r="161" spans="4:16" x14ac:dyDescent="0.25">
      <c r="F161" s="99" t="s">
        <v>1008</v>
      </c>
      <c r="G161" s="196"/>
      <c r="H161" s="196" t="s">
        <v>146</v>
      </c>
      <c r="I161" s="196"/>
      <c r="J161" s="450">
        <v>8.1489999999999991</v>
      </c>
      <c r="K161" s="450">
        <v>1.466</v>
      </c>
      <c r="L161" s="450">
        <v>0.16200000000000001</v>
      </c>
      <c r="M161" s="451">
        <v>37.159999999999997</v>
      </c>
      <c r="N161" s="451">
        <v>0</v>
      </c>
      <c r="O161" s="451">
        <v>0</v>
      </c>
      <c r="P161" s="450">
        <v>0</v>
      </c>
    </row>
    <row r="162" spans="4:16" x14ac:dyDescent="0.25">
      <c r="F162" s="99" t="s">
        <v>1009</v>
      </c>
      <c r="G162" s="196"/>
      <c r="H162" s="196" t="s">
        <v>146</v>
      </c>
      <c r="I162" s="196"/>
      <c r="J162" s="450">
        <v>8.1489999999999991</v>
      </c>
      <c r="K162" s="450">
        <v>1.466</v>
      </c>
      <c r="L162" s="450">
        <v>0.16200000000000001</v>
      </c>
      <c r="M162" s="451">
        <v>112.51</v>
      </c>
      <c r="N162" s="451">
        <v>0</v>
      </c>
      <c r="O162" s="451">
        <v>0</v>
      </c>
      <c r="P162" s="450">
        <v>0</v>
      </c>
    </row>
    <row r="163" spans="4:16" s="293" customFormat="1" x14ac:dyDescent="0.25">
      <c r="D163" s="98"/>
      <c r="E163" s="98"/>
      <c r="F163" s="99" t="s">
        <v>931</v>
      </c>
      <c r="G163" s="196"/>
      <c r="H163" s="196" t="s">
        <v>146</v>
      </c>
      <c r="I163" s="196"/>
      <c r="J163" s="450">
        <v>8.1489999999999991</v>
      </c>
      <c r="K163" s="450">
        <v>1.466</v>
      </c>
      <c r="L163" s="450">
        <v>0.16200000000000001</v>
      </c>
      <c r="M163" s="451">
        <v>0</v>
      </c>
      <c r="N163" s="451">
        <v>0</v>
      </c>
      <c r="O163" s="451">
        <v>0</v>
      </c>
      <c r="P163" s="450">
        <v>0</v>
      </c>
    </row>
    <row r="164" spans="4:16" s="293" customFormat="1" x14ac:dyDescent="0.25">
      <c r="D164" s="98"/>
      <c r="E164" s="98"/>
      <c r="F164" s="99" t="s">
        <v>1010</v>
      </c>
      <c r="G164" s="196"/>
      <c r="H164" s="196" t="s">
        <v>146</v>
      </c>
      <c r="I164" s="196"/>
      <c r="J164" s="450">
        <v>5.383</v>
      </c>
      <c r="K164" s="450">
        <v>0.89500000000000002</v>
      </c>
      <c r="L164" s="450">
        <v>0.10299999999999999</v>
      </c>
      <c r="M164" s="451">
        <v>12.95</v>
      </c>
      <c r="N164" s="451">
        <v>1.81</v>
      </c>
      <c r="O164" s="451">
        <v>3.09</v>
      </c>
      <c r="P164" s="450">
        <v>0.27</v>
      </c>
    </row>
    <row r="165" spans="4:16" s="293" customFormat="1" x14ac:dyDescent="0.25">
      <c r="D165" s="98"/>
      <c r="E165" s="98"/>
      <c r="F165" s="99" t="s">
        <v>1011</v>
      </c>
      <c r="G165" s="196"/>
      <c r="H165" s="196" t="s">
        <v>146</v>
      </c>
      <c r="I165" s="196"/>
      <c r="J165" s="450">
        <v>5.383</v>
      </c>
      <c r="K165" s="450">
        <v>0.89500000000000002</v>
      </c>
      <c r="L165" s="450">
        <v>0.10299999999999999</v>
      </c>
      <c r="M165" s="451">
        <v>177.91</v>
      </c>
      <c r="N165" s="451">
        <v>1.81</v>
      </c>
      <c r="O165" s="451">
        <v>3.09</v>
      </c>
      <c r="P165" s="450">
        <v>0.27</v>
      </c>
    </row>
    <row r="166" spans="4:16" x14ac:dyDescent="0.25">
      <c r="F166" s="99" t="s">
        <v>1012</v>
      </c>
      <c r="G166" s="196"/>
      <c r="H166" s="196" t="s">
        <v>146</v>
      </c>
      <c r="I166" s="196"/>
      <c r="J166" s="450">
        <v>5.383</v>
      </c>
      <c r="K166" s="450">
        <v>0.89500000000000002</v>
      </c>
      <c r="L166" s="450">
        <v>0.10299999999999999</v>
      </c>
      <c r="M166" s="451">
        <v>392.4</v>
      </c>
      <c r="N166" s="451">
        <v>1.81</v>
      </c>
      <c r="O166" s="451">
        <v>3.09</v>
      </c>
      <c r="P166" s="450">
        <v>0.27</v>
      </c>
    </row>
    <row r="167" spans="4:16" x14ac:dyDescent="0.25">
      <c r="F167" s="99" t="s">
        <v>1013</v>
      </c>
      <c r="G167" s="196"/>
      <c r="H167" s="196" t="s">
        <v>146</v>
      </c>
      <c r="I167" s="196"/>
      <c r="J167" s="450">
        <v>5.383</v>
      </c>
      <c r="K167" s="450">
        <v>0.89500000000000002</v>
      </c>
      <c r="L167" s="450">
        <v>0.10299999999999999</v>
      </c>
      <c r="M167" s="451">
        <v>652.12</v>
      </c>
      <c r="N167" s="451">
        <v>1.81</v>
      </c>
      <c r="O167" s="451">
        <v>3.09</v>
      </c>
      <c r="P167" s="450">
        <v>0.27</v>
      </c>
    </row>
    <row r="168" spans="4:16" x14ac:dyDescent="0.25">
      <c r="F168" s="99" t="s">
        <v>1014</v>
      </c>
      <c r="G168" s="196"/>
      <c r="H168" s="196" t="s">
        <v>146</v>
      </c>
      <c r="I168" s="196"/>
      <c r="J168" s="450">
        <v>5.383</v>
      </c>
      <c r="K168" s="450">
        <v>0.89500000000000002</v>
      </c>
      <c r="L168" s="450">
        <v>0.10299999999999999</v>
      </c>
      <c r="M168" s="451">
        <v>1405.57</v>
      </c>
      <c r="N168" s="451">
        <v>1.81</v>
      </c>
      <c r="O168" s="451">
        <v>3.09</v>
      </c>
      <c r="P168" s="450">
        <v>0.27</v>
      </c>
    </row>
    <row r="169" spans="4:16" x14ac:dyDescent="0.25">
      <c r="F169" s="99" t="s">
        <v>1015</v>
      </c>
      <c r="G169" s="196"/>
      <c r="H169" s="196" t="s">
        <v>146</v>
      </c>
      <c r="I169" s="196"/>
      <c r="J169" s="452">
        <v>0</v>
      </c>
      <c r="K169" s="452">
        <v>0</v>
      </c>
      <c r="L169" s="452">
        <v>0</v>
      </c>
      <c r="M169" s="453">
        <v>0</v>
      </c>
      <c r="N169" s="453">
        <v>0</v>
      </c>
      <c r="O169" s="453">
        <v>0</v>
      </c>
      <c r="P169" s="452">
        <v>0</v>
      </c>
    </row>
    <row r="170" spans="4:16" s="293" customFormat="1" x14ac:dyDescent="0.25">
      <c r="D170" s="98"/>
      <c r="E170" s="98"/>
      <c r="F170" s="99" t="s">
        <v>1016</v>
      </c>
      <c r="G170" s="196"/>
      <c r="H170" s="196" t="s">
        <v>146</v>
      </c>
      <c r="I170" s="196"/>
      <c r="J170" s="452">
        <v>0</v>
      </c>
      <c r="K170" s="452">
        <v>0</v>
      </c>
      <c r="L170" s="452">
        <v>0</v>
      </c>
      <c r="M170" s="453">
        <v>0</v>
      </c>
      <c r="N170" s="453">
        <v>0</v>
      </c>
      <c r="O170" s="453">
        <v>0</v>
      </c>
      <c r="P170" s="452">
        <v>0</v>
      </c>
    </row>
    <row r="171" spans="4:16" s="293" customFormat="1" x14ac:dyDescent="0.25">
      <c r="D171" s="98"/>
      <c r="E171" s="98"/>
      <c r="F171" s="99" t="s">
        <v>1017</v>
      </c>
      <c r="G171" s="196"/>
      <c r="H171" s="196" t="s">
        <v>146</v>
      </c>
      <c r="I171" s="196"/>
      <c r="J171" s="452">
        <v>0</v>
      </c>
      <c r="K171" s="452">
        <v>0</v>
      </c>
      <c r="L171" s="452">
        <v>0</v>
      </c>
      <c r="M171" s="453">
        <v>0</v>
      </c>
      <c r="N171" s="453">
        <v>0</v>
      </c>
      <c r="O171" s="453">
        <v>0</v>
      </c>
      <c r="P171" s="452">
        <v>0</v>
      </c>
    </row>
    <row r="172" spans="4:16" s="293" customFormat="1" x14ac:dyDescent="0.25">
      <c r="D172" s="98"/>
      <c r="E172" s="98"/>
      <c r="F172" s="99" t="s">
        <v>1018</v>
      </c>
      <c r="G172" s="196"/>
      <c r="H172" s="196" t="s">
        <v>146</v>
      </c>
      <c r="I172" s="196"/>
      <c r="J172" s="452">
        <v>0</v>
      </c>
      <c r="K172" s="452">
        <v>0</v>
      </c>
      <c r="L172" s="452">
        <v>0</v>
      </c>
      <c r="M172" s="453">
        <v>0</v>
      </c>
      <c r="N172" s="453">
        <v>0</v>
      </c>
      <c r="O172" s="453">
        <v>0</v>
      </c>
      <c r="P172" s="452">
        <v>0</v>
      </c>
    </row>
    <row r="173" spans="4:16" s="293" customFormat="1" x14ac:dyDescent="0.25">
      <c r="D173" s="98"/>
      <c r="E173" s="98"/>
      <c r="F173" s="99" t="s">
        <v>1019</v>
      </c>
      <c r="G173" s="196"/>
      <c r="H173" s="196" t="s">
        <v>146</v>
      </c>
      <c r="I173" s="196"/>
      <c r="J173" s="452">
        <v>0</v>
      </c>
      <c r="K173" s="452">
        <v>0</v>
      </c>
      <c r="L173" s="452">
        <v>0</v>
      </c>
      <c r="M173" s="453">
        <v>0</v>
      </c>
      <c r="N173" s="453">
        <v>0</v>
      </c>
      <c r="O173" s="453">
        <v>0</v>
      </c>
      <c r="P173" s="452">
        <v>0</v>
      </c>
    </row>
    <row r="174" spans="4:16" s="293" customFormat="1" x14ac:dyDescent="0.25">
      <c r="D174" s="98"/>
      <c r="E174" s="98"/>
      <c r="F174" s="99" t="s">
        <v>1020</v>
      </c>
      <c r="G174" s="196"/>
      <c r="H174" s="196" t="s">
        <v>146</v>
      </c>
      <c r="I174" s="196"/>
      <c r="J174" s="452">
        <v>0</v>
      </c>
      <c r="K174" s="452">
        <v>0</v>
      </c>
      <c r="L174" s="452">
        <v>0</v>
      </c>
      <c r="M174" s="453">
        <v>0</v>
      </c>
      <c r="N174" s="453">
        <v>0</v>
      </c>
      <c r="O174" s="453">
        <v>0</v>
      </c>
      <c r="P174" s="452">
        <v>0</v>
      </c>
    </row>
    <row r="175" spans="4:16" s="293" customFormat="1" x14ac:dyDescent="0.25">
      <c r="D175" s="98"/>
      <c r="E175" s="98"/>
      <c r="F175" s="99" t="s">
        <v>1021</v>
      </c>
      <c r="G175" s="196"/>
      <c r="H175" s="196" t="s">
        <v>146</v>
      </c>
      <c r="I175" s="196"/>
      <c r="J175" s="452">
        <v>0</v>
      </c>
      <c r="K175" s="452">
        <v>0</v>
      </c>
      <c r="L175" s="452">
        <v>0</v>
      </c>
      <c r="M175" s="453">
        <v>0</v>
      </c>
      <c r="N175" s="453">
        <v>0</v>
      </c>
      <c r="O175" s="453">
        <v>0</v>
      </c>
      <c r="P175" s="452">
        <v>0</v>
      </c>
    </row>
    <row r="176" spans="4:16" s="293" customFormat="1" x14ac:dyDescent="0.25">
      <c r="D176" s="98"/>
      <c r="E176" s="98"/>
      <c r="F176" s="99" t="s">
        <v>1022</v>
      </c>
      <c r="G176" s="196"/>
      <c r="H176" s="196" t="s">
        <v>146</v>
      </c>
      <c r="I176" s="196"/>
      <c r="J176" s="452">
        <v>0</v>
      </c>
      <c r="K176" s="452">
        <v>0</v>
      </c>
      <c r="L176" s="452">
        <v>0</v>
      </c>
      <c r="M176" s="453">
        <v>0</v>
      </c>
      <c r="N176" s="453">
        <v>0</v>
      </c>
      <c r="O176" s="453">
        <v>0</v>
      </c>
      <c r="P176" s="452">
        <v>0</v>
      </c>
    </row>
    <row r="177" spans="4:19" s="293" customFormat="1" x14ac:dyDescent="0.25">
      <c r="D177" s="98"/>
      <c r="E177" s="98"/>
      <c r="F177" s="99" t="s">
        <v>1023</v>
      </c>
      <c r="G177" s="196"/>
      <c r="H177" s="196" t="s">
        <v>146</v>
      </c>
      <c r="I177" s="196"/>
      <c r="J177" s="452">
        <v>0</v>
      </c>
      <c r="K177" s="452">
        <v>0</v>
      </c>
      <c r="L177" s="452">
        <v>0</v>
      </c>
      <c r="M177" s="453">
        <v>0</v>
      </c>
      <c r="N177" s="453">
        <v>0</v>
      </c>
      <c r="O177" s="453">
        <v>0</v>
      </c>
      <c r="P177" s="452">
        <v>0</v>
      </c>
    </row>
    <row r="178" spans="4:19" s="293" customFormat="1" x14ac:dyDescent="0.25">
      <c r="D178" s="98"/>
      <c r="E178" s="98"/>
      <c r="F178" s="99" t="s">
        <v>1024</v>
      </c>
      <c r="G178" s="196"/>
      <c r="H178" s="196" t="s">
        <v>146</v>
      </c>
      <c r="I178" s="196"/>
      <c r="J178" s="452">
        <v>0</v>
      </c>
      <c r="K178" s="452">
        <v>0</v>
      </c>
      <c r="L178" s="452">
        <v>0</v>
      </c>
      <c r="M178" s="453">
        <v>0</v>
      </c>
      <c r="N178" s="453">
        <v>0</v>
      </c>
      <c r="O178" s="453">
        <v>0</v>
      </c>
      <c r="P178" s="452">
        <v>0</v>
      </c>
    </row>
    <row r="179" spans="4:19" s="293" customFormat="1" x14ac:dyDescent="0.25">
      <c r="D179" s="98"/>
      <c r="E179" s="98"/>
      <c r="F179" s="99" t="s">
        <v>935</v>
      </c>
      <c r="G179" s="196"/>
      <c r="H179" s="196" t="s">
        <v>146</v>
      </c>
      <c r="I179" s="196"/>
      <c r="J179" s="450">
        <v>12.346</v>
      </c>
      <c r="K179" s="450">
        <v>2.5289999999999999</v>
      </c>
      <c r="L179" s="450">
        <v>1.08</v>
      </c>
      <c r="M179" s="451">
        <v>0</v>
      </c>
      <c r="N179" s="451">
        <v>0</v>
      </c>
      <c r="O179" s="451">
        <v>0</v>
      </c>
      <c r="P179" s="450">
        <v>0</v>
      </c>
    </row>
    <row r="180" spans="4:19" s="293" customFormat="1" x14ac:dyDescent="0.25">
      <c r="D180" s="98"/>
      <c r="E180" s="98"/>
      <c r="F180" s="99" t="s">
        <v>936</v>
      </c>
      <c r="G180" s="196"/>
      <c r="H180" s="196" t="s">
        <v>146</v>
      </c>
      <c r="I180" s="196"/>
      <c r="J180" s="450">
        <v>-8.0839999999999996</v>
      </c>
      <c r="K180" s="450">
        <v>-1.454</v>
      </c>
      <c r="L180" s="450">
        <v>-0.161</v>
      </c>
      <c r="M180" s="451">
        <v>0</v>
      </c>
      <c r="N180" s="451">
        <v>0</v>
      </c>
      <c r="O180" s="451">
        <v>0</v>
      </c>
      <c r="P180" s="450">
        <v>0</v>
      </c>
    </row>
    <row r="181" spans="4:19" s="293" customFormat="1" x14ac:dyDescent="0.25">
      <c r="D181" s="98"/>
      <c r="E181" s="98"/>
      <c r="F181" s="99" t="s">
        <v>937</v>
      </c>
      <c r="G181" s="196"/>
      <c r="H181" s="196" t="s">
        <v>146</v>
      </c>
      <c r="I181" s="196"/>
      <c r="J181" s="452">
        <v>0</v>
      </c>
      <c r="K181" s="452">
        <v>0</v>
      </c>
      <c r="L181" s="452">
        <v>0</v>
      </c>
      <c r="M181" s="453">
        <v>0</v>
      </c>
      <c r="N181" s="453">
        <v>0</v>
      </c>
      <c r="O181" s="453">
        <v>0</v>
      </c>
      <c r="P181" s="452">
        <v>0</v>
      </c>
    </row>
    <row r="182" spans="4:19" s="293" customFormat="1" x14ac:dyDescent="0.25">
      <c r="D182" s="98"/>
      <c r="E182" s="98"/>
      <c r="F182" s="99" t="s">
        <v>938</v>
      </c>
      <c r="G182" s="196"/>
      <c r="H182" s="196" t="s">
        <v>146</v>
      </c>
      <c r="I182" s="196"/>
      <c r="J182" s="450">
        <v>-8.0839999999999996</v>
      </c>
      <c r="K182" s="450">
        <v>-1.454</v>
      </c>
      <c r="L182" s="450">
        <v>-0.161</v>
      </c>
      <c r="M182" s="451">
        <v>0</v>
      </c>
      <c r="N182" s="451">
        <v>0</v>
      </c>
      <c r="O182" s="451">
        <v>0</v>
      </c>
      <c r="P182" s="450">
        <v>0.373</v>
      </c>
    </row>
    <row r="183" spans="4:19" x14ac:dyDescent="0.25">
      <c r="F183" s="99" t="s">
        <v>939</v>
      </c>
      <c r="G183" s="196"/>
      <c r="H183" s="196" t="s">
        <v>146</v>
      </c>
      <c r="I183" s="196"/>
      <c r="J183" s="452">
        <v>0</v>
      </c>
      <c r="K183" s="452">
        <v>0</v>
      </c>
      <c r="L183" s="452">
        <v>0</v>
      </c>
      <c r="M183" s="453">
        <v>0</v>
      </c>
      <c r="N183" s="453">
        <v>0</v>
      </c>
      <c r="O183" s="453">
        <v>0</v>
      </c>
      <c r="P183" s="452">
        <v>0</v>
      </c>
    </row>
    <row r="184" spans="4:19" x14ac:dyDescent="0.25">
      <c r="F184" s="99" t="s">
        <v>940</v>
      </c>
      <c r="G184" s="196"/>
      <c r="H184" s="196" t="s">
        <v>146</v>
      </c>
      <c r="I184" s="196"/>
      <c r="J184" s="452">
        <v>0</v>
      </c>
      <c r="K184" s="452">
        <v>0</v>
      </c>
      <c r="L184" s="452">
        <v>0</v>
      </c>
      <c r="M184" s="453">
        <v>0</v>
      </c>
      <c r="N184" s="453">
        <v>0</v>
      </c>
      <c r="O184" s="453">
        <v>0</v>
      </c>
      <c r="P184" s="452">
        <v>0</v>
      </c>
    </row>
    <row r="185" spans="4:19" x14ac:dyDescent="0.25">
      <c r="F185" s="99" t="s">
        <v>941</v>
      </c>
      <c r="G185" s="196"/>
      <c r="H185" s="196" t="s">
        <v>146</v>
      </c>
      <c r="I185" s="196"/>
      <c r="J185" s="452">
        <v>0</v>
      </c>
      <c r="K185" s="452">
        <v>0</v>
      </c>
      <c r="L185" s="452">
        <v>0</v>
      </c>
      <c r="M185" s="453">
        <v>0</v>
      </c>
      <c r="N185" s="453">
        <v>0</v>
      </c>
      <c r="O185" s="453">
        <v>0</v>
      </c>
      <c r="P185" s="452">
        <v>0</v>
      </c>
    </row>
    <row r="186" spans="4:19" x14ac:dyDescent="0.25">
      <c r="F186" s="99" t="s">
        <v>942</v>
      </c>
      <c r="G186" s="196"/>
      <c r="H186" s="196" t="s">
        <v>146</v>
      </c>
      <c r="I186" s="196"/>
      <c r="J186" s="452">
        <v>0</v>
      </c>
      <c r="K186" s="452">
        <v>0</v>
      </c>
      <c r="L186" s="452">
        <v>0</v>
      </c>
      <c r="M186" s="453">
        <v>0</v>
      </c>
      <c r="N186" s="453">
        <v>0</v>
      </c>
      <c r="O186" s="453">
        <v>0</v>
      </c>
      <c r="P186" s="452">
        <v>0</v>
      </c>
    </row>
    <row r="187" spans="4:19" x14ac:dyDescent="0.25">
      <c r="F187" s="100" t="s">
        <v>943</v>
      </c>
      <c r="G187" s="93"/>
      <c r="H187" s="93" t="s">
        <v>146</v>
      </c>
      <c r="I187" s="93"/>
      <c r="J187" s="437">
        <v>0</v>
      </c>
      <c r="K187" s="437">
        <v>0</v>
      </c>
      <c r="L187" s="437">
        <v>0</v>
      </c>
      <c r="M187" s="343">
        <v>0</v>
      </c>
      <c r="N187" s="343">
        <v>0</v>
      </c>
      <c r="O187" s="343">
        <v>0</v>
      </c>
      <c r="P187" s="437">
        <v>0</v>
      </c>
    </row>
    <row r="188" spans="4:19" x14ac:dyDescent="0.25">
      <c r="D188" s="195"/>
      <c r="E188" s="195"/>
      <c r="F188" s="293"/>
      <c r="G188" s="293"/>
      <c r="H188" s="293"/>
      <c r="I188" s="293"/>
      <c r="J188" s="436"/>
      <c r="K188" s="436"/>
      <c r="L188" s="436"/>
      <c r="M188" s="342"/>
      <c r="N188" s="342"/>
      <c r="O188" s="342"/>
      <c r="P188" s="436"/>
      <c r="Q188" s="195"/>
      <c r="R188" s="5"/>
      <c r="S188" s="5"/>
    </row>
    <row r="189" spans="4:19" x14ac:dyDescent="0.25">
      <c r="D189" s="96"/>
      <c r="E189" s="96" t="str">
        <f>"LDNO HV tariff forecast " &amp; charging_year</f>
        <v>LDNO HV tariff forecast 2022/23</v>
      </c>
      <c r="F189" s="293"/>
      <c r="G189" s="293"/>
      <c r="H189" s="293"/>
      <c r="I189" s="293"/>
      <c r="J189" s="436"/>
      <c r="K189" s="436"/>
      <c r="L189" s="436"/>
      <c r="M189" s="342"/>
      <c r="N189" s="342"/>
      <c r="O189" s="342"/>
      <c r="P189" s="436"/>
      <c r="Q189" s="195"/>
      <c r="R189" s="195"/>
      <c r="S189" s="195"/>
    </row>
    <row r="190" spans="4:19" x14ac:dyDescent="0.25">
      <c r="F190" s="103" t="s">
        <v>1004</v>
      </c>
      <c r="G190" s="91"/>
      <c r="H190" s="91" t="s">
        <v>147</v>
      </c>
      <c r="I190" s="91"/>
      <c r="J190" s="434">
        <v>4.8579999999999997</v>
      </c>
      <c r="K190" s="434">
        <v>0.874</v>
      </c>
      <c r="L190" s="434">
        <v>9.7000000000000003E-2</v>
      </c>
      <c r="M190" s="339">
        <v>7.14</v>
      </c>
      <c r="N190" s="339">
        <v>0</v>
      </c>
      <c r="O190" s="339">
        <v>0</v>
      </c>
      <c r="P190" s="434">
        <v>0</v>
      </c>
    </row>
    <row r="191" spans="4:19" x14ac:dyDescent="0.25">
      <c r="F191" s="99" t="s">
        <v>929</v>
      </c>
      <c r="G191" s="196"/>
      <c r="H191" s="196" t="s">
        <v>147</v>
      </c>
      <c r="I191" s="196"/>
      <c r="J191" s="450">
        <v>4.8579999999999997</v>
      </c>
      <c r="K191" s="450">
        <v>0.874</v>
      </c>
      <c r="L191" s="450">
        <v>9.7000000000000003E-2</v>
      </c>
      <c r="M191" s="451">
        <v>0</v>
      </c>
      <c r="N191" s="451">
        <v>0</v>
      </c>
      <c r="O191" s="451">
        <v>0</v>
      </c>
      <c r="P191" s="450">
        <v>0</v>
      </c>
    </row>
    <row r="192" spans="4:19" x14ac:dyDescent="0.25">
      <c r="F192" s="99" t="s">
        <v>1005</v>
      </c>
      <c r="G192" s="196"/>
      <c r="H192" s="196" t="s">
        <v>147</v>
      </c>
      <c r="I192" s="196"/>
      <c r="J192" s="450">
        <v>5.9249999999999998</v>
      </c>
      <c r="K192" s="450">
        <v>1.0660000000000001</v>
      </c>
      <c r="L192" s="450">
        <v>0.11799999999999999</v>
      </c>
      <c r="M192" s="451">
        <v>2.42</v>
      </c>
      <c r="N192" s="451">
        <v>0</v>
      </c>
      <c r="O192" s="451">
        <v>0</v>
      </c>
      <c r="P192" s="450">
        <v>0</v>
      </c>
    </row>
    <row r="193" spans="4:16" x14ac:dyDescent="0.25">
      <c r="F193" s="99" t="s">
        <v>1006</v>
      </c>
      <c r="G193" s="196"/>
      <c r="H193" s="196" t="s">
        <v>147</v>
      </c>
      <c r="I193" s="196"/>
      <c r="J193" s="450">
        <v>5.9249999999999998</v>
      </c>
      <c r="K193" s="450">
        <v>1.0660000000000001</v>
      </c>
      <c r="L193" s="450">
        <v>0.11799999999999999</v>
      </c>
      <c r="M193" s="451">
        <v>4.26</v>
      </c>
      <c r="N193" s="451">
        <v>0</v>
      </c>
      <c r="O193" s="451">
        <v>0</v>
      </c>
      <c r="P193" s="450">
        <v>0</v>
      </c>
    </row>
    <row r="194" spans="4:16" x14ac:dyDescent="0.25">
      <c r="F194" s="99" t="s">
        <v>1007</v>
      </c>
      <c r="G194" s="196"/>
      <c r="H194" s="196" t="s">
        <v>147</v>
      </c>
      <c r="I194" s="196"/>
      <c r="J194" s="450">
        <v>5.9249999999999998</v>
      </c>
      <c r="K194" s="450">
        <v>1.0660000000000001</v>
      </c>
      <c r="L194" s="450">
        <v>0.11799999999999999</v>
      </c>
      <c r="M194" s="451">
        <v>12.35</v>
      </c>
      <c r="N194" s="451">
        <v>0</v>
      </c>
      <c r="O194" s="451">
        <v>0</v>
      </c>
      <c r="P194" s="450">
        <v>0</v>
      </c>
    </row>
    <row r="195" spans="4:16" x14ac:dyDescent="0.25">
      <c r="F195" s="99" t="s">
        <v>1008</v>
      </c>
      <c r="G195" s="196"/>
      <c r="H195" s="196" t="s">
        <v>147</v>
      </c>
      <c r="I195" s="196"/>
      <c r="J195" s="450">
        <v>5.9249999999999998</v>
      </c>
      <c r="K195" s="450">
        <v>1.0660000000000001</v>
      </c>
      <c r="L195" s="450">
        <v>0.11799999999999999</v>
      </c>
      <c r="M195" s="451">
        <v>27.04</v>
      </c>
      <c r="N195" s="451">
        <v>0</v>
      </c>
      <c r="O195" s="451">
        <v>0</v>
      </c>
      <c r="P195" s="450">
        <v>0</v>
      </c>
    </row>
    <row r="196" spans="4:16" x14ac:dyDescent="0.25">
      <c r="F196" s="99" t="s">
        <v>1009</v>
      </c>
      <c r="G196" s="196"/>
      <c r="H196" s="196" t="s">
        <v>147</v>
      </c>
      <c r="I196" s="196"/>
      <c r="J196" s="450">
        <v>5.9249999999999998</v>
      </c>
      <c r="K196" s="450">
        <v>1.0660000000000001</v>
      </c>
      <c r="L196" s="450">
        <v>0.11799999999999999</v>
      </c>
      <c r="M196" s="451">
        <v>81.819999999999993</v>
      </c>
      <c r="N196" s="451">
        <v>0</v>
      </c>
      <c r="O196" s="451">
        <v>0</v>
      </c>
      <c r="P196" s="450">
        <v>0</v>
      </c>
    </row>
    <row r="197" spans="4:16" s="293" customFormat="1" x14ac:dyDescent="0.25">
      <c r="D197" s="98"/>
      <c r="E197" s="98"/>
      <c r="F197" s="99" t="s">
        <v>931</v>
      </c>
      <c r="G197" s="196"/>
      <c r="H197" s="196" t="s">
        <v>147</v>
      </c>
      <c r="I197" s="196"/>
      <c r="J197" s="450">
        <v>5.9249999999999998</v>
      </c>
      <c r="K197" s="450">
        <v>1.0660000000000001</v>
      </c>
      <c r="L197" s="450">
        <v>0.11799999999999999</v>
      </c>
      <c r="M197" s="451">
        <v>0</v>
      </c>
      <c r="N197" s="451">
        <v>0</v>
      </c>
      <c r="O197" s="451">
        <v>0</v>
      </c>
      <c r="P197" s="450">
        <v>0</v>
      </c>
    </row>
    <row r="198" spans="4:16" s="293" customFormat="1" x14ac:dyDescent="0.25">
      <c r="D198" s="98"/>
      <c r="E198" s="98"/>
      <c r="F198" s="99" t="s">
        <v>1010</v>
      </c>
      <c r="G198" s="196"/>
      <c r="H198" s="196" t="s">
        <v>147</v>
      </c>
      <c r="I198" s="196"/>
      <c r="J198" s="450">
        <v>3.9140000000000001</v>
      </c>
      <c r="K198" s="450">
        <v>0.65100000000000002</v>
      </c>
      <c r="L198" s="450">
        <v>7.4999999999999997E-2</v>
      </c>
      <c r="M198" s="451">
        <v>9.44</v>
      </c>
      <c r="N198" s="451">
        <v>1.32</v>
      </c>
      <c r="O198" s="451">
        <v>2.2400000000000002</v>
      </c>
      <c r="P198" s="450">
        <v>0.19600000000000001</v>
      </c>
    </row>
    <row r="199" spans="4:16" s="293" customFormat="1" x14ac:dyDescent="0.25">
      <c r="D199" s="98"/>
      <c r="E199" s="98"/>
      <c r="F199" s="99" t="s">
        <v>1011</v>
      </c>
      <c r="G199" s="196"/>
      <c r="H199" s="196" t="s">
        <v>147</v>
      </c>
      <c r="I199" s="196"/>
      <c r="J199" s="450">
        <v>3.9140000000000001</v>
      </c>
      <c r="K199" s="450">
        <v>0.65100000000000002</v>
      </c>
      <c r="L199" s="450">
        <v>7.4999999999999997E-2</v>
      </c>
      <c r="M199" s="451">
        <v>129.37</v>
      </c>
      <c r="N199" s="451">
        <v>1.32</v>
      </c>
      <c r="O199" s="451">
        <v>2.2400000000000002</v>
      </c>
      <c r="P199" s="450">
        <v>0.19600000000000001</v>
      </c>
    </row>
    <row r="200" spans="4:16" x14ac:dyDescent="0.25">
      <c r="F200" s="99" t="s">
        <v>1012</v>
      </c>
      <c r="G200" s="196"/>
      <c r="H200" s="196" t="s">
        <v>147</v>
      </c>
      <c r="I200" s="196"/>
      <c r="J200" s="450">
        <v>3.9140000000000001</v>
      </c>
      <c r="K200" s="450">
        <v>0.65100000000000002</v>
      </c>
      <c r="L200" s="450">
        <v>7.4999999999999997E-2</v>
      </c>
      <c r="M200" s="451">
        <v>285.33</v>
      </c>
      <c r="N200" s="451">
        <v>1.32</v>
      </c>
      <c r="O200" s="451">
        <v>2.2400000000000002</v>
      </c>
      <c r="P200" s="450">
        <v>0.19600000000000001</v>
      </c>
    </row>
    <row r="201" spans="4:16" x14ac:dyDescent="0.25">
      <c r="F201" s="99" t="s">
        <v>1013</v>
      </c>
      <c r="G201" s="196"/>
      <c r="H201" s="196" t="s">
        <v>147</v>
      </c>
      <c r="I201" s="196"/>
      <c r="J201" s="450">
        <v>3.9140000000000001</v>
      </c>
      <c r="K201" s="450">
        <v>0.65100000000000002</v>
      </c>
      <c r="L201" s="450">
        <v>7.4999999999999997E-2</v>
      </c>
      <c r="M201" s="451">
        <v>474.16</v>
      </c>
      <c r="N201" s="451">
        <v>1.32</v>
      </c>
      <c r="O201" s="451">
        <v>2.2400000000000002</v>
      </c>
      <c r="P201" s="450">
        <v>0.19600000000000001</v>
      </c>
    </row>
    <row r="202" spans="4:16" x14ac:dyDescent="0.25">
      <c r="F202" s="99" t="s">
        <v>1014</v>
      </c>
      <c r="G202" s="196"/>
      <c r="H202" s="196" t="s">
        <v>147</v>
      </c>
      <c r="I202" s="196"/>
      <c r="J202" s="450">
        <v>3.9140000000000001</v>
      </c>
      <c r="K202" s="450">
        <v>0.65100000000000002</v>
      </c>
      <c r="L202" s="450">
        <v>7.4999999999999997E-2</v>
      </c>
      <c r="M202" s="451">
        <v>1021.97</v>
      </c>
      <c r="N202" s="451">
        <v>1.32</v>
      </c>
      <c r="O202" s="451">
        <v>2.2400000000000002</v>
      </c>
      <c r="P202" s="450">
        <v>0.19600000000000001</v>
      </c>
    </row>
    <row r="203" spans="4:16" x14ac:dyDescent="0.25">
      <c r="F203" s="99" t="s">
        <v>1015</v>
      </c>
      <c r="G203" s="196"/>
      <c r="H203" s="196" t="s">
        <v>147</v>
      </c>
      <c r="I203" s="196"/>
      <c r="J203" s="450">
        <v>5.0629999999999997</v>
      </c>
      <c r="K203" s="450">
        <v>0.68899999999999995</v>
      </c>
      <c r="L203" s="450">
        <v>8.7999999999999995E-2</v>
      </c>
      <c r="M203" s="451">
        <v>5.41</v>
      </c>
      <c r="N203" s="451">
        <v>4.21</v>
      </c>
      <c r="O203" s="451">
        <v>5.7</v>
      </c>
      <c r="P203" s="450">
        <v>0.21099999999999999</v>
      </c>
    </row>
    <row r="204" spans="4:16" s="293" customFormat="1" x14ac:dyDescent="0.25">
      <c r="D204" s="98"/>
      <c r="E204" s="98"/>
      <c r="F204" s="99" t="s">
        <v>1016</v>
      </c>
      <c r="G204" s="196"/>
      <c r="H204" s="196" t="s">
        <v>147</v>
      </c>
      <c r="I204" s="196"/>
      <c r="J204" s="450">
        <v>5.0629999999999997</v>
      </c>
      <c r="K204" s="450">
        <v>0.68899999999999995</v>
      </c>
      <c r="L204" s="450">
        <v>8.7999999999999995E-2</v>
      </c>
      <c r="M204" s="451">
        <v>199.18</v>
      </c>
      <c r="N204" s="451">
        <v>4.21</v>
      </c>
      <c r="O204" s="451">
        <v>5.7</v>
      </c>
      <c r="P204" s="450">
        <v>0.21099999999999999</v>
      </c>
    </row>
    <row r="205" spans="4:16" s="293" customFormat="1" x14ac:dyDescent="0.25">
      <c r="D205" s="98"/>
      <c r="E205" s="98"/>
      <c r="F205" s="99" t="s">
        <v>1017</v>
      </c>
      <c r="G205" s="196"/>
      <c r="H205" s="196" t="s">
        <v>147</v>
      </c>
      <c r="I205" s="196"/>
      <c r="J205" s="450">
        <v>5.0629999999999997</v>
      </c>
      <c r="K205" s="450">
        <v>0.68899999999999995</v>
      </c>
      <c r="L205" s="450">
        <v>8.7999999999999995E-2</v>
      </c>
      <c r="M205" s="451">
        <v>451.14</v>
      </c>
      <c r="N205" s="451">
        <v>4.21</v>
      </c>
      <c r="O205" s="451">
        <v>5.7</v>
      </c>
      <c r="P205" s="450">
        <v>0.21099999999999999</v>
      </c>
    </row>
    <row r="206" spans="4:16" s="293" customFormat="1" x14ac:dyDescent="0.25">
      <c r="D206" s="98"/>
      <c r="E206" s="98"/>
      <c r="F206" s="99" t="s">
        <v>1018</v>
      </c>
      <c r="G206" s="196"/>
      <c r="H206" s="196" t="s">
        <v>147</v>
      </c>
      <c r="I206" s="196"/>
      <c r="J206" s="450">
        <v>5.0629999999999997</v>
      </c>
      <c r="K206" s="450">
        <v>0.68899999999999995</v>
      </c>
      <c r="L206" s="450">
        <v>8.7999999999999995E-2</v>
      </c>
      <c r="M206" s="451">
        <v>756.23</v>
      </c>
      <c r="N206" s="451">
        <v>4.21</v>
      </c>
      <c r="O206" s="451">
        <v>5.7</v>
      </c>
      <c r="P206" s="450">
        <v>0.21099999999999999</v>
      </c>
    </row>
    <row r="207" spans="4:16" s="293" customFormat="1" x14ac:dyDescent="0.25">
      <c r="D207" s="98"/>
      <c r="E207" s="98"/>
      <c r="F207" s="99" t="s">
        <v>1019</v>
      </c>
      <c r="G207" s="196"/>
      <c r="H207" s="196" t="s">
        <v>147</v>
      </c>
      <c r="I207" s="196"/>
      <c r="J207" s="450">
        <v>5.0629999999999997</v>
      </c>
      <c r="K207" s="450">
        <v>0.68899999999999995</v>
      </c>
      <c r="L207" s="450">
        <v>8.7999999999999995E-2</v>
      </c>
      <c r="M207" s="451">
        <v>1641.29</v>
      </c>
      <c r="N207" s="451">
        <v>4.21</v>
      </c>
      <c r="O207" s="451">
        <v>5.7</v>
      </c>
      <c r="P207" s="450">
        <v>0.21099999999999999</v>
      </c>
    </row>
    <row r="208" spans="4:16" s="293" customFormat="1" x14ac:dyDescent="0.25">
      <c r="D208" s="98"/>
      <c r="E208" s="98"/>
      <c r="F208" s="99" t="s">
        <v>1020</v>
      </c>
      <c r="G208" s="196"/>
      <c r="H208" s="196" t="s">
        <v>147</v>
      </c>
      <c r="I208" s="196"/>
      <c r="J208" s="450">
        <v>4.3019999999999996</v>
      </c>
      <c r="K208" s="450">
        <v>0.51400000000000001</v>
      </c>
      <c r="L208" s="450">
        <v>6.6000000000000003E-2</v>
      </c>
      <c r="M208" s="451">
        <v>91.46</v>
      </c>
      <c r="N208" s="451">
        <v>3.79</v>
      </c>
      <c r="O208" s="451">
        <v>5.99</v>
      </c>
      <c r="P208" s="450">
        <v>0.159</v>
      </c>
    </row>
    <row r="209" spans="3:19" s="293" customFormat="1" x14ac:dyDescent="0.25">
      <c r="D209" s="98"/>
      <c r="E209" s="98"/>
      <c r="F209" s="99" t="s">
        <v>1021</v>
      </c>
      <c r="G209" s="196"/>
      <c r="H209" s="196" t="s">
        <v>147</v>
      </c>
      <c r="I209" s="196"/>
      <c r="J209" s="450">
        <v>4.3019999999999996</v>
      </c>
      <c r="K209" s="450">
        <v>0.51400000000000001</v>
      </c>
      <c r="L209" s="450">
        <v>6.6000000000000003E-2</v>
      </c>
      <c r="M209" s="451">
        <v>1342.52</v>
      </c>
      <c r="N209" s="451">
        <v>3.79</v>
      </c>
      <c r="O209" s="451">
        <v>5.99</v>
      </c>
      <c r="P209" s="450">
        <v>0.159</v>
      </c>
    </row>
    <row r="210" spans="3:19" s="293" customFormat="1" x14ac:dyDescent="0.25">
      <c r="D210" s="98"/>
      <c r="E210" s="98"/>
      <c r="F210" s="99" t="s">
        <v>1022</v>
      </c>
      <c r="G210" s="196"/>
      <c r="H210" s="196" t="s">
        <v>147</v>
      </c>
      <c r="I210" s="196"/>
      <c r="J210" s="450">
        <v>4.3019999999999996</v>
      </c>
      <c r="K210" s="450">
        <v>0.51400000000000001</v>
      </c>
      <c r="L210" s="450">
        <v>6.6000000000000003E-2</v>
      </c>
      <c r="M210" s="451">
        <v>4745.1000000000004</v>
      </c>
      <c r="N210" s="451">
        <v>3.79</v>
      </c>
      <c r="O210" s="451">
        <v>5.99</v>
      </c>
      <c r="P210" s="450">
        <v>0.159</v>
      </c>
    </row>
    <row r="211" spans="3:19" s="293" customFormat="1" x14ac:dyDescent="0.25">
      <c r="D211" s="98"/>
      <c r="E211" s="98"/>
      <c r="F211" s="99" t="s">
        <v>1023</v>
      </c>
      <c r="G211" s="196"/>
      <c r="H211" s="196" t="s">
        <v>147</v>
      </c>
      <c r="I211" s="196"/>
      <c r="J211" s="450">
        <v>4.3019999999999996</v>
      </c>
      <c r="K211" s="450">
        <v>0.51400000000000001</v>
      </c>
      <c r="L211" s="450">
        <v>6.6000000000000003E-2</v>
      </c>
      <c r="M211" s="451">
        <v>9516.6</v>
      </c>
      <c r="N211" s="451">
        <v>3.79</v>
      </c>
      <c r="O211" s="451">
        <v>5.99</v>
      </c>
      <c r="P211" s="450">
        <v>0.159</v>
      </c>
    </row>
    <row r="212" spans="3:19" s="293" customFormat="1" x14ac:dyDescent="0.25">
      <c r="D212" s="98"/>
      <c r="E212" s="98"/>
      <c r="F212" s="99" t="s">
        <v>1024</v>
      </c>
      <c r="G212" s="196"/>
      <c r="H212" s="196" t="s">
        <v>147</v>
      </c>
      <c r="I212" s="196"/>
      <c r="J212" s="450">
        <v>4.3019999999999996</v>
      </c>
      <c r="K212" s="450">
        <v>0.51400000000000001</v>
      </c>
      <c r="L212" s="450">
        <v>6.6000000000000003E-2</v>
      </c>
      <c r="M212" s="451">
        <v>17801.98</v>
      </c>
      <c r="N212" s="451">
        <v>3.79</v>
      </c>
      <c r="O212" s="451">
        <v>5.99</v>
      </c>
      <c r="P212" s="450">
        <v>0.159</v>
      </c>
    </row>
    <row r="213" spans="3:19" s="293" customFormat="1" x14ac:dyDescent="0.25">
      <c r="D213" s="98"/>
      <c r="E213" s="98"/>
      <c r="F213" s="99" t="s">
        <v>935</v>
      </c>
      <c r="G213" s="196"/>
      <c r="H213" s="196" t="s">
        <v>147</v>
      </c>
      <c r="I213" s="196"/>
      <c r="J213" s="450">
        <v>8.9770000000000003</v>
      </c>
      <c r="K213" s="450">
        <v>1.839</v>
      </c>
      <c r="L213" s="450">
        <v>0.78600000000000003</v>
      </c>
      <c r="M213" s="451">
        <v>0</v>
      </c>
      <c r="N213" s="451">
        <v>0</v>
      </c>
      <c r="O213" s="451">
        <v>0</v>
      </c>
      <c r="P213" s="450">
        <v>0</v>
      </c>
    </row>
    <row r="214" spans="3:19" s="293" customFormat="1" x14ac:dyDescent="0.25">
      <c r="D214" s="98"/>
      <c r="E214" s="98"/>
      <c r="F214" s="99" t="s">
        <v>936</v>
      </c>
      <c r="G214" s="196"/>
      <c r="H214" s="196" t="s">
        <v>147</v>
      </c>
      <c r="I214" s="196"/>
      <c r="J214" s="450">
        <v>-8.0839999999999996</v>
      </c>
      <c r="K214" s="450">
        <v>-1.454</v>
      </c>
      <c r="L214" s="450">
        <v>-0.161</v>
      </c>
      <c r="M214" s="451">
        <v>0</v>
      </c>
      <c r="N214" s="451">
        <v>0</v>
      </c>
      <c r="O214" s="451">
        <v>0</v>
      </c>
      <c r="P214" s="450">
        <v>0</v>
      </c>
    </row>
    <row r="215" spans="3:19" s="293" customFormat="1" x14ac:dyDescent="0.25">
      <c r="D215" s="98"/>
      <c r="E215" s="98"/>
      <c r="F215" s="99" t="s">
        <v>937</v>
      </c>
      <c r="G215" s="196"/>
      <c r="H215" s="196" t="s">
        <v>147</v>
      </c>
      <c r="I215" s="196"/>
      <c r="J215" s="450">
        <v>-7.3090000000000002</v>
      </c>
      <c r="K215" s="450">
        <v>-1.2589999999999999</v>
      </c>
      <c r="L215" s="450">
        <v>-0.14199999999999999</v>
      </c>
      <c r="M215" s="451">
        <v>0</v>
      </c>
      <c r="N215" s="451">
        <v>0</v>
      </c>
      <c r="O215" s="451">
        <v>0</v>
      </c>
      <c r="P215" s="450">
        <v>0</v>
      </c>
    </row>
    <row r="216" spans="3:19" s="293" customFormat="1" x14ac:dyDescent="0.25">
      <c r="D216" s="98"/>
      <c r="E216" s="98"/>
      <c r="F216" s="99" t="s">
        <v>938</v>
      </c>
      <c r="G216" s="196"/>
      <c r="H216" s="196" t="s">
        <v>147</v>
      </c>
      <c r="I216" s="196"/>
      <c r="J216" s="450">
        <v>-8.0839999999999996</v>
      </c>
      <c r="K216" s="450">
        <v>-1.454</v>
      </c>
      <c r="L216" s="450">
        <v>-0.161</v>
      </c>
      <c r="M216" s="451">
        <v>0</v>
      </c>
      <c r="N216" s="451">
        <v>0</v>
      </c>
      <c r="O216" s="451">
        <v>0</v>
      </c>
      <c r="P216" s="450">
        <v>0.373</v>
      </c>
    </row>
    <row r="217" spans="3:19" x14ac:dyDescent="0.25">
      <c r="F217" s="99" t="s">
        <v>939</v>
      </c>
      <c r="G217" s="196"/>
      <c r="H217" s="196" t="s">
        <v>147</v>
      </c>
      <c r="I217" s="196"/>
      <c r="J217" s="452">
        <v>0</v>
      </c>
      <c r="K217" s="452">
        <v>0</v>
      </c>
      <c r="L217" s="452">
        <v>0</v>
      </c>
      <c r="M217" s="453">
        <v>0</v>
      </c>
      <c r="N217" s="453">
        <v>0</v>
      </c>
      <c r="O217" s="453">
        <v>0</v>
      </c>
      <c r="P217" s="452">
        <v>0</v>
      </c>
    </row>
    <row r="218" spans="3:19" x14ac:dyDescent="0.25">
      <c r="F218" s="99" t="s">
        <v>940</v>
      </c>
      <c r="G218" s="196"/>
      <c r="H218" s="196" t="s">
        <v>147</v>
      </c>
      <c r="I218" s="196"/>
      <c r="J218" s="450">
        <v>-7.3090000000000002</v>
      </c>
      <c r="K218" s="450">
        <v>-1.2589999999999999</v>
      </c>
      <c r="L218" s="450">
        <v>-0.14199999999999999</v>
      </c>
      <c r="M218" s="451">
        <v>0</v>
      </c>
      <c r="N218" s="451">
        <v>0</v>
      </c>
      <c r="O218" s="451">
        <v>0</v>
      </c>
      <c r="P218" s="450">
        <v>0.34399999999999997</v>
      </c>
    </row>
    <row r="219" spans="3:19" x14ac:dyDescent="0.25">
      <c r="F219" s="99" t="s">
        <v>941</v>
      </c>
      <c r="G219" s="196"/>
      <c r="H219" s="196" t="s">
        <v>147</v>
      </c>
      <c r="I219" s="196"/>
      <c r="J219" s="452">
        <v>0</v>
      </c>
      <c r="K219" s="452">
        <v>0</v>
      </c>
      <c r="L219" s="452">
        <v>0</v>
      </c>
      <c r="M219" s="453">
        <v>0</v>
      </c>
      <c r="N219" s="453">
        <v>0</v>
      </c>
      <c r="O219" s="453">
        <v>0</v>
      </c>
      <c r="P219" s="452">
        <v>0</v>
      </c>
    </row>
    <row r="220" spans="3:19" x14ac:dyDescent="0.25">
      <c r="F220" s="99" t="s">
        <v>942</v>
      </c>
      <c r="G220" s="196"/>
      <c r="H220" s="196" t="s">
        <v>147</v>
      </c>
      <c r="I220" s="196"/>
      <c r="J220" s="450">
        <v>-5.3920000000000003</v>
      </c>
      <c r="K220" s="450">
        <v>-0.70799999999999996</v>
      </c>
      <c r="L220" s="450">
        <v>-0.09</v>
      </c>
      <c r="M220" s="451">
        <v>0</v>
      </c>
      <c r="N220" s="451">
        <v>0</v>
      </c>
      <c r="O220" s="451">
        <v>0</v>
      </c>
      <c r="P220" s="450">
        <v>0.26500000000000001</v>
      </c>
    </row>
    <row r="221" spans="3:19" x14ac:dyDescent="0.25">
      <c r="F221" s="100" t="s">
        <v>943</v>
      </c>
      <c r="G221" s="93"/>
      <c r="H221" s="93" t="s">
        <v>147</v>
      </c>
      <c r="I221" s="93"/>
      <c r="J221" s="437">
        <v>0</v>
      </c>
      <c r="K221" s="437">
        <v>0</v>
      </c>
      <c r="L221" s="437">
        <v>0</v>
      </c>
      <c r="M221" s="343">
        <v>0</v>
      </c>
      <c r="N221" s="343">
        <v>0</v>
      </c>
      <c r="O221" s="343">
        <v>0</v>
      </c>
      <c r="P221" s="437">
        <v>0</v>
      </c>
    </row>
    <row r="222" spans="3:19" x14ac:dyDescent="0.25">
      <c r="D222" s="195"/>
      <c r="E222" s="195"/>
      <c r="F222" s="195"/>
      <c r="G222" s="195"/>
      <c r="H222" s="195"/>
      <c r="I222" s="195"/>
      <c r="J222" s="348"/>
      <c r="K222" s="348"/>
      <c r="L222" s="348"/>
      <c r="M222" s="214"/>
      <c r="N222" s="214"/>
      <c r="O222" s="214"/>
      <c r="P222" s="348"/>
      <c r="Q222" s="5"/>
      <c r="R222" s="5"/>
      <c r="S222" s="5"/>
    </row>
    <row r="223" spans="3:19" s="195" customFormat="1" x14ac:dyDescent="0.25">
      <c r="C223" s="7" t="str">
        <f ca="1">INDEX('Version control'!$H$34:$H$60,MATCH($A$1,'Version control'!$F$34:$F$60,0),1)&amp;"-C: Tariff results for charging year " &amp; 'ARP_User control'!G32</f>
        <v>Output 501-C: Tariff results for charging year 2023/24</v>
      </c>
      <c r="D223" s="7"/>
      <c r="E223" s="7"/>
      <c r="F223" s="7"/>
      <c r="G223" s="7"/>
      <c r="H223" s="7"/>
      <c r="I223" s="7"/>
      <c r="J223" s="439"/>
      <c r="K223" s="439"/>
      <c r="L223" s="439"/>
      <c r="M223" s="7"/>
      <c r="N223" s="7"/>
      <c r="O223" s="7"/>
      <c r="P223" s="439"/>
      <c r="Q223" s="7"/>
      <c r="R223" s="7"/>
    </row>
    <row r="224" spans="3:19" x14ac:dyDescent="0.25">
      <c r="D224" s="85"/>
      <c r="E224" s="195"/>
      <c r="F224" s="195"/>
      <c r="J224" s="440"/>
      <c r="K224" s="440"/>
      <c r="L224" s="440"/>
      <c r="M224" s="213"/>
      <c r="N224" s="213"/>
      <c r="O224" s="213"/>
      <c r="P224" s="440"/>
    </row>
    <row r="225" spans="4:16" x14ac:dyDescent="0.25">
      <c r="D225" s="96"/>
      <c r="E225" s="96" t="str">
        <f>"All the way tariff forecast " &amp; 'ARP_User control'!G32</f>
        <v>All the way tariff forecast 2023/24</v>
      </c>
      <c r="F225" s="195"/>
      <c r="J225" s="440"/>
      <c r="K225" s="440"/>
      <c r="L225" s="440"/>
      <c r="M225" s="213"/>
      <c r="N225" s="213"/>
      <c r="O225" s="213"/>
      <c r="P225" s="440"/>
    </row>
    <row r="226" spans="4:16" x14ac:dyDescent="0.25">
      <c r="F226" s="103" t="s">
        <v>1004</v>
      </c>
      <c r="G226" s="91"/>
      <c r="H226" s="91" t="s">
        <v>261</v>
      </c>
      <c r="I226" s="91"/>
      <c r="J226" s="434">
        <v>10.877000000000001</v>
      </c>
      <c r="K226" s="434">
        <v>1.9510000000000001</v>
      </c>
      <c r="L226" s="434">
        <v>0.214</v>
      </c>
      <c r="M226" s="339">
        <v>20.03</v>
      </c>
      <c r="N226" s="339">
        <v>0</v>
      </c>
      <c r="O226" s="339">
        <v>0</v>
      </c>
      <c r="P226" s="434">
        <v>0</v>
      </c>
    </row>
    <row r="227" spans="4:16" x14ac:dyDescent="0.25">
      <c r="F227" s="99" t="s">
        <v>929</v>
      </c>
      <c r="G227" s="196"/>
      <c r="H227" s="196" t="s">
        <v>261</v>
      </c>
      <c r="I227" s="196"/>
      <c r="J227" s="450">
        <v>10.877000000000001</v>
      </c>
      <c r="K227" s="450">
        <v>1.9510000000000001</v>
      </c>
      <c r="L227" s="450">
        <v>0.214</v>
      </c>
      <c r="M227" s="451">
        <v>0</v>
      </c>
      <c r="N227" s="451">
        <v>0</v>
      </c>
      <c r="O227" s="451">
        <v>0</v>
      </c>
      <c r="P227" s="450">
        <v>0</v>
      </c>
    </row>
    <row r="228" spans="4:16" x14ac:dyDescent="0.25">
      <c r="F228" s="99" t="s">
        <v>1005</v>
      </c>
      <c r="G228" s="196"/>
      <c r="H228" s="196" t="s">
        <v>261</v>
      </c>
      <c r="I228" s="196"/>
      <c r="J228" s="450">
        <v>13.265000000000001</v>
      </c>
      <c r="K228" s="450">
        <v>2.379</v>
      </c>
      <c r="L228" s="450">
        <v>0.26100000000000001</v>
      </c>
      <c r="M228" s="451">
        <v>5.32</v>
      </c>
      <c r="N228" s="451">
        <v>0</v>
      </c>
      <c r="O228" s="451">
        <v>0</v>
      </c>
      <c r="P228" s="450">
        <v>0</v>
      </c>
    </row>
    <row r="229" spans="4:16" x14ac:dyDescent="0.25">
      <c r="F229" s="99" t="s">
        <v>1006</v>
      </c>
      <c r="G229" s="196"/>
      <c r="H229" s="196" t="s">
        <v>261</v>
      </c>
      <c r="I229" s="196"/>
      <c r="J229" s="450">
        <v>13.265000000000001</v>
      </c>
      <c r="K229" s="450">
        <v>2.379</v>
      </c>
      <c r="L229" s="450">
        <v>0.26100000000000001</v>
      </c>
      <c r="M229" s="451">
        <v>10.98</v>
      </c>
      <c r="N229" s="451">
        <v>0</v>
      </c>
      <c r="O229" s="451">
        <v>0</v>
      </c>
      <c r="P229" s="450">
        <v>0</v>
      </c>
    </row>
    <row r="230" spans="4:16" x14ac:dyDescent="0.25">
      <c r="F230" s="99" t="s">
        <v>1007</v>
      </c>
      <c r="G230" s="196"/>
      <c r="H230" s="196" t="s">
        <v>261</v>
      </c>
      <c r="I230" s="196"/>
      <c r="J230" s="450">
        <v>13.265000000000001</v>
      </c>
      <c r="K230" s="450">
        <v>2.379</v>
      </c>
      <c r="L230" s="450">
        <v>0.26100000000000001</v>
      </c>
      <c r="M230" s="451">
        <v>35.94</v>
      </c>
      <c r="N230" s="451">
        <v>0</v>
      </c>
      <c r="O230" s="451">
        <v>0</v>
      </c>
      <c r="P230" s="450">
        <v>0</v>
      </c>
    </row>
    <row r="231" spans="4:16" x14ac:dyDescent="0.25">
      <c r="F231" s="99" t="s">
        <v>1008</v>
      </c>
      <c r="G231" s="196"/>
      <c r="H231" s="196" t="s">
        <v>261</v>
      </c>
      <c r="I231" s="196"/>
      <c r="J231" s="450">
        <v>13.265000000000001</v>
      </c>
      <c r="K231" s="450">
        <v>2.379</v>
      </c>
      <c r="L231" s="450">
        <v>0.26100000000000001</v>
      </c>
      <c r="M231" s="451">
        <v>81.19</v>
      </c>
      <c r="N231" s="451">
        <v>0</v>
      </c>
      <c r="O231" s="451">
        <v>0</v>
      </c>
      <c r="P231" s="450">
        <v>0</v>
      </c>
    </row>
    <row r="232" spans="4:16" x14ac:dyDescent="0.25">
      <c r="F232" s="99" t="s">
        <v>1009</v>
      </c>
      <c r="G232" s="196"/>
      <c r="H232" s="196" t="s">
        <v>261</v>
      </c>
      <c r="I232" s="196"/>
      <c r="J232" s="450">
        <v>13.265000000000001</v>
      </c>
      <c r="K232" s="450">
        <v>2.379</v>
      </c>
      <c r="L232" s="450">
        <v>0.26100000000000001</v>
      </c>
      <c r="M232" s="451">
        <v>250.02</v>
      </c>
      <c r="N232" s="451">
        <v>0</v>
      </c>
      <c r="O232" s="451">
        <v>0</v>
      </c>
      <c r="P232" s="450">
        <v>0</v>
      </c>
    </row>
    <row r="233" spans="4:16" s="293" customFormat="1" x14ac:dyDescent="0.25">
      <c r="D233" s="98"/>
      <c r="E233" s="98"/>
      <c r="F233" s="99" t="s">
        <v>931</v>
      </c>
      <c r="G233" s="196"/>
      <c r="H233" s="196" t="s">
        <v>261</v>
      </c>
      <c r="I233" s="196"/>
      <c r="J233" s="450">
        <v>13.265000000000001</v>
      </c>
      <c r="K233" s="450">
        <v>2.379</v>
      </c>
      <c r="L233" s="450">
        <v>0.26100000000000001</v>
      </c>
      <c r="M233" s="451">
        <v>0</v>
      </c>
      <c r="N233" s="451">
        <v>0</v>
      </c>
      <c r="O233" s="451">
        <v>0</v>
      </c>
      <c r="P233" s="450">
        <v>0</v>
      </c>
    </row>
    <row r="234" spans="4:16" s="293" customFormat="1" x14ac:dyDescent="0.25">
      <c r="D234" s="98"/>
      <c r="E234" s="98"/>
      <c r="F234" s="99" t="s">
        <v>1010</v>
      </c>
      <c r="G234" s="196"/>
      <c r="H234" s="196" t="s">
        <v>261</v>
      </c>
      <c r="I234" s="196"/>
      <c r="J234" s="450">
        <v>8.7609999999999992</v>
      </c>
      <c r="K234" s="450">
        <v>1.452</v>
      </c>
      <c r="L234" s="450">
        <v>0.16600000000000001</v>
      </c>
      <c r="M234" s="451">
        <v>21.22</v>
      </c>
      <c r="N234" s="451">
        <v>2.96</v>
      </c>
      <c r="O234" s="451">
        <v>5.01</v>
      </c>
      <c r="P234" s="450">
        <v>0.439</v>
      </c>
    </row>
    <row r="235" spans="4:16" s="293" customFormat="1" x14ac:dyDescent="0.25">
      <c r="D235" s="98"/>
      <c r="E235" s="98"/>
      <c r="F235" s="99" t="s">
        <v>1011</v>
      </c>
      <c r="G235" s="196"/>
      <c r="H235" s="196" t="s">
        <v>261</v>
      </c>
      <c r="I235" s="196"/>
      <c r="J235" s="450">
        <v>8.7609999999999992</v>
      </c>
      <c r="K235" s="450">
        <v>1.452</v>
      </c>
      <c r="L235" s="450">
        <v>0.16600000000000001</v>
      </c>
      <c r="M235" s="451">
        <v>390.82</v>
      </c>
      <c r="N235" s="451">
        <v>2.96</v>
      </c>
      <c r="O235" s="451">
        <v>5.01</v>
      </c>
      <c r="P235" s="450">
        <v>0.439</v>
      </c>
    </row>
    <row r="236" spans="4:16" x14ac:dyDescent="0.25">
      <c r="F236" s="99" t="s">
        <v>1012</v>
      </c>
      <c r="G236" s="196"/>
      <c r="H236" s="196" t="s">
        <v>261</v>
      </c>
      <c r="I236" s="196"/>
      <c r="J236" s="450">
        <v>8.7609999999999992</v>
      </c>
      <c r="K236" s="450">
        <v>1.452</v>
      </c>
      <c r="L236" s="450">
        <v>0.16600000000000001</v>
      </c>
      <c r="M236" s="451">
        <v>871.42</v>
      </c>
      <c r="N236" s="451">
        <v>2.96</v>
      </c>
      <c r="O236" s="451">
        <v>5.01</v>
      </c>
      <c r="P236" s="450">
        <v>0.439</v>
      </c>
    </row>
    <row r="237" spans="4:16" x14ac:dyDescent="0.25">
      <c r="F237" s="99" t="s">
        <v>1013</v>
      </c>
      <c r="G237" s="196"/>
      <c r="H237" s="196" t="s">
        <v>261</v>
      </c>
      <c r="I237" s="196"/>
      <c r="J237" s="450">
        <v>8.7609999999999992</v>
      </c>
      <c r="K237" s="450">
        <v>1.452</v>
      </c>
      <c r="L237" s="450">
        <v>0.16600000000000001</v>
      </c>
      <c r="M237" s="451">
        <v>1453.35</v>
      </c>
      <c r="N237" s="451">
        <v>2.96</v>
      </c>
      <c r="O237" s="451">
        <v>5.01</v>
      </c>
      <c r="P237" s="450">
        <v>0.439</v>
      </c>
    </row>
    <row r="238" spans="4:16" x14ac:dyDescent="0.25">
      <c r="F238" s="99" t="s">
        <v>1014</v>
      </c>
      <c r="G238" s="196"/>
      <c r="H238" s="196" t="s">
        <v>261</v>
      </c>
      <c r="I238" s="196"/>
      <c r="J238" s="450">
        <v>8.7609999999999992</v>
      </c>
      <c r="K238" s="450">
        <v>1.452</v>
      </c>
      <c r="L238" s="450">
        <v>0.16600000000000001</v>
      </c>
      <c r="M238" s="451">
        <v>3141.53</v>
      </c>
      <c r="N238" s="451">
        <v>2.96</v>
      </c>
      <c r="O238" s="451">
        <v>5.01</v>
      </c>
      <c r="P238" s="450">
        <v>0.439</v>
      </c>
    </row>
    <row r="239" spans="4:16" x14ac:dyDescent="0.25">
      <c r="F239" s="99" t="s">
        <v>1015</v>
      </c>
      <c r="G239" s="196"/>
      <c r="H239" s="196" t="s">
        <v>261</v>
      </c>
      <c r="I239" s="196"/>
      <c r="J239" s="450">
        <v>7.0149999999999997</v>
      </c>
      <c r="K239" s="450">
        <v>0.95099999999999996</v>
      </c>
      <c r="L239" s="450">
        <v>0.121</v>
      </c>
      <c r="M239" s="451">
        <v>7.49</v>
      </c>
      <c r="N239" s="451">
        <v>5.84</v>
      </c>
      <c r="O239" s="451">
        <v>7.87</v>
      </c>
      <c r="P239" s="450">
        <v>0.29199999999999998</v>
      </c>
    </row>
    <row r="240" spans="4:16" s="293" customFormat="1" x14ac:dyDescent="0.25">
      <c r="D240" s="98"/>
      <c r="E240" s="98"/>
      <c r="F240" s="99" t="s">
        <v>1016</v>
      </c>
      <c r="G240" s="196"/>
      <c r="H240" s="196" t="s">
        <v>261</v>
      </c>
      <c r="I240" s="196"/>
      <c r="J240" s="450">
        <v>7.0149999999999997</v>
      </c>
      <c r="K240" s="450">
        <v>0.95099999999999996</v>
      </c>
      <c r="L240" s="450">
        <v>0.121</v>
      </c>
      <c r="M240" s="451">
        <v>377.09</v>
      </c>
      <c r="N240" s="451">
        <v>5.84</v>
      </c>
      <c r="O240" s="451">
        <v>7.87</v>
      </c>
      <c r="P240" s="450">
        <v>0.29199999999999998</v>
      </c>
    </row>
    <row r="241" spans="4:16" s="293" customFormat="1" x14ac:dyDescent="0.25">
      <c r="D241" s="98"/>
      <c r="E241" s="98"/>
      <c r="F241" s="99" t="s">
        <v>1017</v>
      </c>
      <c r="G241" s="196"/>
      <c r="H241" s="196" t="s">
        <v>261</v>
      </c>
      <c r="I241" s="196"/>
      <c r="J241" s="450">
        <v>7.0149999999999997</v>
      </c>
      <c r="K241" s="450">
        <v>0.95099999999999996</v>
      </c>
      <c r="L241" s="450">
        <v>0.121</v>
      </c>
      <c r="M241" s="451">
        <v>857.69</v>
      </c>
      <c r="N241" s="451">
        <v>5.84</v>
      </c>
      <c r="O241" s="451">
        <v>7.87</v>
      </c>
      <c r="P241" s="450">
        <v>0.29199999999999998</v>
      </c>
    </row>
    <row r="242" spans="4:16" s="293" customFormat="1" x14ac:dyDescent="0.25">
      <c r="D242" s="98"/>
      <c r="E242" s="98"/>
      <c r="F242" s="99" t="s">
        <v>1018</v>
      </c>
      <c r="G242" s="196"/>
      <c r="H242" s="196" t="s">
        <v>261</v>
      </c>
      <c r="I242" s="196"/>
      <c r="J242" s="450">
        <v>7.0149999999999997</v>
      </c>
      <c r="K242" s="450">
        <v>0.95099999999999996</v>
      </c>
      <c r="L242" s="450">
        <v>0.121</v>
      </c>
      <c r="M242" s="451">
        <v>1439.62</v>
      </c>
      <c r="N242" s="451">
        <v>5.84</v>
      </c>
      <c r="O242" s="451">
        <v>7.87</v>
      </c>
      <c r="P242" s="450">
        <v>0.29199999999999998</v>
      </c>
    </row>
    <row r="243" spans="4:16" s="293" customFormat="1" x14ac:dyDescent="0.25">
      <c r="D243" s="98"/>
      <c r="E243" s="98"/>
      <c r="F243" s="99" t="s">
        <v>1019</v>
      </c>
      <c r="G243" s="196"/>
      <c r="H243" s="196" t="s">
        <v>261</v>
      </c>
      <c r="I243" s="196"/>
      <c r="J243" s="450">
        <v>7.0149999999999997</v>
      </c>
      <c r="K243" s="450">
        <v>0.95099999999999996</v>
      </c>
      <c r="L243" s="450">
        <v>0.121</v>
      </c>
      <c r="M243" s="451">
        <v>3127.8</v>
      </c>
      <c r="N243" s="451">
        <v>5.84</v>
      </c>
      <c r="O243" s="451">
        <v>7.87</v>
      </c>
      <c r="P243" s="450">
        <v>0.29199999999999998</v>
      </c>
    </row>
    <row r="244" spans="4:16" s="293" customFormat="1" x14ac:dyDescent="0.25">
      <c r="D244" s="98"/>
      <c r="E244" s="98"/>
      <c r="F244" s="99" t="s">
        <v>1020</v>
      </c>
      <c r="G244" s="196"/>
      <c r="H244" s="196" t="s">
        <v>261</v>
      </c>
      <c r="I244" s="196"/>
      <c r="J244" s="450">
        <v>5.28</v>
      </c>
      <c r="K244" s="450">
        <v>0.628</v>
      </c>
      <c r="L244" s="450">
        <v>0.08</v>
      </c>
      <c r="M244" s="451">
        <v>113.4</v>
      </c>
      <c r="N244" s="451">
        <v>4.67</v>
      </c>
      <c r="O244" s="451">
        <v>7.33</v>
      </c>
      <c r="P244" s="450">
        <v>0.19500000000000001</v>
      </c>
    </row>
    <row r="245" spans="4:16" s="293" customFormat="1" x14ac:dyDescent="0.25">
      <c r="D245" s="98"/>
      <c r="E245" s="98"/>
      <c r="F245" s="99" t="s">
        <v>1021</v>
      </c>
      <c r="G245" s="196"/>
      <c r="H245" s="196" t="s">
        <v>261</v>
      </c>
      <c r="I245" s="196"/>
      <c r="J245" s="450">
        <v>5.28</v>
      </c>
      <c r="K245" s="450">
        <v>0.628</v>
      </c>
      <c r="L245" s="450">
        <v>0.08</v>
      </c>
      <c r="M245" s="451">
        <v>2225.66</v>
      </c>
      <c r="N245" s="451">
        <v>4.67</v>
      </c>
      <c r="O245" s="451">
        <v>7.33</v>
      </c>
      <c r="P245" s="450">
        <v>0.19500000000000001</v>
      </c>
    </row>
    <row r="246" spans="4:16" s="293" customFormat="1" x14ac:dyDescent="0.25">
      <c r="D246" s="98"/>
      <c r="E246" s="98"/>
      <c r="F246" s="99" t="s">
        <v>1022</v>
      </c>
      <c r="G246" s="196"/>
      <c r="H246" s="196" t="s">
        <v>261</v>
      </c>
      <c r="I246" s="196"/>
      <c r="J246" s="450">
        <v>5.28</v>
      </c>
      <c r="K246" s="450">
        <v>0.628</v>
      </c>
      <c r="L246" s="450">
        <v>0.08</v>
      </c>
      <c r="M246" s="451">
        <v>7970.45</v>
      </c>
      <c r="N246" s="451">
        <v>4.67</v>
      </c>
      <c r="O246" s="451">
        <v>7.33</v>
      </c>
      <c r="P246" s="450">
        <v>0.19500000000000001</v>
      </c>
    </row>
    <row r="247" spans="4:16" s="293" customFormat="1" x14ac:dyDescent="0.25">
      <c r="D247" s="98"/>
      <c r="E247" s="98"/>
      <c r="F247" s="99" t="s">
        <v>1023</v>
      </c>
      <c r="G247" s="196"/>
      <c r="H247" s="196" t="s">
        <v>261</v>
      </c>
      <c r="I247" s="196"/>
      <c r="J247" s="450">
        <v>5.28</v>
      </c>
      <c r="K247" s="450">
        <v>0.628</v>
      </c>
      <c r="L247" s="450">
        <v>0.08</v>
      </c>
      <c r="M247" s="451">
        <v>16026.49</v>
      </c>
      <c r="N247" s="451">
        <v>4.67</v>
      </c>
      <c r="O247" s="451">
        <v>7.33</v>
      </c>
      <c r="P247" s="450">
        <v>0.19500000000000001</v>
      </c>
    </row>
    <row r="248" spans="4:16" s="293" customFormat="1" x14ac:dyDescent="0.25">
      <c r="D248" s="98"/>
      <c r="E248" s="98"/>
      <c r="F248" s="99" t="s">
        <v>1024</v>
      </c>
      <c r="G248" s="196"/>
      <c r="H248" s="196" t="s">
        <v>261</v>
      </c>
      <c r="I248" s="196"/>
      <c r="J248" s="450">
        <v>5.28</v>
      </c>
      <c r="K248" s="450">
        <v>0.628</v>
      </c>
      <c r="L248" s="450">
        <v>0.08</v>
      </c>
      <c r="M248" s="451">
        <v>30015.23</v>
      </c>
      <c r="N248" s="451">
        <v>4.67</v>
      </c>
      <c r="O248" s="451">
        <v>7.33</v>
      </c>
      <c r="P248" s="450">
        <v>0.19500000000000001</v>
      </c>
    </row>
    <row r="249" spans="4:16" s="293" customFormat="1" x14ac:dyDescent="0.25">
      <c r="D249" s="98"/>
      <c r="E249" s="98"/>
      <c r="F249" s="99" t="s">
        <v>935</v>
      </c>
      <c r="G249" s="196"/>
      <c r="H249" s="196" t="s">
        <v>261</v>
      </c>
      <c r="I249" s="196"/>
      <c r="J249" s="450">
        <v>20.550999999999998</v>
      </c>
      <c r="K249" s="450">
        <v>4.5999999999999996</v>
      </c>
      <c r="L249" s="450">
        <v>2.206</v>
      </c>
      <c r="M249" s="451">
        <v>0</v>
      </c>
      <c r="N249" s="451">
        <v>0</v>
      </c>
      <c r="O249" s="451">
        <v>0</v>
      </c>
      <c r="P249" s="450">
        <v>0</v>
      </c>
    </row>
    <row r="250" spans="4:16" s="293" customFormat="1" x14ac:dyDescent="0.25">
      <c r="D250" s="98"/>
      <c r="E250" s="98"/>
      <c r="F250" s="99" t="s">
        <v>936</v>
      </c>
      <c r="G250" s="196"/>
      <c r="H250" s="196" t="s">
        <v>261</v>
      </c>
      <c r="I250" s="196"/>
      <c r="J250" s="450">
        <v>-8.2170000000000005</v>
      </c>
      <c r="K250" s="450">
        <v>-1.474</v>
      </c>
      <c r="L250" s="450">
        <v>-0.16200000000000001</v>
      </c>
      <c r="M250" s="451">
        <v>0</v>
      </c>
      <c r="N250" s="451">
        <v>0</v>
      </c>
      <c r="O250" s="451">
        <v>0</v>
      </c>
      <c r="P250" s="450">
        <v>0</v>
      </c>
    </row>
    <row r="251" spans="4:16" s="293" customFormat="1" x14ac:dyDescent="0.25">
      <c r="D251" s="98"/>
      <c r="E251" s="98"/>
      <c r="F251" s="99" t="s">
        <v>937</v>
      </c>
      <c r="G251" s="196"/>
      <c r="H251" s="196" t="s">
        <v>261</v>
      </c>
      <c r="I251" s="196"/>
      <c r="J251" s="450">
        <v>-7.4279999999999999</v>
      </c>
      <c r="K251" s="450">
        <v>-1.2749999999999999</v>
      </c>
      <c r="L251" s="450">
        <v>-0.14299999999999999</v>
      </c>
      <c r="M251" s="451">
        <v>0</v>
      </c>
      <c r="N251" s="451">
        <v>0</v>
      </c>
      <c r="O251" s="451">
        <v>0</v>
      </c>
      <c r="P251" s="450">
        <v>0</v>
      </c>
    </row>
    <row r="252" spans="4:16" s="293" customFormat="1" x14ac:dyDescent="0.25">
      <c r="D252" s="98"/>
      <c r="E252" s="98"/>
      <c r="F252" s="99" t="s">
        <v>938</v>
      </c>
      <c r="G252" s="196"/>
      <c r="H252" s="196" t="s">
        <v>261</v>
      </c>
      <c r="I252" s="196"/>
      <c r="J252" s="450">
        <v>-8.2170000000000005</v>
      </c>
      <c r="K252" s="450">
        <v>-1.474</v>
      </c>
      <c r="L252" s="450">
        <v>-0.16200000000000001</v>
      </c>
      <c r="M252" s="451">
        <v>0</v>
      </c>
      <c r="N252" s="451">
        <v>0</v>
      </c>
      <c r="O252" s="451">
        <v>0</v>
      </c>
      <c r="P252" s="450">
        <v>0.377</v>
      </c>
    </row>
    <row r="253" spans="4:16" x14ac:dyDescent="0.25">
      <c r="F253" s="99" t="s">
        <v>939</v>
      </c>
      <c r="G253" s="196"/>
      <c r="H253" s="196" t="s">
        <v>261</v>
      </c>
      <c r="I253" s="196"/>
      <c r="J253" s="450">
        <v>-8.2170000000000005</v>
      </c>
      <c r="K253" s="450">
        <v>-1.474</v>
      </c>
      <c r="L253" s="450">
        <v>-0.16200000000000001</v>
      </c>
      <c r="M253" s="451">
        <v>0</v>
      </c>
      <c r="N253" s="451">
        <v>0</v>
      </c>
      <c r="O253" s="451">
        <v>0</v>
      </c>
      <c r="P253" s="450">
        <v>0</v>
      </c>
    </row>
    <row r="254" spans="4:16" x14ac:dyDescent="0.25">
      <c r="F254" s="99" t="s">
        <v>940</v>
      </c>
      <c r="G254" s="196"/>
      <c r="H254" s="196" t="s">
        <v>261</v>
      </c>
      <c r="I254" s="196"/>
      <c r="J254" s="450">
        <v>-7.4279999999999999</v>
      </c>
      <c r="K254" s="450">
        <v>-1.2749999999999999</v>
      </c>
      <c r="L254" s="450">
        <v>-0.14299999999999999</v>
      </c>
      <c r="M254" s="451">
        <v>0</v>
      </c>
      <c r="N254" s="451">
        <v>0</v>
      </c>
      <c r="O254" s="451">
        <v>0</v>
      </c>
      <c r="P254" s="450">
        <v>0.34699999999999998</v>
      </c>
    </row>
    <row r="255" spans="4:16" x14ac:dyDescent="0.25">
      <c r="F255" s="99" t="s">
        <v>941</v>
      </c>
      <c r="G255" s="196"/>
      <c r="H255" s="196" t="s">
        <v>261</v>
      </c>
      <c r="I255" s="196"/>
      <c r="J255" s="450">
        <v>-7.4279999999999999</v>
      </c>
      <c r="K255" s="450">
        <v>-1.2749999999999999</v>
      </c>
      <c r="L255" s="450">
        <v>-0.14299999999999999</v>
      </c>
      <c r="M255" s="451">
        <v>0</v>
      </c>
      <c r="N255" s="451">
        <v>0</v>
      </c>
      <c r="O255" s="451">
        <v>0</v>
      </c>
      <c r="P255" s="450">
        <v>0</v>
      </c>
    </row>
    <row r="256" spans="4:16" x14ac:dyDescent="0.25">
      <c r="F256" s="99" t="s">
        <v>942</v>
      </c>
      <c r="G256" s="196"/>
      <c r="H256" s="196" t="s">
        <v>261</v>
      </c>
      <c r="I256" s="196"/>
      <c r="J256" s="450">
        <v>-5.484</v>
      </c>
      <c r="K256" s="450">
        <v>-0.71799999999999997</v>
      </c>
      <c r="L256" s="450">
        <v>-0.09</v>
      </c>
      <c r="M256" s="451">
        <v>82.8</v>
      </c>
      <c r="N256" s="451">
        <v>0</v>
      </c>
      <c r="O256" s="451">
        <v>0</v>
      </c>
      <c r="P256" s="450">
        <v>0.26800000000000002</v>
      </c>
    </row>
    <row r="257" spans="4:16" x14ac:dyDescent="0.25">
      <c r="F257" s="100" t="s">
        <v>943</v>
      </c>
      <c r="G257" s="93"/>
      <c r="H257" s="93" t="s">
        <v>261</v>
      </c>
      <c r="I257" s="93"/>
      <c r="J257" s="435">
        <v>-5.484</v>
      </c>
      <c r="K257" s="435">
        <v>-0.71799999999999997</v>
      </c>
      <c r="L257" s="435">
        <v>-0.09</v>
      </c>
      <c r="M257" s="341">
        <v>82.8</v>
      </c>
      <c r="N257" s="341">
        <v>0</v>
      </c>
      <c r="O257" s="341">
        <v>0</v>
      </c>
      <c r="P257" s="435">
        <v>0</v>
      </c>
    </row>
    <row r="258" spans="4:16" x14ac:dyDescent="0.25">
      <c r="F258" s="98"/>
      <c r="G258" s="293"/>
      <c r="H258" s="293"/>
      <c r="I258" s="293"/>
      <c r="J258" s="342"/>
      <c r="K258" s="342"/>
      <c r="L258" s="342"/>
      <c r="M258" s="342"/>
      <c r="N258" s="342"/>
      <c r="O258" s="342"/>
      <c r="P258" s="436"/>
    </row>
    <row r="259" spans="4:16" x14ac:dyDescent="0.25">
      <c r="D259" s="96"/>
      <c r="E259" s="96" t="str">
        <f>"LDNO LV tariff forecast "&amp; 'ARP_User control'!G32</f>
        <v>LDNO LV tariff forecast 2023/24</v>
      </c>
      <c r="F259" s="98"/>
      <c r="G259" s="293"/>
      <c r="H259" s="293"/>
      <c r="I259" s="293"/>
      <c r="J259" s="342"/>
      <c r="K259" s="342"/>
      <c r="L259" s="342"/>
      <c r="M259" s="342"/>
      <c r="N259" s="342"/>
      <c r="O259" s="342"/>
      <c r="P259" s="436"/>
    </row>
    <row r="260" spans="4:16" x14ac:dyDescent="0.25">
      <c r="F260" s="103" t="s">
        <v>1004</v>
      </c>
      <c r="G260" s="91"/>
      <c r="H260" s="91" t="s">
        <v>146</v>
      </c>
      <c r="I260" s="91"/>
      <c r="J260" s="434">
        <v>6.7480000000000002</v>
      </c>
      <c r="K260" s="434">
        <v>1.21</v>
      </c>
      <c r="L260" s="434">
        <v>0.13300000000000001</v>
      </c>
      <c r="M260" s="339">
        <v>12.43</v>
      </c>
      <c r="N260" s="339">
        <v>0</v>
      </c>
      <c r="O260" s="339">
        <v>0</v>
      </c>
      <c r="P260" s="434">
        <v>0</v>
      </c>
    </row>
    <row r="261" spans="4:16" x14ac:dyDescent="0.25">
      <c r="F261" s="99" t="s">
        <v>929</v>
      </c>
      <c r="G261" s="196"/>
      <c r="H261" s="196" t="s">
        <v>146</v>
      </c>
      <c r="I261" s="196"/>
      <c r="J261" s="450">
        <v>6.7480000000000002</v>
      </c>
      <c r="K261" s="450">
        <v>1.21</v>
      </c>
      <c r="L261" s="450">
        <v>0.13300000000000001</v>
      </c>
      <c r="M261" s="451">
        <v>0</v>
      </c>
      <c r="N261" s="451">
        <v>0</v>
      </c>
      <c r="O261" s="451">
        <v>0</v>
      </c>
      <c r="P261" s="450">
        <v>0</v>
      </c>
    </row>
    <row r="262" spans="4:16" x14ac:dyDescent="0.25">
      <c r="F262" s="99" t="s">
        <v>1005</v>
      </c>
      <c r="G262" s="196"/>
      <c r="H262" s="196" t="s">
        <v>146</v>
      </c>
      <c r="I262" s="196"/>
      <c r="J262" s="450">
        <v>8.2289999999999992</v>
      </c>
      <c r="K262" s="450">
        <v>1.476</v>
      </c>
      <c r="L262" s="450">
        <v>0.16200000000000001</v>
      </c>
      <c r="M262" s="451">
        <v>3.3</v>
      </c>
      <c r="N262" s="451">
        <v>0</v>
      </c>
      <c r="O262" s="451">
        <v>0</v>
      </c>
      <c r="P262" s="450">
        <v>0</v>
      </c>
    </row>
    <row r="263" spans="4:16" x14ac:dyDescent="0.25">
      <c r="F263" s="99" t="s">
        <v>1006</v>
      </c>
      <c r="G263" s="196"/>
      <c r="H263" s="196" t="s">
        <v>146</v>
      </c>
      <c r="I263" s="196"/>
      <c r="J263" s="450">
        <v>8.2289999999999992</v>
      </c>
      <c r="K263" s="450">
        <v>1.476</v>
      </c>
      <c r="L263" s="450">
        <v>0.16200000000000001</v>
      </c>
      <c r="M263" s="451">
        <v>6.81</v>
      </c>
      <c r="N263" s="451">
        <v>0</v>
      </c>
      <c r="O263" s="451">
        <v>0</v>
      </c>
      <c r="P263" s="450">
        <v>0</v>
      </c>
    </row>
    <row r="264" spans="4:16" x14ac:dyDescent="0.25">
      <c r="F264" s="99" t="s">
        <v>1007</v>
      </c>
      <c r="G264" s="196"/>
      <c r="H264" s="196" t="s">
        <v>146</v>
      </c>
      <c r="I264" s="196"/>
      <c r="J264" s="450">
        <v>8.2289999999999992</v>
      </c>
      <c r="K264" s="450">
        <v>1.476</v>
      </c>
      <c r="L264" s="450">
        <v>0.16200000000000001</v>
      </c>
      <c r="M264" s="451">
        <v>22.29</v>
      </c>
      <c r="N264" s="451">
        <v>0</v>
      </c>
      <c r="O264" s="451">
        <v>0</v>
      </c>
      <c r="P264" s="450">
        <v>0</v>
      </c>
    </row>
    <row r="265" spans="4:16" x14ac:dyDescent="0.25">
      <c r="F265" s="99" t="s">
        <v>1008</v>
      </c>
      <c r="G265" s="196"/>
      <c r="H265" s="196" t="s">
        <v>146</v>
      </c>
      <c r="I265" s="196"/>
      <c r="J265" s="450">
        <v>8.2289999999999992</v>
      </c>
      <c r="K265" s="450">
        <v>1.476</v>
      </c>
      <c r="L265" s="450">
        <v>0.16200000000000001</v>
      </c>
      <c r="M265" s="451">
        <v>50.36</v>
      </c>
      <c r="N265" s="451">
        <v>0</v>
      </c>
      <c r="O265" s="451">
        <v>0</v>
      </c>
      <c r="P265" s="450">
        <v>0</v>
      </c>
    </row>
    <row r="266" spans="4:16" x14ac:dyDescent="0.25">
      <c r="F266" s="99" t="s">
        <v>1009</v>
      </c>
      <c r="G266" s="196"/>
      <c r="H266" s="196" t="s">
        <v>146</v>
      </c>
      <c r="I266" s="196"/>
      <c r="J266" s="450">
        <v>8.2289999999999992</v>
      </c>
      <c r="K266" s="450">
        <v>1.476</v>
      </c>
      <c r="L266" s="450">
        <v>0.16200000000000001</v>
      </c>
      <c r="M266" s="451">
        <v>155.1</v>
      </c>
      <c r="N266" s="451">
        <v>0</v>
      </c>
      <c r="O266" s="451">
        <v>0</v>
      </c>
      <c r="P266" s="450">
        <v>0</v>
      </c>
    </row>
    <row r="267" spans="4:16" s="293" customFormat="1" x14ac:dyDescent="0.25">
      <c r="D267" s="98"/>
      <c r="E267" s="98"/>
      <c r="F267" s="99" t="s">
        <v>931</v>
      </c>
      <c r="G267" s="196"/>
      <c r="H267" s="196" t="s">
        <v>146</v>
      </c>
      <c r="I267" s="196"/>
      <c r="J267" s="450">
        <v>8.2289999999999992</v>
      </c>
      <c r="K267" s="450">
        <v>1.476</v>
      </c>
      <c r="L267" s="450">
        <v>0.16200000000000001</v>
      </c>
      <c r="M267" s="451">
        <v>0</v>
      </c>
      <c r="N267" s="451">
        <v>0</v>
      </c>
      <c r="O267" s="451">
        <v>0</v>
      </c>
      <c r="P267" s="450">
        <v>0</v>
      </c>
    </row>
    <row r="268" spans="4:16" s="293" customFormat="1" x14ac:dyDescent="0.25">
      <c r="D268" s="98"/>
      <c r="E268" s="98"/>
      <c r="F268" s="99" t="s">
        <v>1010</v>
      </c>
      <c r="G268" s="196"/>
      <c r="H268" s="196" t="s">
        <v>146</v>
      </c>
      <c r="I268" s="196"/>
      <c r="J268" s="450">
        <v>5.4349999999999996</v>
      </c>
      <c r="K268" s="450">
        <v>0.90100000000000002</v>
      </c>
      <c r="L268" s="450">
        <v>0.10299999999999999</v>
      </c>
      <c r="M268" s="451">
        <v>13.16</v>
      </c>
      <c r="N268" s="451">
        <v>1.84</v>
      </c>
      <c r="O268" s="451">
        <v>3.11</v>
      </c>
      <c r="P268" s="450">
        <v>0.27200000000000002</v>
      </c>
    </row>
    <row r="269" spans="4:16" s="293" customFormat="1" x14ac:dyDescent="0.25">
      <c r="D269" s="98"/>
      <c r="E269" s="98"/>
      <c r="F269" s="99" t="s">
        <v>1011</v>
      </c>
      <c r="G269" s="196"/>
      <c r="H269" s="196" t="s">
        <v>146</v>
      </c>
      <c r="I269" s="196"/>
      <c r="J269" s="450">
        <v>5.4349999999999996</v>
      </c>
      <c r="K269" s="450">
        <v>0.90100000000000002</v>
      </c>
      <c r="L269" s="450">
        <v>0.10299999999999999</v>
      </c>
      <c r="M269" s="451">
        <v>242.44</v>
      </c>
      <c r="N269" s="451">
        <v>1.84</v>
      </c>
      <c r="O269" s="451">
        <v>3.11</v>
      </c>
      <c r="P269" s="450">
        <v>0.27200000000000002</v>
      </c>
    </row>
    <row r="270" spans="4:16" x14ac:dyDescent="0.25">
      <c r="F270" s="99" t="s">
        <v>1012</v>
      </c>
      <c r="G270" s="196"/>
      <c r="H270" s="196" t="s">
        <v>146</v>
      </c>
      <c r="I270" s="196"/>
      <c r="J270" s="450">
        <v>5.4349999999999996</v>
      </c>
      <c r="K270" s="450">
        <v>0.90100000000000002</v>
      </c>
      <c r="L270" s="450">
        <v>0.10299999999999999</v>
      </c>
      <c r="M270" s="451">
        <v>540.58000000000004</v>
      </c>
      <c r="N270" s="451">
        <v>1.84</v>
      </c>
      <c r="O270" s="451">
        <v>3.11</v>
      </c>
      <c r="P270" s="450">
        <v>0.27200000000000002</v>
      </c>
    </row>
    <row r="271" spans="4:16" x14ac:dyDescent="0.25">
      <c r="F271" s="99" t="s">
        <v>1013</v>
      </c>
      <c r="G271" s="196"/>
      <c r="H271" s="196" t="s">
        <v>146</v>
      </c>
      <c r="I271" s="196"/>
      <c r="J271" s="450">
        <v>5.4349999999999996</v>
      </c>
      <c r="K271" s="450">
        <v>0.90100000000000002</v>
      </c>
      <c r="L271" s="450">
        <v>0.10299999999999999</v>
      </c>
      <c r="M271" s="451">
        <v>901.58</v>
      </c>
      <c r="N271" s="451">
        <v>1.84</v>
      </c>
      <c r="O271" s="451">
        <v>3.11</v>
      </c>
      <c r="P271" s="450">
        <v>0.27200000000000002</v>
      </c>
    </row>
    <row r="272" spans="4:16" x14ac:dyDescent="0.25">
      <c r="F272" s="99" t="s">
        <v>1014</v>
      </c>
      <c r="G272" s="196"/>
      <c r="H272" s="196" t="s">
        <v>146</v>
      </c>
      <c r="I272" s="196"/>
      <c r="J272" s="450">
        <v>5.4349999999999996</v>
      </c>
      <c r="K272" s="450">
        <v>0.90100000000000002</v>
      </c>
      <c r="L272" s="450">
        <v>0.10299999999999999</v>
      </c>
      <c r="M272" s="451">
        <v>1948.84</v>
      </c>
      <c r="N272" s="451">
        <v>1.84</v>
      </c>
      <c r="O272" s="451">
        <v>3.11</v>
      </c>
      <c r="P272" s="450">
        <v>0.27200000000000002</v>
      </c>
    </row>
    <row r="273" spans="4:16" x14ac:dyDescent="0.25">
      <c r="F273" s="99" t="s">
        <v>1015</v>
      </c>
      <c r="G273" s="196"/>
      <c r="H273" s="196" t="s">
        <v>146</v>
      </c>
      <c r="I273" s="196"/>
      <c r="J273" s="452">
        <v>0</v>
      </c>
      <c r="K273" s="452">
        <v>0</v>
      </c>
      <c r="L273" s="452">
        <v>0</v>
      </c>
      <c r="M273" s="453">
        <v>0</v>
      </c>
      <c r="N273" s="453">
        <v>0</v>
      </c>
      <c r="O273" s="453">
        <v>0</v>
      </c>
      <c r="P273" s="452">
        <v>0</v>
      </c>
    </row>
    <row r="274" spans="4:16" s="293" customFormat="1" x14ac:dyDescent="0.25">
      <c r="D274" s="98"/>
      <c r="E274" s="98"/>
      <c r="F274" s="99" t="s">
        <v>1016</v>
      </c>
      <c r="G274" s="196"/>
      <c r="H274" s="196" t="s">
        <v>146</v>
      </c>
      <c r="I274" s="196"/>
      <c r="J274" s="452">
        <v>0</v>
      </c>
      <c r="K274" s="452">
        <v>0</v>
      </c>
      <c r="L274" s="452">
        <v>0</v>
      </c>
      <c r="M274" s="453">
        <v>0</v>
      </c>
      <c r="N274" s="453">
        <v>0</v>
      </c>
      <c r="O274" s="453">
        <v>0</v>
      </c>
      <c r="P274" s="452">
        <v>0</v>
      </c>
    </row>
    <row r="275" spans="4:16" s="293" customFormat="1" x14ac:dyDescent="0.25">
      <c r="D275" s="98"/>
      <c r="E275" s="98"/>
      <c r="F275" s="99" t="s">
        <v>1017</v>
      </c>
      <c r="G275" s="196"/>
      <c r="H275" s="196" t="s">
        <v>146</v>
      </c>
      <c r="I275" s="196"/>
      <c r="J275" s="452">
        <v>0</v>
      </c>
      <c r="K275" s="452">
        <v>0</v>
      </c>
      <c r="L275" s="452">
        <v>0</v>
      </c>
      <c r="M275" s="453">
        <v>0</v>
      </c>
      <c r="N275" s="453">
        <v>0</v>
      </c>
      <c r="O275" s="453">
        <v>0</v>
      </c>
      <c r="P275" s="452">
        <v>0</v>
      </c>
    </row>
    <row r="276" spans="4:16" s="293" customFormat="1" x14ac:dyDescent="0.25">
      <c r="D276" s="98"/>
      <c r="E276" s="98"/>
      <c r="F276" s="99" t="s">
        <v>1018</v>
      </c>
      <c r="G276" s="196"/>
      <c r="H276" s="196" t="s">
        <v>146</v>
      </c>
      <c r="I276" s="196"/>
      <c r="J276" s="452">
        <v>0</v>
      </c>
      <c r="K276" s="452">
        <v>0</v>
      </c>
      <c r="L276" s="452">
        <v>0</v>
      </c>
      <c r="M276" s="453">
        <v>0</v>
      </c>
      <c r="N276" s="453">
        <v>0</v>
      </c>
      <c r="O276" s="453">
        <v>0</v>
      </c>
      <c r="P276" s="452">
        <v>0</v>
      </c>
    </row>
    <row r="277" spans="4:16" s="293" customFormat="1" x14ac:dyDescent="0.25">
      <c r="D277" s="98"/>
      <c r="E277" s="98"/>
      <c r="F277" s="99" t="s">
        <v>1019</v>
      </c>
      <c r="G277" s="196"/>
      <c r="H277" s="196" t="s">
        <v>146</v>
      </c>
      <c r="I277" s="196"/>
      <c r="J277" s="452">
        <v>0</v>
      </c>
      <c r="K277" s="452">
        <v>0</v>
      </c>
      <c r="L277" s="452">
        <v>0</v>
      </c>
      <c r="M277" s="453">
        <v>0</v>
      </c>
      <c r="N277" s="453">
        <v>0</v>
      </c>
      <c r="O277" s="453">
        <v>0</v>
      </c>
      <c r="P277" s="452">
        <v>0</v>
      </c>
    </row>
    <row r="278" spans="4:16" s="293" customFormat="1" x14ac:dyDescent="0.25">
      <c r="D278" s="98"/>
      <c r="E278" s="98"/>
      <c r="F278" s="99" t="s">
        <v>1020</v>
      </c>
      <c r="G278" s="196"/>
      <c r="H278" s="196" t="s">
        <v>146</v>
      </c>
      <c r="I278" s="196"/>
      <c r="J278" s="452">
        <v>0</v>
      </c>
      <c r="K278" s="452">
        <v>0</v>
      </c>
      <c r="L278" s="452">
        <v>0</v>
      </c>
      <c r="M278" s="453">
        <v>0</v>
      </c>
      <c r="N278" s="453">
        <v>0</v>
      </c>
      <c r="O278" s="453">
        <v>0</v>
      </c>
      <c r="P278" s="452">
        <v>0</v>
      </c>
    </row>
    <row r="279" spans="4:16" s="293" customFormat="1" x14ac:dyDescent="0.25">
      <c r="D279" s="98"/>
      <c r="E279" s="98"/>
      <c r="F279" s="99" t="s">
        <v>1021</v>
      </c>
      <c r="G279" s="196"/>
      <c r="H279" s="196" t="s">
        <v>146</v>
      </c>
      <c r="I279" s="196"/>
      <c r="J279" s="452">
        <v>0</v>
      </c>
      <c r="K279" s="452">
        <v>0</v>
      </c>
      <c r="L279" s="452">
        <v>0</v>
      </c>
      <c r="M279" s="453">
        <v>0</v>
      </c>
      <c r="N279" s="453">
        <v>0</v>
      </c>
      <c r="O279" s="453">
        <v>0</v>
      </c>
      <c r="P279" s="452">
        <v>0</v>
      </c>
    </row>
    <row r="280" spans="4:16" s="293" customFormat="1" x14ac:dyDescent="0.25">
      <c r="D280" s="98"/>
      <c r="E280" s="98"/>
      <c r="F280" s="99" t="s">
        <v>1022</v>
      </c>
      <c r="G280" s="196"/>
      <c r="H280" s="196" t="s">
        <v>146</v>
      </c>
      <c r="I280" s="196"/>
      <c r="J280" s="452">
        <v>0</v>
      </c>
      <c r="K280" s="452">
        <v>0</v>
      </c>
      <c r="L280" s="452">
        <v>0</v>
      </c>
      <c r="M280" s="453">
        <v>0</v>
      </c>
      <c r="N280" s="453">
        <v>0</v>
      </c>
      <c r="O280" s="453">
        <v>0</v>
      </c>
      <c r="P280" s="452">
        <v>0</v>
      </c>
    </row>
    <row r="281" spans="4:16" s="293" customFormat="1" x14ac:dyDescent="0.25">
      <c r="D281" s="98"/>
      <c r="E281" s="98"/>
      <c r="F281" s="99" t="s">
        <v>1023</v>
      </c>
      <c r="G281" s="196"/>
      <c r="H281" s="196" t="s">
        <v>146</v>
      </c>
      <c r="I281" s="196"/>
      <c r="J281" s="452">
        <v>0</v>
      </c>
      <c r="K281" s="452">
        <v>0</v>
      </c>
      <c r="L281" s="452">
        <v>0</v>
      </c>
      <c r="M281" s="453">
        <v>0</v>
      </c>
      <c r="N281" s="453">
        <v>0</v>
      </c>
      <c r="O281" s="453">
        <v>0</v>
      </c>
      <c r="P281" s="452">
        <v>0</v>
      </c>
    </row>
    <row r="282" spans="4:16" s="293" customFormat="1" x14ac:dyDescent="0.25">
      <c r="D282" s="98"/>
      <c r="E282" s="98"/>
      <c r="F282" s="99" t="s">
        <v>1024</v>
      </c>
      <c r="G282" s="196"/>
      <c r="H282" s="196" t="s">
        <v>146</v>
      </c>
      <c r="I282" s="196"/>
      <c r="J282" s="452">
        <v>0</v>
      </c>
      <c r="K282" s="452">
        <v>0</v>
      </c>
      <c r="L282" s="452">
        <v>0</v>
      </c>
      <c r="M282" s="453">
        <v>0</v>
      </c>
      <c r="N282" s="453">
        <v>0</v>
      </c>
      <c r="O282" s="453">
        <v>0</v>
      </c>
      <c r="P282" s="452">
        <v>0</v>
      </c>
    </row>
    <row r="283" spans="4:16" s="293" customFormat="1" x14ac:dyDescent="0.25">
      <c r="D283" s="98"/>
      <c r="E283" s="98"/>
      <c r="F283" s="99" t="s">
        <v>935</v>
      </c>
      <c r="G283" s="196"/>
      <c r="H283" s="196" t="s">
        <v>146</v>
      </c>
      <c r="I283" s="196"/>
      <c r="J283" s="450">
        <v>12.749000000000001</v>
      </c>
      <c r="K283" s="450">
        <v>2.8530000000000002</v>
      </c>
      <c r="L283" s="450">
        <v>1.3680000000000001</v>
      </c>
      <c r="M283" s="451">
        <v>0</v>
      </c>
      <c r="N283" s="451">
        <v>0</v>
      </c>
      <c r="O283" s="451">
        <v>0</v>
      </c>
      <c r="P283" s="450">
        <v>0</v>
      </c>
    </row>
    <row r="284" spans="4:16" s="293" customFormat="1" x14ac:dyDescent="0.25">
      <c r="D284" s="98"/>
      <c r="E284" s="98"/>
      <c r="F284" s="99" t="s">
        <v>936</v>
      </c>
      <c r="G284" s="196"/>
      <c r="H284" s="196" t="s">
        <v>146</v>
      </c>
      <c r="I284" s="196"/>
      <c r="J284" s="450">
        <v>-8.2170000000000005</v>
      </c>
      <c r="K284" s="450">
        <v>-1.474</v>
      </c>
      <c r="L284" s="450">
        <v>-0.16200000000000001</v>
      </c>
      <c r="M284" s="451">
        <v>0</v>
      </c>
      <c r="N284" s="451">
        <v>0</v>
      </c>
      <c r="O284" s="451">
        <v>0</v>
      </c>
      <c r="P284" s="450">
        <v>0</v>
      </c>
    </row>
    <row r="285" spans="4:16" s="293" customFormat="1" x14ac:dyDescent="0.25">
      <c r="D285" s="98"/>
      <c r="E285" s="98"/>
      <c r="F285" s="99" t="s">
        <v>937</v>
      </c>
      <c r="G285" s="196"/>
      <c r="H285" s="196" t="s">
        <v>146</v>
      </c>
      <c r="I285" s="196"/>
      <c r="J285" s="452">
        <v>0</v>
      </c>
      <c r="K285" s="452">
        <v>0</v>
      </c>
      <c r="L285" s="452">
        <v>0</v>
      </c>
      <c r="M285" s="453">
        <v>0</v>
      </c>
      <c r="N285" s="453">
        <v>0</v>
      </c>
      <c r="O285" s="453">
        <v>0</v>
      </c>
      <c r="P285" s="452">
        <v>0</v>
      </c>
    </row>
    <row r="286" spans="4:16" s="293" customFormat="1" x14ac:dyDescent="0.25">
      <c r="D286" s="98"/>
      <c r="E286" s="98"/>
      <c r="F286" s="99" t="s">
        <v>938</v>
      </c>
      <c r="G286" s="196"/>
      <c r="H286" s="196" t="s">
        <v>146</v>
      </c>
      <c r="I286" s="196"/>
      <c r="J286" s="450">
        <v>-8.2170000000000005</v>
      </c>
      <c r="K286" s="450">
        <v>-1.474</v>
      </c>
      <c r="L286" s="450">
        <v>-0.16200000000000001</v>
      </c>
      <c r="M286" s="451">
        <v>0</v>
      </c>
      <c r="N286" s="451">
        <v>0</v>
      </c>
      <c r="O286" s="451">
        <v>0</v>
      </c>
      <c r="P286" s="450">
        <v>0.377</v>
      </c>
    </row>
    <row r="287" spans="4:16" x14ac:dyDescent="0.25">
      <c r="F287" s="99" t="s">
        <v>939</v>
      </c>
      <c r="G287" s="196"/>
      <c r="H287" s="196" t="s">
        <v>146</v>
      </c>
      <c r="I287" s="196"/>
      <c r="J287" s="452">
        <v>0</v>
      </c>
      <c r="K287" s="452">
        <v>0</v>
      </c>
      <c r="L287" s="452">
        <v>0</v>
      </c>
      <c r="M287" s="453">
        <v>0</v>
      </c>
      <c r="N287" s="453">
        <v>0</v>
      </c>
      <c r="O287" s="453">
        <v>0</v>
      </c>
      <c r="P287" s="452">
        <v>0</v>
      </c>
    </row>
    <row r="288" spans="4:16" x14ac:dyDescent="0.25">
      <c r="F288" s="99" t="s">
        <v>940</v>
      </c>
      <c r="G288" s="196"/>
      <c r="H288" s="196" t="s">
        <v>146</v>
      </c>
      <c r="I288" s="196"/>
      <c r="J288" s="452">
        <v>0</v>
      </c>
      <c r="K288" s="452">
        <v>0</v>
      </c>
      <c r="L288" s="452">
        <v>0</v>
      </c>
      <c r="M288" s="453">
        <v>0</v>
      </c>
      <c r="N288" s="453">
        <v>0</v>
      </c>
      <c r="O288" s="453">
        <v>0</v>
      </c>
      <c r="P288" s="452">
        <v>0</v>
      </c>
    </row>
    <row r="289" spans="4:19" x14ac:dyDescent="0.25">
      <c r="F289" s="99" t="s">
        <v>941</v>
      </c>
      <c r="G289" s="196"/>
      <c r="H289" s="196" t="s">
        <v>146</v>
      </c>
      <c r="I289" s="196"/>
      <c r="J289" s="452">
        <v>0</v>
      </c>
      <c r="K289" s="452">
        <v>0</v>
      </c>
      <c r="L289" s="452">
        <v>0</v>
      </c>
      <c r="M289" s="453">
        <v>0</v>
      </c>
      <c r="N289" s="453">
        <v>0</v>
      </c>
      <c r="O289" s="453">
        <v>0</v>
      </c>
      <c r="P289" s="452">
        <v>0</v>
      </c>
    </row>
    <row r="290" spans="4:19" x14ac:dyDescent="0.25">
      <c r="F290" s="99" t="s">
        <v>942</v>
      </c>
      <c r="G290" s="196"/>
      <c r="H290" s="196" t="s">
        <v>146</v>
      </c>
      <c r="I290" s="196"/>
      <c r="J290" s="452">
        <v>0</v>
      </c>
      <c r="K290" s="452">
        <v>0</v>
      </c>
      <c r="L290" s="452">
        <v>0</v>
      </c>
      <c r="M290" s="453">
        <v>0</v>
      </c>
      <c r="N290" s="453">
        <v>0</v>
      </c>
      <c r="O290" s="453">
        <v>0</v>
      </c>
      <c r="P290" s="452">
        <v>0</v>
      </c>
    </row>
    <row r="291" spans="4:19" x14ac:dyDescent="0.25">
      <c r="F291" s="100" t="s">
        <v>943</v>
      </c>
      <c r="G291" s="93"/>
      <c r="H291" s="93" t="s">
        <v>146</v>
      </c>
      <c r="I291" s="93"/>
      <c r="J291" s="437">
        <v>0</v>
      </c>
      <c r="K291" s="437">
        <v>0</v>
      </c>
      <c r="L291" s="437">
        <v>0</v>
      </c>
      <c r="M291" s="343">
        <v>0</v>
      </c>
      <c r="N291" s="343">
        <v>0</v>
      </c>
      <c r="O291" s="343">
        <v>0</v>
      </c>
      <c r="P291" s="437">
        <v>0</v>
      </c>
    </row>
    <row r="292" spans="4:19" x14ac:dyDescent="0.25">
      <c r="D292" s="195"/>
      <c r="E292" s="195"/>
      <c r="F292" s="293"/>
      <c r="G292" s="293"/>
      <c r="H292" s="293"/>
      <c r="I292" s="293"/>
      <c r="J292" s="436"/>
      <c r="K292" s="436"/>
      <c r="L292" s="436"/>
      <c r="M292" s="342"/>
      <c r="N292" s="342"/>
      <c r="O292" s="342"/>
      <c r="P292" s="436"/>
      <c r="Q292" s="195"/>
      <c r="R292" s="195"/>
      <c r="S292" s="195"/>
    </row>
    <row r="293" spans="4:19" x14ac:dyDescent="0.25">
      <c r="D293" s="96"/>
      <c r="E293" s="96" t="str">
        <f>"LDNO HV tariff forecast "&amp; 'ARP_User control'!G32</f>
        <v>LDNO HV tariff forecast 2023/24</v>
      </c>
      <c r="F293" s="293"/>
      <c r="G293" s="293"/>
      <c r="H293" s="293"/>
      <c r="I293" s="293"/>
      <c r="J293" s="436"/>
      <c r="K293" s="436"/>
      <c r="L293" s="436"/>
      <c r="M293" s="342"/>
      <c r="N293" s="342"/>
      <c r="O293" s="342"/>
      <c r="P293" s="436"/>
      <c r="Q293" s="195"/>
      <c r="R293" s="195"/>
      <c r="S293" s="195"/>
    </row>
    <row r="294" spans="4:19" x14ac:dyDescent="0.25">
      <c r="F294" s="103" t="s">
        <v>1004</v>
      </c>
      <c r="G294" s="91"/>
      <c r="H294" s="91" t="s">
        <v>147</v>
      </c>
      <c r="I294" s="91"/>
      <c r="J294" s="434">
        <v>4.9059999999999997</v>
      </c>
      <c r="K294" s="434">
        <v>0.88</v>
      </c>
      <c r="L294" s="434">
        <v>9.7000000000000003E-2</v>
      </c>
      <c r="M294" s="339">
        <v>9.0399999999999991</v>
      </c>
      <c r="N294" s="339">
        <v>0</v>
      </c>
      <c r="O294" s="339">
        <v>0</v>
      </c>
      <c r="P294" s="434">
        <v>0</v>
      </c>
    </row>
    <row r="295" spans="4:19" x14ac:dyDescent="0.25">
      <c r="F295" s="99" t="s">
        <v>929</v>
      </c>
      <c r="G295" s="196"/>
      <c r="H295" s="196" t="s">
        <v>147</v>
      </c>
      <c r="I295" s="196"/>
      <c r="J295" s="450">
        <v>4.9059999999999997</v>
      </c>
      <c r="K295" s="450">
        <v>0.88</v>
      </c>
      <c r="L295" s="450">
        <v>9.7000000000000003E-2</v>
      </c>
      <c r="M295" s="451">
        <v>0</v>
      </c>
      <c r="N295" s="451">
        <v>0</v>
      </c>
      <c r="O295" s="451">
        <v>0</v>
      </c>
      <c r="P295" s="450">
        <v>0</v>
      </c>
    </row>
    <row r="296" spans="4:19" x14ac:dyDescent="0.25">
      <c r="F296" s="99" t="s">
        <v>1005</v>
      </c>
      <c r="G296" s="196"/>
      <c r="H296" s="196" t="s">
        <v>147</v>
      </c>
      <c r="I296" s="196"/>
      <c r="J296" s="450">
        <v>5.9829999999999997</v>
      </c>
      <c r="K296" s="450">
        <v>1.073</v>
      </c>
      <c r="L296" s="450">
        <v>0.11799999999999999</v>
      </c>
      <c r="M296" s="451">
        <v>2.4</v>
      </c>
      <c r="N296" s="451">
        <v>0</v>
      </c>
      <c r="O296" s="451">
        <v>0</v>
      </c>
      <c r="P296" s="450">
        <v>0</v>
      </c>
    </row>
    <row r="297" spans="4:19" x14ac:dyDescent="0.25">
      <c r="F297" s="99" t="s">
        <v>1006</v>
      </c>
      <c r="G297" s="196"/>
      <c r="H297" s="196" t="s">
        <v>147</v>
      </c>
      <c r="I297" s="196"/>
      <c r="J297" s="450">
        <v>5.9829999999999997</v>
      </c>
      <c r="K297" s="450">
        <v>1.073</v>
      </c>
      <c r="L297" s="450">
        <v>0.11799999999999999</v>
      </c>
      <c r="M297" s="451">
        <v>4.95</v>
      </c>
      <c r="N297" s="451">
        <v>0</v>
      </c>
      <c r="O297" s="451">
        <v>0</v>
      </c>
      <c r="P297" s="450">
        <v>0</v>
      </c>
    </row>
    <row r="298" spans="4:19" x14ac:dyDescent="0.25">
      <c r="F298" s="99" t="s">
        <v>1007</v>
      </c>
      <c r="G298" s="196"/>
      <c r="H298" s="196" t="s">
        <v>147</v>
      </c>
      <c r="I298" s="196"/>
      <c r="J298" s="450">
        <v>5.9829999999999997</v>
      </c>
      <c r="K298" s="450">
        <v>1.073</v>
      </c>
      <c r="L298" s="450">
        <v>0.11799999999999999</v>
      </c>
      <c r="M298" s="451">
        <v>16.21</v>
      </c>
      <c r="N298" s="451">
        <v>0</v>
      </c>
      <c r="O298" s="451">
        <v>0</v>
      </c>
      <c r="P298" s="450">
        <v>0</v>
      </c>
    </row>
    <row r="299" spans="4:19" x14ac:dyDescent="0.25">
      <c r="F299" s="99" t="s">
        <v>1008</v>
      </c>
      <c r="G299" s="196"/>
      <c r="H299" s="196" t="s">
        <v>147</v>
      </c>
      <c r="I299" s="196"/>
      <c r="J299" s="450">
        <v>5.9829999999999997</v>
      </c>
      <c r="K299" s="450">
        <v>1.073</v>
      </c>
      <c r="L299" s="450">
        <v>0.11799999999999999</v>
      </c>
      <c r="M299" s="451">
        <v>36.619999999999997</v>
      </c>
      <c r="N299" s="451">
        <v>0</v>
      </c>
      <c r="O299" s="451">
        <v>0</v>
      </c>
      <c r="P299" s="450">
        <v>0</v>
      </c>
    </row>
    <row r="300" spans="4:19" x14ac:dyDescent="0.25">
      <c r="F300" s="99" t="s">
        <v>1009</v>
      </c>
      <c r="G300" s="196"/>
      <c r="H300" s="196" t="s">
        <v>147</v>
      </c>
      <c r="I300" s="196"/>
      <c r="J300" s="450">
        <v>5.9829999999999997</v>
      </c>
      <c r="K300" s="450">
        <v>1.073</v>
      </c>
      <c r="L300" s="450">
        <v>0.11799999999999999</v>
      </c>
      <c r="M300" s="451">
        <v>112.77</v>
      </c>
      <c r="N300" s="451">
        <v>0</v>
      </c>
      <c r="O300" s="451">
        <v>0</v>
      </c>
      <c r="P300" s="450">
        <v>0</v>
      </c>
    </row>
    <row r="301" spans="4:19" s="293" customFormat="1" x14ac:dyDescent="0.25">
      <c r="D301" s="98"/>
      <c r="E301" s="98"/>
      <c r="F301" s="99" t="s">
        <v>931</v>
      </c>
      <c r="G301" s="196"/>
      <c r="H301" s="196" t="s">
        <v>147</v>
      </c>
      <c r="I301" s="196"/>
      <c r="J301" s="450">
        <v>5.9829999999999997</v>
      </c>
      <c r="K301" s="450">
        <v>1.073</v>
      </c>
      <c r="L301" s="450">
        <v>0.11799999999999999</v>
      </c>
      <c r="M301" s="451">
        <v>0</v>
      </c>
      <c r="N301" s="451">
        <v>0</v>
      </c>
      <c r="O301" s="451">
        <v>0</v>
      </c>
      <c r="P301" s="450">
        <v>0</v>
      </c>
    </row>
    <row r="302" spans="4:19" s="293" customFormat="1" x14ac:dyDescent="0.25">
      <c r="D302" s="98"/>
      <c r="E302" s="98"/>
      <c r="F302" s="99" t="s">
        <v>1010</v>
      </c>
      <c r="G302" s="196"/>
      <c r="H302" s="196" t="s">
        <v>147</v>
      </c>
      <c r="I302" s="196"/>
      <c r="J302" s="450">
        <v>3.9510000000000001</v>
      </c>
      <c r="K302" s="450">
        <v>0.65500000000000003</v>
      </c>
      <c r="L302" s="450">
        <v>7.4999999999999997E-2</v>
      </c>
      <c r="M302" s="451">
        <v>9.57</v>
      </c>
      <c r="N302" s="451">
        <v>1.34</v>
      </c>
      <c r="O302" s="451">
        <v>2.2599999999999998</v>
      </c>
      <c r="P302" s="450">
        <v>0.19800000000000001</v>
      </c>
    </row>
    <row r="303" spans="4:19" s="293" customFormat="1" x14ac:dyDescent="0.25">
      <c r="D303" s="98"/>
      <c r="E303" s="98"/>
      <c r="F303" s="99" t="s">
        <v>1011</v>
      </c>
      <c r="G303" s="196"/>
      <c r="H303" s="196" t="s">
        <v>147</v>
      </c>
      <c r="I303" s="196"/>
      <c r="J303" s="450">
        <v>3.9510000000000001</v>
      </c>
      <c r="K303" s="450">
        <v>0.65500000000000003</v>
      </c>
      <c r="L303" s="450">
        <v>7.4999999999999997E-2</v>
      </c>
      <c r="M303" s="451">
        <v>176.27</v>
      </c>
      <c r="N303" s="451">
        <v>1.34</v>
      </c>
      <c r="O303" s="451">
        <v>2.2599999999999998</v>
      </c>
      <c r="P303" s="450">
        <v>0.19800000000000001</v>
      </c>
    </row>
    <row r="304" spans="4:19" x14ac:dyDescent="0.25">
      <c r="F304" s="99" t="s">
        <v>1012</v>
      </c>
      <c r="G304" s="196"/>
      <c r="H304" s="196" t="s">
        <v>147</v>
      </c>
      <c r="I304" s="196"/>
      <c r="J304" s="450">
        <v>3.9510000000000001</v>
      </c>
      <c r="K304" s="450">
        <v>0.65500000000000003</v>
      </c>
      <c r="L304" s="450">
        <v>7.4999999999999997E-2</v>
      </c>
      <c r="M304" s="451">
        <v>393.04</v>
      </c>
      <c r="N304" s="451">
        <v>1.34</v>
      </c>
      <c r="O304" s="451">
        <v>2.2599999999999998</v>
      </c>
      <c r="P304" s="450">
        <v>0.19800000000000001</v>
      </c>
    </row>
    <row r="305" spans="4:16" x14ac:dyDescent="0.25">
      <c r="F305" s="99" t="s">
        <v>1013</v>
      </c>
      <c r="G305" s="196"/>
      <c r="H305" s="196" t="s">
        <v>147</v>
      </c>
      <c r="I305" s="196"/>
      <c r="J305" s="450">
        <v>3.9510000000000001</v>
      </c>
      <c r="K305" s="450">
        <v>0.65500000000000003</v>
      </c>
      <c r="L305" s="450">
        <v>7.4999999999999997E-2</v>
      </c>
      <c r="M305" s="451">
        <v>655.51</v>
      </c>
      <c r="N305" s="451">
        <v>1.34</v>
      </c>
      <c r="O305" s="451">
        <v>2.2599999999999998</v>
      </c>
      <c r="P305" s="450">
        <v>0.19800000000000001</v>
      </c>
    </row>
    <row r="306" spans="4:16" x14ac:dyDescent="0.25">
      <c r="F306" s="99" t="s">
        <v>1014</v>
      </c>
      <c r="G306" s="196"/>
      <c r="H306" s="196" t="s">
        <v>147</v>
      </c>
      <c r="I306" s="196"/>
      <c r="J306" s="450">
        <v>3.9510000000000001</v>
      </c>
      <c r="K306" s="450">
        <v>0.65500000000000003</v>
      </c>
      <c r="L306" s="450">
        <v>7.4999999999999997E-2</v>
      </c>
      <c r="M306" s="451">
        <v>1416.95</v>
      </c>
      <c r="N306" s="451">
        <v>1.34</v>
      </c>
      <c r="O306" s="451">
        <v>2.2599999999999998</v>
      </c>
      <c r="P306" s="450">
        <v>0.19800000000000001</v>
      </c>
    </row>
    <row r="307" spans="4:16" x14ac:dyDescent="0.25">
      <c r="F307" s="99" t="s">
        <v>1015</v>
      </c>
      <c r="G307" s="196"/>
      <c r="H307" s="196" t="s">
        <v>147</v>
      </c>
      <c r="I307" s="196"/>
      <c r="J307" s="450">
        <v>5.1120000000000001</v>
      </c>
      <c r="K307" s="450">
        <v>0.69299999999999995</v>
      </c>
      <c r="L307" s="450">
        <v>8.7999999999999995E-2</v>
      </c>
      <c r="M307" s="451">
        <v>5.46</v>
      </c>
      <c r="N307" s="451">
        <v>4.25</v>
      </c>
      <c r="O307" s="451">
        <v>5.74</v>
      </c>
      <c r="P307" s="450">
        <v>0.21299999999999999</v>
      </c>
    </row>
    <row r="308" spans="4:16" x14ac:dyDescent="0.25">
      <c r="F308" s="99" t="s">
        <v>1016</v>
      </c>
      <c r="G308" s="196"/>
      <c r="H308" s="196" t="s">
        <v>147</v>
      </c>
      <c r="I308" s="196"/>
      <c r="J308" s="450">
        <v>5.1120000000000001</v>
      </c>
      <c r="K308" s="450">
        <v>0.69299999999999995</v>
      </c>
      <c r="L308" s="450">
        <v>8.7999999999999995E-2</v>
      </c>
      <c r="M308" s="451">
        <v>274.79000000000002</v>
      </c>
      <c r="N308" s="451">
        <v>4.25</v>
      </c>
      <c r="O308" s="451">
        <v>5.74</v>
      </c>
      <c r="P308" s="450">
        <v>0.21299999999999999</v>
      </c>
    </row>
    <row r="309" spans="4:16" s="293" customFormat="1" x14ac:dyDescent="0.25">
      <c r="D309" s="98"/>
      <c r="E309" s="98"/>
      <c r="F309" s="99" t="s">
        <v>1017</v>
      </c>
      <c r="G309" s="196"/>
      <c r="H309" s="196" t="s">
        <v>147</v>
      </c>
      <c r="I309" s="196"/>
      <c r="J309" s="450">
        <v>5.1120000000000001</v>
      </c>
      <c r="K309" s="450">
        <v>0.69299999999999995</v>
      </c>
      <c r="L309" s="450">
        <v>8.7999999999999995E-2</v>
      </c>
      <c r="M309" s="451">
        <v>625.01</v>
      </c>
      <c r="N309" s="451">
        <v>4.25</v>
      </c>
      <c r="O309" s="451">
        <v>5.74</v>
      </c>
      <c r="P309" s="450">
        <v>0.21299999999999999</v>
      </c>
    </row>
    <row r="310" spans="4:16" s="293" customFormat="1" x14ac:dyDescent="0.25">
      <c r="D310" s="98"/>
      <c r="E310" s="98"/>
      <c r="F310" s="99" t="s">
        <v>1018</v>
      </c>
      <c r="G310" s="196"/>
      <c r="H310" s="196" t="s">
        <v>147</v>
      </c>
      <c r="I310" s="196"/>
      <c r="J310" s="450">
        <v>5.1120000000000001</v>
      </c>
      <c r="K310" s="450">
        <v>0.69299999999999995</v>
      </c>
      <c r="L310" s="450">
        <v>8.7999999999999995E-2</v>
      </c>
      <c r="M310" s="451">
        <v>1049.06</v>
      </c>
      <c r="N310" s="451">
        <v>4.25</v>
      </c>
      <c r="O310" s="451">
        <v>5.74</v>
      </c>
      <c r="P310" s="450">
        <v>0.21299999999999999</v>
      </c>
    </row>
    <row r="311" spans="4:16" s="293" customFormat="1" x14ac:dyDescent="0.25">
      <c r="D311" s="98"/>
      <c r="E311" s="98"/>
      <c r="F311" s="99" t="s">
        <v>1019</v>
      </c>
      <c r="G311" s="196"/>
      <c r="H311" s="196" t="s">
        <v>147</v>
      </c>
      <c r="I311" s="196"/>
      <c r="J311" s="450">
        <v>5.1120000000000001</v>
      </c>
      <c r="K311" s="450">
        <v>0.69299999999999995</v>
      </c>
      <c r="L311" s="450">
        <v>8.7999999999999995E-2</v>
      </c>
      <c r="M311" s="451">
        <v>2279.25</v>
      </c>
      <c r="N311" s="451">
        <v>4.25</v>
      </c>
      <c r="O311" s="451">
        <v>5.74</v>
      </c>
      <c r="P311" s="450">
        <v>0.21299999999999999</v>
      </c>
    </row>
    <row r="312" spans="4:16" s="293" customFormat="1" x14ac:dyDescent="0.25">
      <c r="D312" s="98"/>
      <c r="E312" s="98"/>
      <c r="F312" s="99" t="s">
        <v>1020</v>
      </c>
      <c r="G312" s="196"/>
      <c r="H312" s="196" t="s">
        <v>147</v>
      </c>
      <c r="I312" s="196"/>
      <c r="J312" s="450">
        <v>4.3470000000000004</v>
      </c>
      <c r="K312" s="450">
        <v>0.51700000000000002</v>
      </c>
      <c r="L312" s="450">
        <v>6.6000000000000003E-2</v>
      </c>
      <c r="M312" s="451">
        <v>93.35</v>
      </c>
      <c r="N312" s="451">
        <v>3.84</v>
      </c>
      <c r="O312" s="451">
        <v>6.03</v>
      </c>
      <c r="P312" s="450">
        <v>0.16</v>
      </c>
    </row>
    <row r="313" spans="4:16" s="293" customFormat="1" x14ac:dyDescent="0.25">
      <c r="D313" s="98"/>
      <c r="E313" s="98"/>
      <c r="F313" s="99" t="s">
        <v>1021</v>
      </c>
      <c r="G313" s="196"/>
      <c r="H313" s="196" t="s">
        <v>147</v>
      </c>
      <c r="I313" s="196"/>
      <c r="J313" s="450">
        <v>4.3470000000000004</v>
      </c>
      <c r="K313" s="450">
        <v>0.51700000000000002</v>
      </c>
      <c r="L313" s="450">
        <v>6.6000000000000003E-2</v>
      </c>
      <c r="M313" s="451">
        <v>1832.28</v>
      </c>
      <c r="N313" s="451">
        <v>3.84</v>
      </c>
      <c r="O313" s="451">
        <v>6.03</v>
      </c>
      <c r="P313" s="450">
        <v>0.16</v>
      </c>
    </row>
    <row r="314" spans="4:16" s="293" customFormat="1" x14ac:dyDescent="0.25">
      <c r="D314" s="98"/>
      <c r="E314" s="98"/>
      <c r="F314" s="99" t="s">
        <v>1022</v>
      </c>
      <c r="G314" s="196"/>
      <c r="H314" s="196" t="s">
        <v>147</v>
      </c>
      <c r="I314" s="196"/>
      <c r="J314" s="450">
        <v>4.3470000000000004</v>
      </c>
      <c r="K314" s="450">
        <v>0.51700000000000002</v>
      </c>
      <c r="L314" s="450">
        <v>6.6000000000000003E-2</v>
      </c>
      <c r="M314" s="451">
        <v>6561.68</v>
      </c>
      <c r="N314" s="451">
        <v>3.84</v>
      </c>
      <c r="O314" s="451">
        <v>6.03</v>
      </c>
      <c r="P314" s="450">
        <v>0.16</v>
      </c>
    </row>
    <row r="315" spans="4:16" s="293" customFormat="1" x14ac:dyDescent="0.25">
      <c r="D315" s="98"/>
      <c r="E315" s="98"/>
      <c r="F315" s="99" t="s">
        <v>1023</v>
      </c>
      <c r="G315" s="196"/>
      <c r="H315" s="196" t="s">
        <v>147</v>
      </c>
      <c r="I315" s="196"/>
      <c r="J315" s="450">
        <v>4.3470000000000004</v>
      </c>
      <c r="K315" s="450">
        <v>0.51700000000000002</v>
      </c>
      <c r="L315" s="450">
        <v>6.6000000000000003E-2</v>
      </c>
      <c r="M315" s="451">
        <v>13193.84</v>
      </c>
      <c r="N315" s="451">
        <v>3.84</v>
      </c>
      <c r="O315" s="451">
        <v>6.03</v>
      </c>
      <c r="P315" s="450">
        <v>0.16</v>
      </c>
    </row>
    <row r="316" spans="4:16" s="293" customFormat="1" x14ac:dyDescent="0.25">
      <c r="D316" s="98"/>
      <c r="E316" s="98"/>
      <c r="F316" s="99" t="s">
        <v>1024</v>
      </c>
      <c r="G316" s="196"/>
      <c r="H316" s="196" t="s">
        <v>147</v>
      </c>
      <c r="I316" s="196"/>
      <c r="J316" s="450">
        <v>4.3470000000000004</v>
      </c>
      <c r="K316" s="450">
        <v>0.51700000000000002</v>
      </c>
      <c r="L316" s="450">
        <v>6.6000000000000003E-2</v>
      </c>
      <c r="M316" s="451">
        <v>24710.1</v>
      </c>
      <c r="N316" s="451">
        <v>3.84</v>
      </c>
      <c r="O316" s="451">
        <v>6.03</v>
      </c>
      <c r="P316" s="450">
        <v>0.16</v>
      </c>
    </row>
    <row r="317" spans="4:16" s="293" customFormat="1" x14ac:dyDescent="0.25">
      <c r="D317" s="98"/>
      <c r="E317" s="98"/>
      <c r="F317" s="99" t="s">
        <v>935</v>
      </c>
      <c r="G317" s="196"/>
      <c r="H317" s="196" t="s">
        <v>147</v>
      </c>
      <c r="I317" s="196"/>
      <c r="J317" s="450">
        <v>9.2690000000000001</v>
      </c>
      <c r="K317" s="450">
        <v>2.0750000000000002</v>
      </c>
      <c r="L317" s="450">
        <v>0.995</v>
      </c>
      <c r="M317" s="451">
        <v>0</v>
      </c>
      <c r="N317" s="451">
        <v>0</v>
      </c>
      <c r="O317" s="451">
        <v>0</v>
      </c>
      <c r="P317" s="450">
        <v>0</v>
      </c>
    </row>
    <row r="318" spans="4:16" s="293" customFormat="1" x14ac:dyDescent="0.25">
      <c r="D318" s="98"/>
      <c r="E318" s="98"/>
      <c r="F318" s="99" t="s">
        <v>936</v>
      </c>
      <c r="G318" s="196"/>
      <c r="H318" s="196" t="s">
        <v>147</v>
      </c>
      <c r="I318" s="196"/>
      <c r="J318" s="450">
        <v>-8.2170000000000005</v>
      </c>
      <c r="K318" s="450">
        <v>-1.474</v>
      </c>
      <c r="L318" s="450">
        <v>-0.16200000000000001</v>
      </c>
      <c r="M318" s="451">
        <v>0</v>
      </c>
      <c r="N318" s="451">
        <v>0</v>
      </c>
      <c r="O318" s="451">
        <v>0</v>
      </c>
      <c r="P318" s="450">
        <v>0</v>
      </c>
    </row>
    <row r="319" spans="4:16" s="293" customFormat="1" x14ac:dyDescent="0.25">
      <c r="D319" s="98"/>
      <c r="E319" s="98"/>
      <c r="F319" s="99" t="s">
        <v>937</v>
      </c>
      <c r="G319" s="196"/>
      <c r="H319" s="196" t="s">
        <v>147</v>
      </c>
      <c r="I319" s="196"/>
      <c r="J319" s="450">
        <v>-7.4279999999999999</v>
      </c>
      <c r="K319" s="450">
        <v>-1.2749999999999999</v>
      </c>
      <c r="L319" s="450">
        <v>-0.14299999999999999</v>
      </c>
      <c r="M319" s="451">
        <v>0</v>
      </c>
      <c r="N319" s="451">
        <v>0</v>
      </c>
      <c r="O319" s="451">
        <v>0</v>
      </c>
      <c r="P319" s="450">
        <v>0</v>
      </c>
    </row>
    <row r="320" spans="4:16" s="293" customFormat="1" x14ac:dyDescent="0.25">
      <c r="D320" s="98"/>
      <c r="E320" s="98"/>
      <c r="F320" s="99" t="s">
        <v>938</v>
      </c>
      <c r="G320" s="196"/>
      <c r="H320" s="196" t="s">
        <v>147</v>
      </c>
      <c r="I320" s="196"/>
      <c r="J320" s="450">
        <v>-8.2170000000000005</v>
      </c>
      <c r="K320" s="450">
        <v>-1.474</v>
      </c>
      <c r="L320" s="450">
        <v>-0.16200000000000001</v>
      </c>
      <c r="M320" s="451">
        <v>0</v>
      </c>
      <c r="N320" s="451">
        <v>0</v>
      </c>
      <c r="O320" s="451">
        <v>0</v>
      </c>
      <c r="P320" s="450">
        <v>0.377</v>
      </c>
    </row>
    <row r="321" spans="3:19" s="293" customFormat="1" x14ac:dyDescent="0.25">
      <c r="D321" s="98"/>
      <c r="E321" s="98"/>
      <c r="F321" s="99" t="s">
        <v>939</v>
      </c>
      <c r="G321" s="196"/>
      <c r="H321" s="196" t="s">
        <v>147</v>
      </c>
      <c r="I321" s="196"/>
      <c r="J321" s="452">
        <v>0</v>
      </c>
      <c r="K321" s="452">
        <v>0</v>
      </c>
      <c r="L321" s="452">
        <v>0</v>
      </c>
      <c r="M321" s="453">
        <v>0</v>
      </c>
      <c r="N321" s="453">
        <v>0</v>
      </c>
      <c r="O321" s="453">
        <v>0</v>
      </c>
      <c r="P321" s="452">
        <v>0</v>
      </c>
    </row>
    <row r="322" spans="3:19" x14ac:dyDescent="0.25">
      <c r="F322" s="99" t="s">
        <v>940</v>
      </c>
      <c r="G322" s="196"/>
      <c r="H322" s="196" t="s">
        <v>147</v>
      </c>
      <c r="I322" s="196"/>
      <c r="J322" s="450">
        <v>-7.4279999999999999</v>
      </c>
      <c r="K322" s="450">
        <v>-1.2749999999999999</v>
      </c>
      <c r="L322" s="450">
        <v>-0.14299999999999999</v>
      </c>
      <c r="M322" s="451">
        <v>0</v>
      </c>
      <c r="N322" s="451">
        <v>0</v>
      </c>
      <c r="O322" s="451">
        <v>0</v>
      </c>
      <c r="P322" s="450">
        <v>0.34699999999999998</v>
      </c>
    </row>
    <row r="323" spans="3:19" x14ac:dyDescent="0.25">
      <c r="F323" s="99" t="s">
        <v>941</v>
      </c>
      <c r="G323" s="196"/>
      <c r="H323" s="196" t="s">
        <v>147</v>
      </c>
      <c r="I323" s="196"/>
      <c r="J323" s="452">
        <v>0</v>
      </c>
      <c r="K323" s="452">
        <v>0</v>
      </c>
      <c r="L323" s="452">
        <v>0</v>
      </c>
      <c r="M323" s="453">
        <v>0</v>
      </c>
      <c r="N323" s="453">
        <v>0</v>
      </c>
      <c r="O323" s="453">
        <v>0</v>
      </c>
      <c r="P323" s="452">
        <v>0</v>
      </c>
    </row>
    <row r="324" spans="3:19" x14ac:dyDescent="0.25">
      <c r="F324" s="99" t="s">
        <v>942</v>
      </c>
      <c r="G324" s="196"/>
      <c r="H324" s="196" t="s">
        <v>147</v>
      </c>
      <c r="I324" s="196"/>
      <c r="J324" s="450">
        <v>-5.484</v>
      </c>
      <c r="K324" s="450">
        <v>-0.71799999999999997</v>
      </c>
      <c r="L324" s="450">
        <v>-0.09</v>
      </c>
      <c r="M324" s="451">
        <v>0</v>
      </c>
      <c r="N324" s="451">
        <v>0</v>
      </c>
      <c r="O324" s="451">
        <v>0</v>
      </c>
      <c r="P324" s="450">
        <v>0.26800000000000002</v>
      </c>
    </row>
    <row r="325" spans="3:19" x14ac:dyDescent="0.25">
      <c r="F325" s="100" t="s">
        <v>943</v>
      </c>
      <c r="G325" s="93"/>
      <c r="H325" s="93" t="s">
        <v>147</v>
      </c>
      <c r="I325" s="93"/>
      <c r="J325" s="437">
        <v>0</v>
      </c>
      <c r="K325" s="437">
        <v>0</v>
      </c>
      <c r="L325" s="437">
        <v>0</v>
      </c>
      <c r="M325" s="343">
        <v>0</v>
      </c>
      <c r="N325" s="343">
        <v>0</v>
      </c>
      <c r="O325" s="343">
        <v>0</v>
      </c>
      <c r="P325" s="437">
        <v>0</v>
      </c>
    </row>
    <row r="326" spans="3:19" x14ac:dyDescent="0.25">
      <c r="D326" s="195"/>
      <c r="E326" s="195"/>
      <c r="F326" s="195"/>
      <c r="G326" s="195"/>
      <c r="H326" s="195"/>
      <c r="I326" s="195"/>
      <c r="J326" s="348"/>
      <c r="K326" s="348"/>
      <c r="L326" s="348"/>
      <c r="M326" s="214"/>
      <c r="N326" s="214"/>
      <c r="O326" s="214"/>
      <c r="P326" s="348"/>
      <c r="Q326" s="195"/>
      <c r="R326" s="195"/>
      <c r="S326" s="195"/>
    </row>
    <row r="327" spans="3:19" s="195" customFormat="1" x14ac:dyDescent="0.25">
      <c r="C327" s="7" t="str">
        <f ca="1">INDEX('Version control'!$H$34:$H$60,MATCH($A$1,'Version control'!$F$34:$F$60,0),1)&amp;"-D: Tariff results for charging year " &amp; 'ARP_User control'!G33</f>
        <v>Output 501-D: Tariff results for charging year 2024/25</v>
      </c>
      <c r="D327" s="7"/>
      <c r="E327" s="7"/>
      <c r="F327" s="7"/>
      <c r="G327" s="7"/>
      <c r="H327" s="7"/>
      <c r="I327" s="7"/>
      <c r="J327" s="439"/>
      <c r="K327" s="439"/>
      <c r="L327" s="439"/>
      <c r="M327" s="7"/>
      <c r="N327" s="7"/>
      <c r="O327" s="7"/>
      <c r="P327" s="439"/>
      <c r="Q327" s="7"/>
      <c r="R327" s="7"/>
    </row>
    <row r="328" spans="3:19" x14ac:dyDescent="0.25">
      <c r="D328" s="85"/>
      <c r="E328" s="195"/>
      <c r="F328" s="195"/>
      <c r="J328" s="440"/>
      <c r="K328" s="440"/>
      <c r="L328" s="440"/>
      <c r="M328" s="213"/>
      <c r="N328" s="213"/>
      <c r="O328" s="213"/>
      <c r="P328" s="440"/>
    </row>
    <row r="329" spans="3:19" x14ac:dyDescent="0.25">
      <c r="D329" s="96"/>
      <c r="E329" s="96" t="str">
        <f>"All the way tariff forecast "&amp; 'ARP_User control'!G33</f>
        <v>All the way tariff forecast 2024/25</v>
      </c>
      <c r="F329" s="195"/>
      <c r="J329" s="440"/>
      <c r="K329" s="440"/>
      <c r="L329" s="440"/>
      <c r="M329" s="213"/>
      <c r="N329" s="213"/>
      <c r="O329" s="213"/>
      <c r="P329" s="440"/>
    </row>
    <row r="330" spans="3:19" x14ac:dyDescent="0.25">
      <c r="F330" s="103" t="s">
        <v>1004</v>
      </c>
      <c r="G330" s="91"/>
      <c r="H330" s="91" t="s">
        <v>261</v>
      </c>
      <c r="I330" s="91"/>
      <c r="J330" s="434">
        <v>12.349</v>
      </c>
      <c r="K330" s="434">
        <v>2.2160000000000002</v>
      </c>
      <c r="L330" s="434">
        <v>0.24</v>
      </c>
      <c r="M330" s="339">
        <v>17.86</v>
      </c>
      <c r="N330" s="339">
        <v>0</v>
      </c>
      <c r="O330" s="339">
        <v>0</v>
      </c>
      <c r="P330" s="434">
        <v>0</v>
      </c>
    </row>
    <row r="331" spans="3:19" x14ac:dyDescent="0.25">
      <c r="F331" s="99" t="s">
        <v>929</v>
      </c>
      <c r="G331" s="196"/>
      <c r="H331" s="196" t="s">
        <v>261</v>
      </c>
      <c r="I331" s="196"/>
      <c r="J331" s="450">
        <v>12.349</v>
      </c>
      <c r="K331" s="450">
        <v>2.2160000000000002</v>
      </c>
      <c r="L331" s="450">
        <v>0.24</v>
      </c>
      <c r="M331" s="451">
        <v>0</v>
      </c>
      <c r="N331" s="451">
        <v>0</v>
      </c>
      <c r="O331" s="451">
        <v>0</v>
      </c>
      <c r="P331" s="450">
        <v>0</v>
      </c>
    </row>
    <row r="332" spans="3:19" x14ac:dyDescent="0.25">
      <c r="F332" s="99" t="s">
        <v>1005</v>
      </c>
      <c r="G332" s="196"/>
      <c r="H332" s="196" t="s">
        <v>261</v>
      </c>
      <c r="I332" s="196"/>
      <c r="J332" s="450">
        <v>15.058999999999999</v>
      </c>
      <c r="K332" s="450">
        <v>2.7029999999999998</v>
      </c>
      <c r="L332" s="450">
        <v>0.29299999999999998</v>
      </c>
      <c r="M332" s="451">
        <v>4.72</v>
      </c>
      <c r="N332" s="451">
        <v>0</v>
      </c>
      <c r="O332" s="451">
        <v>0</v>
      </c>
      <c r="P332" s="450">
        <v>0</v>
      </c>
    </row>
    <row r="333" spans="3:19" x14ac:dyDescent="0.25">
      <c r="F333" s="99" t="s">
        <v>1006</v>
      </c>
      <c r="G333" s="196"/>
      <c r="H333" s="196" t="s">
        <v>261</v>
      </c>
      <c r="I333" s="196"/>
      <c r="J333" s="450">
        <v>15.058999999999999</v>
      </c>
      <c r="K333" s="450">
        <v>2.7029999999999998</v>
      </c>
      <c r="L333" s="450">
        <v>0.29299999999999998</v>
      </c>
      <c r="M333" s="451">
        <v>9.76</v>
      </c>
      <c r="N333" s="451">
        <v>0</v>
      </c>
      <c r="O333" s="451">
        <v>0</v>
      </c>
      <c r="P333" s="450">
        <v>0</v>
      </c>
    </row>
    <row r="334" spans="3:19" x14ac:dyDescent="0.25">
      <c r="F334" s="99" t="s">
        <v>1007</v>
      </c>
      <c r="G334" s="196"/>
      <c r="H334" s="196" t="s">
        <v>261</v>
      </c>
      <c r="I334" s="196"/>
      <c r="J334" s="450">
        <v>15.058999999999999</v>
      </c>
      <c r="K334" s="450">
        <v>2.7029999999999998</v>
      </c>
      <c r="L334" s="450">
        <v>0.29299999999999998</v>
      </c>
      <c r="M334" s="451">
        <v>31.95</v>
      </c>
      <c r="N334" s="451">
        <v>0</v>
      </c>
      <c r="O334" s="451">
        <v>0</v>
      </c>
      <c r="P334" s="450">
        <v>0</v>
      </c>
    </row>
    <row r="335" spans="3:19" x14ac:dyDescent="0.25">
      <c r="F335" s="99" t="s">
        <v>1008</v>
      </c>
      <c r="G335" s="196"/>
      <c r="H335" s="196" t="s">
        <v>261</v>
      </c>
      <c r="I335" s="196"/>
      <c r="J335" s="450">
        <v>15.058999999999999</v>
      </c>
      <c r="K335" s="450">
        <v>2.7029999999999998</v>
      </c>
      <c r="L335" s="450">
        <v>0.29299999999999998</v>
      </c>
      <c r="M335" s="451">
        <v>72.180000000000007</v>
      </c>
      <c r="N335" s="451">
        <v>0</v>
      </c>
      <c r="O335" s="451">
        <v>0</v>
      </c>
      <c r="P335" s="450">
        <v>0</v>
      </c>
    </row>
    <row r="336" spans="3:19" x14ac:dyDescent="0.25">
      <c r="F336" s="99" t="s">
        <v>1009</v>
      </c>
      <c r="G336" s="196"/>
      <c r="H336" s="196" t="s">
        <v>261</v>
      </c>
      <c r="I336" s="196"/>
      <c r="J336" s="450">
        <v>15.058999999999999</v>
      </c>
      <c r="K336" s="450">
        <v>2.7029999999999998</v>
      </c>
      <c r="L336" s="450">
        <v>0.29299999999999998</v>
      </c>
      <c r="M336" s="451">
        <v>222.3</v>
      </c>
      <c r="N336" s="451">
        <v>0</v>
      </c>
      <c r="O336" s="451">
        <v>0</v>
      </c>
      <c r="P336" s="450">
        <v>0</v>
      </c>
    </row>
    <row r="337" spans="4:16" s="293" customFormat="1" x14ac:dyDescent="0.25">
      <c r="D337" s="98"/>
      <c r="E337" s="98"/>
      <c r="F337" s="99" t="s">
        <v>931</v>
      </c>
      <c r="G337" s="196"/>
      <c r="H337" s="196" t="s">
        <v>261</v>
      </c>
      <c r="I337" s="196"/>
      <c r="J337" s="450">
        <v>15.058999999999999</v>
      </c>
      <c r="K337" s="450">
        <v>2.7029999999999998</v>
      </c>
      <c r="L337" s="450">
        <v>0.29299999999999998</v>
      </c>
      <c r="M337" s="451">
        <v>0</v>
      </c>
      <c r="N337" s="451">
        <v>0</v>
      </c>
      <c r="O337" s="451">
        <v>0</v>
      </c>
      <c r="P337" s="450">
        <v>0</v>
      </c>
    </row>
    <row r="338" spans="4:16" s="293" customFormat="1" x14ac:dyDescent="0.25">
      <c r="D338" s="98"/>
      <c r="E338" s="98"/>
      <c r="F338" s="99" t="s">
        <v>1010</v>
      </c>
      <c r="G338" s="196"/>
      <c r="H338" s="196" t="s">
        <v>261</v>
      </c>
      <c r="I338" s="196"/>
      <c r="J338" s="450">
        <v>9.9039999999999999</v>
      </c>
      <c r="K338" s="450">
        <v>1.6359999999999999</v>
      </c>
      <c r="L338" s="450">
        <v>0.184</v>
      </c>
      <c r="M338" s="451">
        <v>17.97</v>
      </c>
      <c r="N338" s="451">
        <v>3.46</v>
      </c>
      <c r="O338" s="451">
        <v>6.14</v>
      </c>
      <c r="P338" s="450">
        <v>0.49299999999999999</v>
      </c>
    </row>
    <row r="339" spans="4:16" s="293" customFormat="1" x14ac:dyDescent="0.25">
      <c r="D339" s="98"/>
      <c r="E339" s="98"/>
      <c r="F339" s="99" t="s">
        <v>1011</v>
      </c>
      <c r="G339" s="196"/>
      <c r="H339" s="196" t="s">
        <v>261</v>
      </c>
      <c r="I339" s="196"/>
      <c r="J339" s="450">
        <v>9.9039999999999999</v>
      </c>
      <c r="K339" s="450">
        <v>1.6359999999999999</v>
      </c>
      <c r="L339" s="450">
        <v>0.184</v>
      </c>
      <c r="M339" s="451">
        <v>346.61</v>
      </c>
      <c r="N339" s="451">
        <v>3.46</v>
      </c>
      <c r="O339" s="451">
        <v>6.14</v>
      </c>
      <c r="P339" s="450">
        <v>0.49299999999999999</v>
      </c>
    </row>
    <row r="340" spans="4:16" x14ac:dyDescent="0.25">
      <c r="F340" s="99" t="s">
        <v>1012</v>
      </c>
      <c r="G340" s="196"/>
      <c r="H340" s="196" t="s">
        <v>261</v>
      </c>
      <c r="I340" s="196"/>
      <c r="J340" s="450">
        <v>9.9039999999999999</v>
      </c>
      <c r="K340" s="450">
        <v>1.6359999999999999</v>
      </c>
      <c r="L340" s="450">
        <v>0.184</v>
      </c>
      <c r="M340" s="451">
        <v>773.94</v>
      </c>
      <c r="N340" s="451">
        <v>3.46</v>
      </c>
      <c r="O340" s="451">
        <v>6.14</v>
      </c>
      <c r="P340" s="450">
        <v>0.49299999999999999</v>
      </c>
    </row>
    <row r="341" spans="4:16" x14ac:dyDescent="0.25">
      <c r="F341" s="99" t="s">
        <v>1013</v>
      </c>
      <c r="G341" s="196"/>
      <c r="H341" s="196" t="s">
        <v>261</v>
      </c>
      <c r="I341" s="196"/>
      <c r="J341" s="450">
        <v>9.9039999999999999</v>
      </c>
      <c r="K341" s="450">
        <v>1.6359999999999999</v>
      </c>
      <c r="L341" s="450">
        <v>0.184</v>
      </c>
      <c r="M341" s="451">
        <v>1291.3699999999999</v>
      </c>
      <c r="N341" s="451">
        <v>3.46</v>
      </c>
      <c r="O341" s="451">
        <v>6.14</v>
      </c>
      <c r="P341" s="450">
        <v>0.49299999999999999</v>
      </c>
    </row>
    <row r="342" spans="4:16" x14ac:dyDescent="0.25">
      <c r="F342" s="99" t="s">
        <v>1014</v>
      </c>
      <c r="G342" s="196"/>
      <c r="H342" s="196" t="s">
        <v>261</v>
      </c>
      <c r="I342" s="196"/>
      <c r="J342" s="450">
        <v>9.9039999999999999</v>
      </c>
      <c r="K342" s="450">
        <v>1.6359999999999999</v>
      </c>
      <c r="L342" s="450">
        <v>0.184</v>
      </c>
      <c r="M342" s="451">
        <v>2792.44</v>
      </c>
      <c r="N342" s="451">
        <v>3.46</v>
      </c>
      <c r="O342" s="451">
        <v>6.14</v>
      </c>
      <c r="P342" s="450">
        <v>0.49299999999999999</v>
      </c>
    </row>
    <row r="343" spans="4:16" x14ac:dyDescent="0.25">
      <c r="F343" s="99" t="s">
        <v>1015</v>
      </c>
      <c r="G343" s="196"/>
      <c r="H343" s="196" t="s">
        <v>261</v>
      </c>
      <c r="I343" s="196"/>
      <c r="J343" s="450">
        <v>7.8230000000000004</v>
      </c>
      <c r="K343" s="450">
        <v>1.034</v>
      </c>
      <c r="L343" s="450">
        <v>0.13</v>
      </c>
      <c r="M343" s="451">
        <v>6.34</v>
      </c>
      <c r="N343" s="451">
        <v>6.99</v>
      </c>
      <c r="O343" s="451">
        <v>9.65</v>
      </c>
      <c r="P343" s="450">
        <v>0.32</v>
      </c>
    </row>
    <row r="344" spans="4:16" s="293" customFormat="1" x14ac:dyDescent="0.25">
      <c r="D344" s="98"/>
      <c r="E344" s="98"/>
      <c r="F344" s="99" t="s">
        <v>1016</v>
      </c>
      <c r="G344" s="196"/>
      <c r="H344" s="196" t="s">
        <v>261</v>
      </c>
      <c r="I344" s="196"/>
      <c r="J344" s="450">
        <v>7.8230000000000004</v>
      </c>
      <c r="K344" s="450">
        <v>1.034</v>
      </c>
      <c r="L344" s="450">
        <v>0.13</v>
      </c>
      <c r="M344" s="451">
        <v>334.98</v>
      </c>
      <c r="N344" s="451">
        <v>6.99</v>
      </c>
      <c r="O344" s="451">
        <v>9.65</v>
      </c>
      <c r="P344" s="450">
        <v>0.32</v>
      </c>
    </row>
    <row r="345" spans="4:16" s="293" customFormat="1" x14ac:dyDescent="0.25">
      <c r="D345" s="98"/>
      <c r="E345" s="98"/>
      <c r="F345" s="99" t="s">
        <v>1017</v>
      </c>
      <c r="G345" s="196"/>
      <c r="H345" s="196" t="s">
        <v>261</v>
      </c>
      <c r="I345" s="196"/>
      <c r="J345" s="450">
        <v>7.8230000000000004</v>
      </c>
      <c r="K345" s="450">
        <v>1.034</v>
      </c>
      <c r="L345" s="450">
        <v>0.13</v>
      </c>
      <c r="M345" s="451">
        <v>762.31</v>
      </c>
      <c r="N345" s="451">
        <v>6.99</v>
      </c>
      <c r="O345" s="451">
        <v>9.65</v>
      </c>
      <c r="P345" s="450">
        <v>0.32</v>
      </c>
    </row>
    <row r="346" spans="4:16" s="293" customFormat="1" x14ac:dyDescent="0.25">
      <c r="D346" s="98"/>
      <c r="E346" s="98"/>
      <c r="F346" s="99" t="s">
        <v>1018</v>
      </c>
      <c r="G346" s="196"/>
      <c r="H346" s="196" t="s">
        <v>261</v>
      </c>
      <c r="I346" s="196"/>
      <c r="J346" s="450">
        <v>7.8230000000000004</v>
      </c>
      <c r="K346" s="450">
        <v>1.034</v>
      </c>
      <c r="L346" s="450">
        <v>0.13</v>
      </c>
      <c r="M346" s="451">
        <v>1279.74</v>
      </c>
      <c r="N346" s="451">
        <v>6.99</v>
      </c>
      <c r="O346" s="451">
        <v>9.65</v>
      </c>
      <c r="P346" s="450">
        <v>0.32</v>
      </c>
    </row>
    <row r="347" spans="4:16" s="293" customFormat="1" x14ac:dyDescent="0.25">
      <c r="D347" s="98"/>
      <c r="E347" s="98"/>
      <c r="F347" s="99" t="s">
        <v>1019</v>
      </c>
      <c r="G347" s="196"/>
      <c r="H347" s="196" t="s">
        <v>261</v>
      </c>
      <c r="I347" s="196"/>
      <c r="J347" s="450">
        <v>7.8230000000000004</v>
      </c>
      <c r="K347" s="450">
        <v>1.034</v>
      </c>
      <c r="L347" s="450">
        <v>0.13</v>
      </c>
      <c r="M347" s="451">
        <v>2780.81</v>
      </c>
      <c r="N347" s="451">
        <v>6.99</v>
      </c>
      <c r="O347" s="451">
        <v>9.65</v>
      </c>
      <c r="P347" s="450">
        <v>0.32</v>
      </c>
    </row>
    <row r="348" spans="4:16" s="293" customFormat="1" x14ac:dyDescent="0.25">
      <c r="D348" s="98"/>
      <c r="E348" s="98"/>
      <c r="F348" s="99" t="s">
        <v>1020</v>
      </c>
      <c r="G348" s="196"/>
      <c r="H348" s="196" t="s">
        <v>261</v>
      </c>
      <c r="I348" s="196"/>
      <c r="J348" s="450">
        <v>5.9359999999999999</v>
      </c>
      <c r="K348" s="450">
        <v>0.68500000000000005</v>
      </c>
      <c r="L348" s="450">
        <v>8.5999999999999993E-2</v>
      </c>
      <c r="M348" s="451">
        <v>96.05</v>
      </c>
      <c r="N348" s="451">
        <v>5.29</v>
      </c>
      <c r="O348" s="451">
        <v>8.7200000000000006</v>
      </c>
      <c r="P348" s="450">
        <v>0.214</v>
      </c>
    </row>
    <row r="349" spans="4:16" s="293" customFormat="1" x14ac:dyDescent="0.25">
      <c r="D349" s="98"/>
      <c r="E349" s="98"/>
      <c r="F349" s="99" t="s">
        <v>1021</v>
      </c>
      <c r="G349" s="196"/>
      <c r="H349" s="196" t="s">
        <v>261</v>
      </c>
      <c r="I349" s="196"/>
      <c r="J349" s="450">
        <v>5.9359999999999999</v>
      </c>
      <c r="K349" s="450">
        <v>0.68500000000000005</v>
      </c>
      <c r="L349" s="450">
        <v>8.5999999999999993E-2</v>
      </c>
      <c r="M349" s="451">
        <v>1974.2</v>
      </c>
      <c r="N349" s="451">
        <v>5.29</v>
      </c>
      <c r="O349" s="451">
        <v>8.7200000000000006</v>
      </c>
      <c r="P349" s="450">
        <v>0.214</v>
      </c>
    </row>
    <row r="350" spans="4:16" s="293" customFormat="1" x14ac:dyDescent="0.25">
      <c r="D350" s="98"/>
      <c r="E350" s="98"/>
      <c r="F350" s="99" t="s">
        <v>1022</v>
      </c>
      <c r="G350" s="196"/>
      <c r="H350" s="196" t="s">
        <v>261</v>
      </c>
      <c r="I350" s="196"/>
      <c r="J350" s="450">
        <v>5.9359999999999999</v>
      </c>
      <c r="K350" s="450">
        <v>0.68500000000000005</v>
      </c>
      <c r="L350" s="450">
        <v>8.5999999999999993E-2</v>
      </c>
      <c r="M350" s="451">
        <v>7082.25</v>
      </c>
      <c r="N350" s="451">
        <v>5.29</v>
      </c>
      <c r="O350" s="451">
        <v>8.7200000000000006</v>
      </c>
      <c r="P350" s="450">
        <v>0.214</v>
      </c>
    </row>
    <row r="351" spans="4:16" s="293" customFormat="1" x14ac:dyDescent="0.25">
      <c r="D351" s="98"/>
      <c r="E351" s="98"/>
      <c r="F351" s="99" t="s">
        <v>1023</v>
      </c>
      <c r="G351" s="196"/>
      <c r="H351" s="196" t="s">
        <v>261</v>
      </c>
      <c r="I351" s="196"/>
      <c r="J351" s="450">
        <v>5.9359999999999999</v>
      </c>
      <c r="K351" s="450">
        <v>0.68500000000000005</v>
      </c>
      <c r="L351" s="450">
        <v>8.5999999999999993E-2</v>
      </c>
      <c r="M351" s="451">
        <v>14245.39</v>
      </c>
      <c r="N351" s="451">
        <v>5.29</v>
      </c>
      <c r="O351" s="451">
        <v>8.7200000000000006</v>
      </c>
      <c r="P351" s="450">
        <v>0.214</v>
      </c>
    </row>
    <row r="352" spans="4:16" s="293" customFormat="1" x14ac:dyDescent="0.25">
      <c r="D352" s="98"/>
      <c r="E352" s="98"/>
      <c r="F352" s="99" t="s">
        <v>1024</v>
      </c>
      <c r="G352" s="196"/>
      <c r="H352" s="196" t="s">
        <v>261</v>
      </c>
      <c r="I352" s="196"/>
      <c r="J352" s="450">
        <v>5.9359999999999999</v>
      </c>
      <c r="K352" s="450">
        <v>0.68500000000000005</v>
      </c>
      <c r="L352" s="450">
        <v>8.5999999999999993E-2</v>
      </c>
      <c r="M352" s="451">
        <v>26683.66</v>
      </c>
      <c r="N352" s="451">
        <v>5.29</v>
      </c>
      <c r="O352" s="451">
        <v>8.7200000000000006</v>
      </c>
      <c r="P352" s="450">
        <v>0.214</v>
      </c>
    </row>
    <row r="353" spans="4:16" s="293" customFormat="1" x14ac:dyDescent="0.25">
      <c r="D353" s="98"/>
      <c r="E353" s="98"/>
      <c r="F353" s="99" t="s">
        <v>935</v>
      </c>
      <c r="G353" s="196"/>
      <c r="H353" s="196" t="s">
        <v>261</v>
      </c>
      <c r="I353" s="196"/>
      <c r="J353" s="450">
        <v>22.968</v>
      </c>
      <c r="K353" s="450">
        <v>4.6539999999999999</v>
      </c>
      <c r="L353" s="450">
        <v>1.986</v>
      </c>
      <c r="M353" s="451">
        <v>0</v>
      </c>
      <c r="N353" s="451">
        <v>0</v>
      </c>
      <c r="O353" s="451">
        <v>0</v>
      </c>
      <c r="P353" s="450">
        <v>0</v>
      </c>
    </row>
    <row r="354" spans="4:16" s="293" customFormat="1" x14ac:dyDescent="0.25">
      <c r="D354" s="98"/>
      <c r="E354" s="98"/>
      <c r="F354" s="99" t="s">
        <v>936</v>
      </c>
      <c r="G354" s="196"/>
      <c r="H354" s="196" t="s">
        <v>261</v>
      </c>
      <c r="I354" s="196"/>
      <c r="J354" s="450">
        <v>-9.2669999999999995</v>
      </c>
      <c r="K354" s="450">
        <v>-1.663</v>
      </c>
      <c r="L354" s="450">
        <v>-0.18</v>
      </c>
      <c r="M354" s="451">
        <v>0</v>
      </c>
      <c r="N354" s="451">
        <v>0</v>
      </c>
      <c r="O354" s="451">
        <v>0</v>
      </c>
      <c r="P354" s="450">
        <v>0</v>
      </c>
    </row>
    <row r="355" spans="4:16" s="293" customFormat="1" x14ac:dyDescent="0.25">
      <c r="D355" s="98"/>
      <c r="E355" s="98"/>
      <c r="F355" s="99" t="s">
        <v>937</v>
      </c>
      <c r="G355" s="196"/>
      <c r="H355" s="196" t="s">
        <v>261</v>
      </c>
      <c r="I355" s="196"/>
      <c r="J355" s="450">
        <v>-8.3650000000000002</v>
      </c>
      <c r="K355" s="450">
        <v>-1.4350000000000001</v>
      </c>
      <c r="L355" s="450">
        <v>-0.159</v>
      </c>
      <c r="M355" s="451">
        <v>0</v>
      </c>
      <c r="N355" s="451">
        <v>0</v>
      </c>
      <c r="O355" s="451">
        <v>0</v>
      </c>
      <c r="P355" s="450">
        <v>0</v>
      </c>
    </row>
    <row r="356" spans="4:16" s="293" customFormat="1" x14ac:dyDescent="0.25">
      <c r="D356" s="98"/>
      <c r="E356" s="98"/>
      <c r="F356" s="99" t="s">
        <v>938</v>
      </c>
      <c r="G356" s="196"/>
      <c r="H356" s="196" t="s">
        <v>261</v>
      </c>
      <c r="I356" s="196"/>
      <c r="J356" s="450">
        <v>-9.2669999999999995</v>
      </c>
      <c r="K356" s="450">
        <v>-1.663</v>
      </c>
      <c r="L356" s="450">
        <v>-0.18</v>
      </c>
      <c r="M356" s="451">
        <v>0</v>
      </c>
      <c r="N356" s="451">
        <v>0</v>
      </c>
      <c r="O356" s="451">
        <v>0</v>
      </c>
      <c r="P356" s="450">
        <v>0.42599999999999999</v>
      </c>
    </row>
    <row r="357" spans="4:16" x14ac:dyDescent="0.25">
      <c r="F357" s="99" t="s">
        <v>939</v>
      </c>
      <c r="G357" s="196"/>
      <c r="H357" s="196" t="s">
        <v>261</v>
      </c>
      <c r="I357" s="196"/>
      <c r="J357" s="450">
        <v>-9.2669999999999995</v>
      </c>
      <c r="K357" s="450">
        <v>-1.663</v>
      </c>
      <c r="L357" s="450">
        <v>-0.18</v>
      </c>
      <c r="M357" s="451">
        <v>0</v>
      </c>
      <c r="N357" s="451">
        <v>0</v>
      </c>
      <c r="O357" s="451">
        <v>0</v>
      </c>
      <c r="P357" s="450">
        <v>0</v>
      </c>
    </row>
    <row r="358" spans="4:16" x14ac:dyDescent="0.25">
      <c r="F358" s="99" t="s">
        <v>940</v>
      </c>
      <c r="G358" s="196"/>
      <c r="H358" s="196" t="s">
        <v>261</v>
      </c>
      <c r="I358" s="196"/>
      <c r="J358" s="450">
        <v>-8.3650000000000002</v>
      </c>
      <c r="K358" s="450">
        <v>-1.4350000000000001</v>
      </c>
      <c r="L358" s="450">
        <v>-0.159</v>
      </c>
      <c r="M358" s="451">
        <v>0</v>
      </c>
      <c r="N358" s="451">
        <v>0</v>
      </c>
      <c r="O358" s="451">
        <v>0</v>
      </c>
      <c r="P358" s="450">
        <v>0.39200000000000002</v>
      </c>
    </row>
    <row r="359" spans="4:16" x14ac:dyDescent="0.25">
      <c r="F359" s="99" t="s">
        <v>941</v>
      </c>
      <c r="G359" s="196"/>
      <c r="H359" s="196" t="s">
        <v>261</v>
      </c>
      <c r="I359" s="196"/>
      <c r="J359" s="450">
        <v>-8.3650000000000002</v>
      </c>
      <c r="K359" s="450">
        <v>-1.4350000000000001</v>
      </c>
      <c r="L359" s="450">
        <v>-0.159</v>
      </c>
      <c r="M359" s="451">
        <v>0</v>
      </c>
      <c r="N359" s="451">
        <v>0</v>
      </c>
      <c r="O359" s="451">
        <v>0</v>
      </c>
      <c r="P359" s="450">
        <v>0</v>
      </c>
    </row>
    <row r="360" spans="4:16" x14ac:dyDescent="0.25">
      <c r="F360" s="99" t="s">
        <v>942</v>
      </c>
      <c r="G360" s="196"/>
      <c r="H360" s="196" t="s">
        <v>261</v>
      </c>
      <c r="I360" s="196"/>
      <c r="J360" s="450">
        <v>-6.0960000000000001</v>
      </c>
      <c r="K360" s="450">
        <v>-0.77800000000000002</v>
      </c>
      <c r="L360" s="450">
        <v>-9.7000000000000003E-2</v>
      </c>
      <c r="M360" s="451">
        <v>70.14</v>
      </c>
      <c r="N360" s="451">
        <v>0</v>
      </c>
      <c r="O360" s="451">
        <v>0</v>
      </c>
      <c r="P360" s="450">
        <v>0.29799999999999999</v>
      </c>
    </row>
    <row r="361" spans="4:16" x14ac:dyDescent="0.25">
      <c r="F361" s="100" t="s">
        <v>943</v>
      </c>
      <c r="G361" s="93"/>
      <c r="H361" s="93" t="s">
        <v>261</v>
      </c>
      <c r="I361" s="93"/>
      <c r="J361" s="435">
        <v>-6.0960000000000001</v>
      </c>
      <c r="K361" s="435">
        <v>-0.77800000000000002</v>
      </c>
      <c r="L361" s="435">
        <v>-9.7000000000000003E-2</v>
      </c>
      <c r="M361" s="341">
        <v>70.14</v>
      </c>
      <c r="N361" s="341">
        <v>0</v>
      </c>
      <c r="O361" s="341">
        <v>0</v>
      </c>
      <c r="P361" s="435">
        <v>0</v>
      </c>
    </row>
    <row r="362" spans="4:16" x14ac:dyDescent="0.25">
      <c r="F362" s="98"/>
      <c r="G362" s="293"/>
      <c r="H362" s="293"/>
      <c r="I362" s="293"/>
      <c r="J362" s="342"/>
      <c r="K362" s="342"/>
      <c r="L362" s="342"/>
      <c r="M362" s="342"/>
      <c r="N362" s="342"/>
      <c r="O362" s="342"/>
      <c r="P362" s="436"/>
    </row>
    <row r="363" spans="4:16" x14ac:dyDescent="0.25">
      <c r="D363" s="96"/>
      <c r="E363" s="96" t="str">
        <f>"LDNO LV tariff forecast "&amp; 'ARP_User control'!G33</f>
        <v>LDNO LV tariff forecast 2024/25</v>
      </c>
      <c r="F363" s="98"/>
      <c r="G363" s="293"/>
      <c r="H363" s="293"/>
      <c r="I363" s="293"/>
      <c r="J363" s="342"/>
      <c r="K363" s="342"/>
      <c r="L363" s="342"/>
      <c r="M363" s="342"/>
      <c r="N363" s="342"/>
      <c r="O363" s="342"/>
      <c r="P363" s="436"/>
    </row>
    <row r="364" spans="4:16" x14ac:dyDescent="0.25">
      <c r="F364" s="103" t="s">
        <v>1004</v>
      </c>
      <c r="G364" s="91"/>
      <c r="H364" s="91" t="s">
        <v>146</v>
      </c>
      <c r="I364" s="91"/>
      <c r="J364" s="434">
        <v>7.66</v>
      </c>
      <c r="K364" s="434">
        <v>1.375</v>
      </c>
      <c r="L364" s="434">
        <v>0.14899999999999999</v>
      </c>
      <c r="M364" s="339">
        <v>11.08</v>
      </c>
      <c r="N364" s="339">
        <v>0</v>
      </c>
      <c r="O364" s="339">
        <v>0</v>
      </c>
      <c r="P364" s="434">
        <v>0</v>
      </c>
    </row>
    <row r="365" spans="4:16" x14ac:dyDescent="0.25">
      <c r="F365" s="99" t="s">
        <v>929</v>
      </c>
      <c r="G365" s="196"/>
      <c r="H365" s="196" t="s">
        <v>146</v>
      </c>
      <c r="I365" s="196"/>
      <c r="J365" s="450">
        <v>7.66</v>
      </c>
      <c r="K365" s="450">
        <v>1.375</v>
      </c>
      <c r="L365" s="450">
        <v>0.14899999999999999</v>
      </c>
      <c r="M365" s="451">
        <v>0</v>
      </c>
      <c r="N365" s="451">
        <v>0</v>
      </c>
      <c r="O365" s="451">
        <v>0</v>
      </c>
      <c r="P365" s="450">
        <v>0</v>
      </c>
    </row>
    <row r="366" spans="4:16" x14ac:dyDescent="0.25">
      <c r="F366" s="99" t="s">
        <v>1005</v>
      </c>
      <c r="G366" s="196"/>
      <c r="H366" s="196" t="s">
        <v>146</v>
      </c>
      <c r="I366" s="196"/>
      <c r="J366" s="450">
        <v>9.3420000000000005</v>
      </c>
      <c r="K366" s="450">
        <v>1.677</v>
      </c>
      <c r="L366" s="450">
        <v>0.182</v>
      </c>
      <c r="M366" s="451">
        <v>2.93</v>
      </c>
      <c r="N366" s="451">
        <v>0</v>
      </c>
      <c r="O366" s="451">
        <v>0</v>
      </c>
      <c r="P366" s="450">
        <v>0</v>
      </c>
    </row>
    <row r="367" spans="4:16" x14ac:dyDescent="0.25">
      <c r="F367" s="99" t="s">
        <v>1006</v>
      </c>
      <c r="G367" s="196"/>
      <c r="H367" s="196" t="s">
        <v>146</v>
      </c>
      <c r="I367" s="196"/>
      <c r="J367" s="450">
        <v>9.3420000000000005</v>
      </c>
      <c r="K367" s="450">
        <v>1.677</v>
      </c>
      <c r="L367" s="450">
        <v>0.182</v>
      </c>
      <c r="M367" s="451">
        <v>6.06</v>
      </c>
      <c r="N367" s="451">
        <v>0</v>
      </c>
      <c r="O367" s="451">
        <v>0</v>
      </c>
      <c r="P367" s="450">
        <v>0</v>
      </c>
    </row>
    <row r="368" spans="4:16" x14ac:dyDescent="0.25">
      <c r="F368" s="99" t="s">
        <v>1007</v>
      </c>
      <c r="G368" s="196"/>
      <c r="H368" s="196" t="s">
        <v>146</v>
      </c>
      <c r="I368" s="196"/>
      <c r="J368" s="450">
        <v>9.3420000000000005</v>
      </c>
      <c r="K368" s="450">
        <v>1.677</v>
      </c>
      <c r="L368" s="450">
        <v>0.182</v>
      </c>
      <c r="M368" s="451">
        <v>19.82</v>
      </c>
      <c r="N368" s="451">
        <v>0</v>
      </c>
      <c r="O368" s="451">
        <v>0</v>
      </c>
      <c r="P368" s="450">
        <v>0</v>
      </c>
    </row>
    <row r="369" spans="4:16" x14ac:dyDescent="0.25">
      <c r="F369" s="99" t="s">
        <v>1008</v>
      </c>
      <c r="G369" s="196"/>
      <c r="H369" s="196" t="s">
        <v>146</v>
      </c>
      <c r="I369" s="196"/>
      <c r="J369" s="450">
        <v>9.3420000000000005</v>
      </c>
      <c r="K369" s="450">
        <v>1.677</v>
      </c>
      <c r="L369" s="450">
        <v>0.182</v>
      </c>
      <c r="M369" s="451">
        <v>44.78</v>
      </c>
      <c r="N369" s="451">
        <v>0</v>
      </c>
      <c r="O369" s="451">
        <v>0</v>
      </c>
      <c r="P369" s="450">
        <v>0</v>
      </c>
    </row>
    <row r="370" spans="4:16" x14ac:dyDescent="0.25">
      <c r="F370" s="99" t="s">
        <v>1009</v>
      </c>
      <c r="G370" s="196"/>
      <c r="H370" s="196" t="s">
        <v>146</v>
      </c>
      <c r="I370" s="196"/>
      <c r="J370" s="450">
        <v>9.3420000000000005</v>
      </c>
      <c r="K370" s="450">
        <v>1.677</v>
      </c>
      <c r="L370" s="450">
        <v>0.182</v>
      </c>
      <c r="M370" s="451">
        <v>137.9</v>
      </c>
      <c r="N370" s="451">
        <v>0</v>
      </c>
      <c r="O370" s="451">
        <v>0</v>
      </c>
      <c r="P370" s="450">
        <v>0</v>
      </c>
    </row>
    <row r="371" spans="4:16" s="293" customFormat="1" x14ac:dyDescent="0.25">
      <c r="D371" s="98"/>
      <c r="E371" s="98"/>
      <c r="F371" s="99" t="s">
        <v>931</v>
      </c>
      <c r="G371" s="196"/>
      <c r="H371" s="196" t="s">
        <v>146</v>
      </c>
      <c r="I371" s="196"/>
      <c r="J371" s="450">
        <v>9.3420000000000005</v>
      </c>
      <c r="K371" s="450">
        <v>1.677</v>
      </c>
      <c r="L371" s="450">
        <v>0.182</v>
      </c>
      <c r="M371" s="451">
        <v>0</v>
      </c>
      <c r="N371" s="451">
        <v>0</v>
      </c>
      <c r="O371" s="451">
        <v>0</v>
      </c>
      <c r="P371" s="450">
        <v>0</v>
      </c>
    </row>
    <row r="372" spans="4:16" s="293" customFormat="1" x14ac:dyDescent="0.25">
      <c r="D372" s="98"/>
      <c r="E372" s="98"/>
      <c r="F372" s="99" t="s">
        <v>1010</v>
      </c>
      <c r="G372" s="196"/>
      <c r="H372" s="196" t="s">
        <v>146</v>
      </c>
      <c r="I372" s="196"/>
      <c r="J372" s="450">
        <v>6.1440000000000001</v>
      </c>
      <c r="K372" s="450">
        <v>1.0149999999999999</v>
      </c>
      <c r="L372" s="450">
        <v>0.114</v>
      </c>
      <c r="M372" s="451">
        <v>11.15</v>
      </c>
      <c r="N372" s="451">
        <v>2.15</v>
      </c>
      <c r="O372" s="451">
        <v>3.81</v>
      </c>
      <c r="P372" s="450">
        <v>0.30599999999999999</v>
      </c>
    </row>
    <row r="373" spans="4:16" s="293" customFormat="1" x14ac:dyDescent="0.25">
      <c r="D373" s="98"/>
      <c r="E373" s="98"/>
      <c r="F373" s="99" t="s">
        <v>1011</v>
      </c>
      <c r="G373" s="196"/>
      <c r="H373" s="196" t="s">
        <v>146</v>
      </c>
      <c r="I373" s="196"/>
      <c r="J373" s="450">
        <v>6.1440000000000001</v>
      </c>
      <c r="K373" s="450">
        <v>1.0149999999999999</v>
      </c>
      <c r="L373" s="450">
        <v>0.114</v>
      </c>
      <c r="M373" s="451">
        <v>215.02</v>
      </c>
      <c r="N373" s="451">
        <v>2.15</v>
      </c>
      <c r="O373" s="451">
        <v>3.81</v>
      </c>
      <c r="P373" s="450">
        <v>0.30599999999999999</v>
      </c>
    </row>
    <row r="374" spans="4:16" x14ac:dyDescent="0.25">
      <c r="F374" s="99" t="s">
        <v>1012</v>
      </c>
      <c r="G374" s="196"/>
      <c r="H374" s="196" t="s">
        <v>146</v>
      </c>
      <c r="I374" s="196"/>
      <c r="J374" s="450">
        <v>6.1440000000000001</v>
      </c>
      <c r="K374" s="450">
        <v>1.0149999999999999</v>
      </c>
      <c r="L374" s="450">
        <v>0.114</v>
      </c>
      <c r="M374" s="451">
        <v>480.11</v>
      </c>
      <c r="N374" s="451">
        <v>2.15</v>
      </c>
      <c r="O374" s="451">
        <v>3.81</v>
      </c>
      <c r="P374" s="450">
        <v>0.30599999999999999</v>
      </c>
    </row>
    <row r="375" spans="4:16" x14ac:dyDescent="0.25">
      <c r="F375" s="99" t="s">
        <v>1013</v>
      </c>
      <c r="G375" s="196"/>
      <c r="H375" s="196" t="s">
        <v>146</v>
      </c>
      <c r="I375" s="196"/>
      <c r="J375" s="450">
        <v>6.1440000000000001</v>
      </c>
      <c r="K375" s="450">
        <v>1.0149999999999999</v>
      </c>
      <c r="L375" s="450">
        <v>0.114</v>
      </c>
      <c r="M375" s="451">
        <v>801.09</v>
      </c>
      <c r="N375" s="451">
        <v>2.15</v>
      </c>
      <c r="O375" s="451">
        <v>3.81</v>
      </c>
      <c r="P375" s="450">
        <v>0.30599999999999999</v>
      </c>
    </row>
    <row r="376" spans="4:16" x14ac:dyDescent="0.25">
      <c r="F376" s="99" t="s">
        <v>1014</v>
      </c>
      <c r="G376" s="196"/>
      <c r="H376" s="196" t="s">
        <v>146</v>
      </c>
      <c r="I376" s="196"/>
      <c r="J376" s="450">
        <v>6.1440000000000001</v>
      </c>
      <c r="K376" s="450">
        <v>1.0149999999999999</v>
      </c>
      <c r="L376" s="450">
        <v>0.114</v>
      </c>
      <c r="M376" s="451">
        <v>1732.28</v>
      </c>
      <c r="N376" s="451">
        <v>2.15</v>
      </c>
      <c r="O376" s="451">
        <v>3.81</v>
      </c>
      <c r="P376" s="450">
        <v>0.30599999999999999</v>
      </c>
    </row>
    <row r="377" spans="4:16" x14ac:dyDescent="0.25">
      <c r="F377" s="99" t="s">
        <v>1015</v>
      </c>
      <c r="G377" s="196"/>
      <c r="H377" s="196" t="s">
        <v>146</v>
      </c>
      <c r="I377" s="196"/>
      <c r="J377" s="452">
        <v>0</v>
      </c>
      <c r="K377" s="452">
        <v>0</v>
      </c>
      <c r="L377" s="452">
        <v>0</v>
      </c>
      <c r="M377" s="453">
        <v>0</v>
      </c>
      <c r="N377" s="453">
        <v>0</v>
      </c>
      <c r="O377" s="453">
        <v>0</v>
      </c>
      <c r="P377" s="452">
        <v>0</v>
      </c>
    </row>
    <row r="378" spans="4:16" s="293" customFormat="1" x14ac:dyDescent="0.25">
      <c r="D378" s="98"/>
      <c r="E378" s="98"/>
      <c r="F378" s="99" t="s">
        <v>1016</v>
      </c>
      <c r="G378" s="196"/>
      <c r="H378" s="196" t="s">
        <v>146</v>
      </c>
      <c r="I378" s="196"/>
      <c r="J378" s="452">
        <v>0</v>
      </c>
      <c r="K378" s="452">
        <v>0</v>
      </c>
      <c r="L378" s="452">
        <v>0</v>
      </c>
      <c r="M378" s="453">
        <v>0</v>
      </c>
      <c r="N378" s="453">
        <v>0</v>
      </c>
      <c r="O378" s="453">
        <v>0</v>
      </c>
      <c r="P378" s="452">
        <v>0</v>
      </c>
    </row>
    <row r="379" spans="4:16" s="293" customFormat="1" x14ac:dyDescent="0.25">
      <c r="D379" s="98"/>
      <c r="E379" s="98"/>
      <c r="F379" s="99" t="s">
        <v>1017</v>
      </c>
      <c r="G379" s="196"/>
      <c r="H379" s="196" t="s">
        <v>146</v>
      </c>
      <c r="I379" s="196"/>
      <c r="J379" s="452">
        <v>0</v>
      </c>
      <c r="K379" s="452">
        <v>0</v>
      </c>
      <c r="L379" s="452">
        <v>0</v>
      </c>
      <c r="M379" s="453">
        <v>0</v>
      </c>
      <c r="N379" s="453">
        <v>0</v>
      </c>
      <c r="O379" s="453">
        <v>0</v>
      </c>
      <c r="P379" s="452">
        <v>0</v>
      </c>
    </row>
    <row r="380" spans="4:16" s="293" customFormat="1" x14ac:dyDescent="0.25">
      <c r="D380" s="98"/>
      <c r="E380" s="98"/>
      <c r="F380" s="99" t="s">
        <v>1018</v>
      </c>
      <c r="G380" s="196"/>
      <c r="H380" s="196" t="s">
        <v>146</v>
      </c>
      <c r="I380" s="196"/>
      <c r="J380" s="452">
        <v>0</v>
      </c>
      <c r="K380" s="452">
        <v>0</v>
      </c>
      <c r="L380" s="452">
        <v>0</v>
      </c>
      <c r="M380" s="453">
        <v>0</v>
      </c>
      <c r="N380" s="453">
        <v>0</v>
      </c>
      <c r="O380" s="453">
        <v>0</v>
      </c>
      <c r="P380" s="452">
        <v>0</v>
      </c>
    </row>
    <row r="381" spans="4:16" s="293" customFormat="1" x14ac:dyDescent="0.25">
      <c r="D381" s="98"/>
      <c r="E381" s="98"/>
      <c r="F381" s="99" t="s">
        <v>1019</v>
      </c>
      <c r="G381" s="196"/>
      <c r="H381" s="196" t="s">
        <v>146</v>
      </c>
      <c r="I381" s="196"/>
      <c r="J381" s="452">
        <v>0</v>
      </c>
      <c r="K381" s="452">
        <v>0</v>
      </c>
      <c r="L381" s="452">
        <v>0</v>
      </c>
      <c r="M381" s="453">
        <v>0</v>
      </c>
      <c r="N381" s="453">
        <v>0</v>
      </c>
      <c r="O381" s="453">
        <v>0</v>
      </c>
      <c r="P381" s="452">
        <v>0</v>
      </c>
    </row>
    <row r="382" spans="4:16" s="293" customFormat="1" x14ac:dyDescent="0.25">
      <c r="D382" s="98"/>
      <c r="E382" s="98"/>
      <c r="F382" s="99" t="s">
        <v>1020</v>
      </c>
      <c r="G382" s="196"/>
      <c r="H382" s="196" t="s">
        <v>146</v>
      </c>
      <c r="I382" s="196"/>
      <c r="J382" s="452">
        <v>0</v>
      </c>
      <c r="K382" s="452">
        <v>0</v>
      </c>
      <c r="L382" s="452">
        <v>0</v>
      </c>
      <c r="M382" s="453">
        <v>0</v>
      </c>
      <c r="N382" s="453">
        <v>0</v>
      </c>
      <c r="O382" s="453">
        <v>0</v>
      </c>
      <c r="P382" s="452">
        <v>0</v>
      </c>
    </row>
    <row r="383" spans="4:16" s="293" customFormat="1" x14ac:dyDescent="0.25">
      <c r="D383" s="98"/>
      <c r="E383" s="98"/>
      <c r="F383" s="99" t="s">
        <v>1021</v>
      </c>
      <c r="G383" s="196"/>
      <c r="H383" s="196" t="s">
        <v>146</v>
      </c>
      <c r="I383" s="196"/>
      <c r="J383" s="452">
        <v>0</v>
      </c>
      <c r="K383" s="452">
        <v>0</v>
      </c>
      <c r="L383" s="452">
        <v>0</v>
      </c>
      <c r="M383" s="453">
        <v>0</v>
      </c>
      <c r="N383" s="453">
        <v>0</v>
      </c>
      <c r="O383" s="453">
        <v>0</v>
      </c>
      <c r="P383" s="452">
        <v>0</v>
      </c>
    </row>
    <row r="384" spans="4:16" s="293" customFormat="1" x14ac:dyDescent="0.25">
      <c r="D384" s="98"/>
      <c r="E384" s="98"/>
      <c r="F384" s="99" t="s">
        <v>1022</v>
      </c>
      <c r="G384" s="196"/>
      <c r="H384" s="196" t="s">
        <v>146</v>
      </c>
      <c r="I384" s="196"/>
      <c r="J384" s="452">
        <v>0</v>
      </c>
      <c r="K384" s="452">
        <v>0</v>
      </c>
      <c r="L384" s="452">
        <v>0</v>
      </c>
      <c r="M384" s="453">
        <v>0</v>
      </c>
      <c r="N384" s="453">
        <v>0</v>
      </c>
      <c r="O384" s="453">
        <v>0</v>
      </c>
      <c r="P384" s="452">
        <v>0</v>
      </c>
    </row>
    <row r="385" spans="4:19" s="293" customFormat="1" x14ac:dyDescent="0.25">
      <c r="D385" s="98"/>
      <c r="E385" s="98"/>
      <c r="F385" s="99" t="s">
        <v>1023</v>
      </c>
      <c r="G385" s="196"/>
      <c r="H385" s="196" t="s">
        <v>146</v>
      </c>
      <c r="I385" s="196"/>
      <c r="J385" s="452">
        <v>0</v>
      </c>
      <c r="K385" s="452">
        <v>0</v>
      </c>
      <c r="L385" s="452">
        <v>0</v>
      </c>
      <c r="M385" s="453">
        <v>0</v>
      </c>
      <c r="N385" s="453">
        <v>0</v>
      </c>
      <c r="O385" s="453">
        <v>0</v>
      </c>
      <c r="P385" s="452">
        <v>0</v>
      </c>
    </row>
    <row r="386" spans="4:19" s="293" customFormat="1" x14ac:dyDescent="0.25">
      <c r="D386" s="98"/>
      <c r="E386" s="98"/>
      <c r="F386" s="99" t="s">
        <v>1024</v>
      </c>
      <c r="G386" s="196"/>
      <c r="H386" s="196" t="s">
        <v>146</v>
      </c>
      <c r="I386" s="196"/>
      <c r="J386" s="452">
        <v>0</v>
      </c>
      <c r="K386" s="452">
        <v>0</v>
      </c>
      <c r="L386" s="452">
        <v>0</v>
      </c>
      <c r="M386" s="453">
        <v>0</v>
      </c>
      <c r="N386" s="453">
        <v>0</v>
      </c>
      <c r="O386" s="453">
        <v>0</v>
      </c>
      <c r="P386" s="452">
        <v>0</v>
      </c>
    </row>
    <row r="387" spans="4:19" s="293" customFormat="1" x14ac:dyDescent="0.25">
      <c r="D387" s="98"/>
      <c r="E387" s="98"/>
      <c r="F387" s="99" t="s">
        <v>935</v>
      </c>
      <c r="G387" s="196"/>
      <c r="H387" s="196" t="s">
        <v>146</v>
      </c>
      <c r="I387" s="196"/>
      <c r="J387" s="450">
        <v>14.247999999999999</v>
      </c>
      <c r="K387" s="450">
        <v>2.887</v>
      </c>
      <c r="L387" s="450">
        <v>1.232</v>
      </c>
      <c r="M387" s="451">
        <v>0</v>
      </c>
      <c r="N387" s="451">
        <v>0</v>
      </c>
      <c r="O387" s="451">
        <v>0</v>
      </c>
      <c r="P387" s="450">
        <v>0</v>
      </c>
    </row>
    <row r="388" spans="4:19" s="293" customFormat="1" x14ac:dyDescent="0.25">
      <c r="D388" s="98"/>
      <c r="E388" s="98"/>
      <c r="F388" s="99" t="s">
        <v>936</v>
      </c>
      <c r="G388" s="196"/>
      <c r="H388" s="196" t="s">
        <v>146</v>
      </c>
      <c r="I388" s="196"/>
      <c r="J388" s="450">
        <v>-9.2669999999999995</v>
      </c>
      <c r="K388" s="450">
        <v>-1.663</v>
      </c>
      <c r="L388" s="450">
        <v>-0.18</v>
      </c>
      <c r="M388" s="451">
        <v>0</v>
      </c>
      <c r="N388" s="451">
        <v>0</v>
      </c>
      <c r="O388" s="451">
        <v>0</v>
      </c>
      <c r="P388" s="450">
        <v>0</v>
      </c>
    </row>
    <row r="389" spans="4:19" s="293" customFormat="1" x14ac:dyDescent="0.25">
      <c r="D389" s="98"/>
      <c r="E389" s="98"/>
      <c r="F389" s="99" t="s">
        <v>937</v>
      </c>
      <c r="G389" s="196"/>
      <c r="H389" s="196" t="s">
        <v>146</v>
      </c>
      <c r="I389" s="196"/>
      <c r="J389" s="452">
        <v>0</v>
      </c>
      <c r="K389" s="452">
        <v>0</v>
      </c>
      <c r="L389" s="452">
        <v>0</v>
      </c>
      <c r="M389" s="453">
        <v>0</v>
      </c>
      <c r="N389" s="453">
        <v>0</v>
      </c>
      <c r="O389" s="453">
        <v>0</v>
      </c>
      <c r="P389" s="452">
        <v>0</v>
      </c>
    </row>
    <row r="390" spans="4:19" s="293" customFormat="1" x14ac:dyDescent="0.25">
      <c r="D390" s="98"/>
      <c r="E390" s="98"/>
      <c r="F390" s="99" t="s">
        <v>938</v>
      </c>
      <c r="G390" s="196"/>
      <c r="H390" s="196" t="s">
        <v>146</v>
      </c>
      <c r="I390" s="196"/>
      <c r="J390" s="450">
        <v>-9.2669999999999995</v>
      </c>
      <c r="K390" s="450">
        <v>-1.663</v>
      </c>
      <c r="L390" s="450">
        <v>-0.18</v>
      </c>
      <c r="M390" s="451">
        <v>0</v>
      </c>
      <c r="N390" s="451">
        <v>0</v>
      </c>
      <c r="O390" s="451">
        <v>0</v>
      </c>
      <c r="P390" s="450">
        <v>0.42599999999999999</v>
      </c>
    </row>
    <row r="391" spans="4:19" x14ac:dyDescent="0.25">
      <c r="F391" s="99" t="s">
        <v>939</v>
      </c>
      <c r="G391" s="196"/>
      <c r="H391" s="196" t="s">
        <v>146</v>
      </c>
      <c r="I391" s="196"/>
      <c r="J391" s="452">
        <v>0</v>
      </c>
      <c r="K391" s="452">
        <v>0</v>
      </c>
      <c r="L391" s="452">
        <v>0</v>
      </c>
      <c r="M391" s="453">
        <v>0</v>
      </c>
      <c r="N391" s="453">
        <v>0</v>
      </c>
      <c r="O391" s="453">
        <v>0</v>
      </c>
      <c r="P391" s="452">
        <v>0</v>
      </c>
    </row>
    <row r="392" spans="4:19" x14ac:dyDescent="0.25">
      <c r="F392" s="99" t="s">
        <v>940</v>
      </c>
      <c r="G392" s="196"/>
      <c r="H392" s="196" t="s">
        <v>146</v>
      </c>
      <c r="I392" s="196"/>
      <c r="J392" s="452">
        <v>0</v>
      </c>
      <c r="K392" s="452">
        <v>0</v>
      </c>
      <c r="L392" s="452">
        <v>0</v>
      </c>
      <c r="M392" s="453">
        <v>0</v>
      </c>
      <c r="N392" s="453">
        <v>0</v>
      </c>
      <c r="O392" s="453">
        <v>0</v>
      </c>
      <c r="P392" s="452">
        <v>0</v>
      </c>
    </row>
    <row r="393" spans="4:19" x14ac:dyDescent="0.25">
      <c r="F393" s="99" t="s">
        <v>941</v>
      </c>
      <c r="G393" s="196"/>
      <c r="H393" s="196" t="s">
        <v>146</v>
      </c>
      <c r="I393" s="196"/>
      <c r="J393" s="452">
        <v>0</v>
      </c>
      <c r="K393" s="452">
        <v>0</v>
      </c>
      <c r="L393" s="452">
        <v>0</v>
      </c>
      <c r="M393" s="453">
        <v>0</v>
      </c>
      <c r="N393" s="453">
        <v>0</v>
      </c>
      <c r="O393" s="453">
        <v>0</v>
      </c>
      <c r="P393" s="452">
        <v>0</v>
      </c>
    </row>
    <row r="394" spans="4:19" x14ac:dyDescent="0.25">
      <c r="F394" s="99" t="s">
        <v>942</v>
      </c>
      <c r="G394" s="196"/>
      <c r="H394" s="196" t="s">
        <v>146</v>
      </c>
      <c r="I394" s="196"/>
      <c r="J394" s="452">
        <v>0</v>
      </c>
      <c r="K394" s="452">
        <v>0</v>
      </c>
      <c r="L394" s="452">
        <v>0</v>
      </c>
      <c r="M394" s="453">
        <v>0</v>
      </c>
      <c r="N394" s="453">
        <v>0</v>
      </c>
      <c r="O394" s="453">
        <v>0</v>
      </c>
      <c r="P394" s="452">
        <v>0</v>
      </c>
    </row>
    <row r="395" spans="4:19" x14ac:dyDescent="0.25">
      <c r="F395" s="100" t="s">
        <v>943</v>
      </c>
      <c r="G395" s="93"/>
      <c r="H395" s="93" t="s">
        <v>146</v>
      </c>
      <c r="I395" s="93"/>
      <c r="J395" s="437">
        <v>0</v>
      </c>
      <c r="K395" s="437">
        <v>0</v>
      </c>
      <c r="L395" s="437">
        <v>0</v>
      </c>
      <c r="M395" s="343">
        <v>0</v>
      </c>
      <c r="N395" s="343">
        <v>0</v>
      </c>
      <c r="O395" s="343">
        <v>0</v>
      </c>
      <c r="P395" s="437">
        <v>0</v>
      </c>
    </row>
    <row r="396" spans="4:19" x14ac:dyDescent="0.25">
      <c r="D396" s="195"/>
      <c r="E396" s="195"/>
      <c r="F396" s="293"/>
      <c r="G396" s="293"/>
      <c r="H396" s="293"/>
      <c r="I396" s="293"/>
      <c r="J396" s="436"/>
      <c r="K396" s="436"/>
      <c r="L396" s="436"/>
      <c r="M396" s="342"/>
      <c r="N396" s="342"/>
      <c r="O396" s="342"/>
      <c r="P396" s="436"/>
      <c r="Q396" s="195"/>
      <c r="R396" s="195"/>
      <c r="S396" s="195"/>
    </row>
    <row r="397" spans="4:19" x14ac:dyDescent="0.25">
      <c r="D397" s="96"/>
      <c r="E397" s="96" t="str">
        <f>"LDNO HV tariff forecast "&amp; 'ARP_User control'!G33</f>
        <v>LDNO HV tariff forecast 2024/25</v>
      </c>
      <c r="F397" s="293"/>
      <c r="G397" s="293"/>
      <c r="H397" s="293"/>
      <c r="I397" s="293"/>
      <c r="J397" s="436"/>
      <c r="K397" s="436"/>
      <c r="L397" s="436"/>
      <c r="M397" s="342"/>
      <c r="N397" s="342"/>
      <c r="O397" s="342"/>
      <c r="P397" s="436"/>
      <c r="Q397" s="195"/>
      <c r="R397" s="195"/>
      <c r="S397" s="195"/>
    </row>
    <row r="398" spans="4:19" x14ac:dyDescent="0.25">
      <c r="F398" s="103" t="s">
        <v>1004</v>
      </c>
      <c r="G398" s="91"/>
      <c r="H398" s="91" t="s">
        <v>147</v>
      </c>
      <c r="I398" s="91"/>
      <c r="J398" s="434">
        <v>5.57</v>
      </c>
      <c r="K398" s="434">
        <v>1</v>
      </c>
      <c r="L398" s="434">
        <v>0.108</v>
      </c>
      <c r="M398" s="339">
        <v>8.0500000000000007</v>
      </c>
      <c r="N398" s="339">
        <v>0</v>
      </c>
      <c r="O398" s="339">
        <v>0</v>
      </c>
      <c r="P398" s="434">
        <v>0</v>
      </c>
    </row>
    <row r="399" spans="4:19" x14ac:dyDescent="0.25">
      <c r="F399" s="99" t="s">
        <v>929</v>
      </c>
      <c r="G399" s="196"/>
      <c r="H399" s="196" t="s">
        <v>147</v>
      </c>
      <c r="I399" s="196"/>
      <c r="J399" s="450">
        <v>5.57</v>
      </c>
      <c r="K399" s="450">
        <v>1</v>
      </c>
      <c r="L399" s="450">
        <v>0.108</v>
      </c>
      <c r="M399" s="451">
        <v>0</v>
      </c>
      <c r="N399" s="451">
        <v>0</v>
      </c>
      <c r="O399" s="451">
        <v>0</v>
      </c>
      <c r="P399" s="450">
        <v>0</v>
      </c>
    </row>
    <row r="400" spans="4:19" x14ac:dyDescent="0.25">
      <c r="F400" s="99" t="s">
        <v>1005</v>
      </c>
      <c r="G400" s="196"/>
      <c r="H400" s="196" t="s">
        <v>147</v>
      </c>
      <c r="I400" s="196"/>
      <c r="J400" s="450">
        <v>6.7919999999999998</v>
      </c>
      <c r="K400" s="450">
        <v>1.2190000000000001</v>
      </c>
      <c r="L400" s="450">
        <v>0.13200000000000001</v>
      </c>
      <c r="M400" s="451">
        <v>2.13</v>
      </c>
      <c r="N400" s="451">
        <v>0</v>
      </c>
      <c r="O400" s="451">
        <v>0</v>
      </c>
      <c r="P400" s="450">
        <v>0</v>
      </c>
    </row>
    <row r="401" spans="4:16" x14ac:dyDescent="0.25">
      <c r="F401" s="99" t="s">
        <v>1006</v>
      </c>
      <c r="G401" s="196"/>
      <c r="H401" s="196" t="s">
        <v>147</v>
      </c>
      <c r="I401" s="196"/>
      <c r="J401" s="450">
        <v>6.7919999999999998</v>
      </c>
      <c r="K401" s="450">
        <v>1.2190000000000001</v>
      </c>
      <c r="L401" s="450">
        <v>0.13200000000000001</v>
      </c>
      <c r="M401" s="451">
        <v>4.4000000000000004</v>
      </c>
      <c r="N401" s="451">
        <v>0</v>
      </c>
      <c r="O401" s="451">
        <v>0</v>
      </c>
      <c r="P401" s="450">
        <v>0</v>
      </c>
    </row>
    <row r="402" spans="4:16" x14ac:dyDescent="0.25">
      <c r="F402" s="99" t="s">
        <v>1007</v>
      </c>
      <c r="G402" s="196"/>
      <c r="H402" s="196" t="s">
        <v>147</v>
      </c>
      <c r="I402" s="196"/>
      <c r="J402" s="450">
        <v>6.7919999999999998</v>
      </c>
      <c r="K402" s="450">
        <v>1.2190000000000001</v>
      </c>
      <c r="L402" s="450">
        <v>0.13200000000000001</v>
      </c>
      <c r="M402" s="451">
        <v>14.41</v>
      </c>
      <c r="N402" s="451">
        <v>0</v>
      </c>
      <c r="O402" s="451">
        <v>0</v>
      </c>
      <c r="P402" s="450">
        <v>0</v>
      </c>
    </row>
    <row r="403" spans="4:16" x14ac:dyDescent="0.25">
      <c r="F403" s="99" t="s">
        <v>1008</v>
      </c>
      <c r="G403" s="196"/>
      <c r="H403" s="196" t="s">
        <v>147</v>
      </c>
      <c r="I403" s="196"/>
      <c r="J403" s="450">
        <v>6.7919999999999998</v>
      </c>
      <c r="K403" s="450">
        <v>1.2190000000000001</v>
      </c>
      <c r="L403" s="450">
        <v>0.13200000000000001</v>
      </c>
      <c r="M403" s="451">
        <v>32.56</v>
      </c>
      <c r="N403" s="451">
        <v>0</v>
      </c>
      <c r="O403" s="451">
        <v>0</v>
      </c>
      <c r="P403" s="450">
        <v>0</v>
      </c>
    </row>
    <row r="404" spans="4:16" x14ac:dyDescent="0.25">
      <c r="F404" s="99" t="s">
        <v>1009</v>
      </c>
      <c r="G404" s="196"/>
      <c r="H404" s="196" t="s">
        <v>147</v>
      </c>
      <c r="I404" s="196"/>
      <c r="J404" s="450">
        <v>6.7919999999999998</v>
      </c>
      <c r="K404" s="450">
        <v>1.2190000000000001</v>
      </c>
      <c r="L404" s="450">
        <v>0.13200000000000001</v>
      </c>
      <c r="M404" s="451">
        <v>100.27</v>
      </c>
      <c r="N404" s="451">
        <v>0</v>
      </c>
      <c r="O404" s="451">
        <v>0</v>
      </c>
      <c r="P404" s="450">
        <v>0</v>
      </c>
    </row>
    <row r="405" spans="4:16" s="293" customFormat="1" x14ac:dyDescent="0.25">
      <c r="D405" s="98"/>
      <c r="E405" s="98"/>
      <c r="F405" s="99" t="s">
        <v>931</v>
      </c>
      <c r="G405" s="196"/>
      <c r="H405" s="196" t="s">
        <v>147</v>
      </c>
      <c r="I405" s="196"/>
      <c r="J405" s="450">
        <v>6.7919999999999998</v>
      </c>
      <c r="K405" s="450">
        <v>1.2190000000000001</v>
      </c>
      <c r="L405" s="450">
        <v>0.13200000000000001</v>
      </c>
      <c r="M405" s="451">
        <v>0</v>
      </c>
      <c r="N405" s="451">
        <v>0</v>
      </c>
      <c r="O405" s="451">
        <v>0</v>
      </c>
      <c r="P405" s="450">
        <v>0</v>
      </c>
    </row>
    <row r="406" spans="4:16" s="293" customFormat="1" x14ac:dyDescent="0.25">
      <c r="D406" s="98"/>
      <c r="E406" s="98"/>
      <c r="F406" s="99" t="s">
        <v>1010</v>
      </c>
      <c r="G406" s="196"/>
      <c r="H406" s="196" t="s">
        <v>147</v>
      </c>
      <c r="I406" s="196"/>
      <c r="J406" s="450">
        <v>4.4669999999999996</v>
      </c>
      <c r="K406" s="450">
        <v>0.73799999999999999</v>
      </c>
      <c r="L406" s="450">
        <v>8.3000000000000004E-2</v>
      </c>
      <c r="M406" s="451">
        <v>8.11</v>
      </c>
      <c r="N406" s="451">
        <v>1.56</v>
      </c>
      <c r="O406" s="451">
        <v>2.77</v>
      </c>
      <c r="P406" s="450">
        <v>0.222</v>
      </c>
    </row>
    <row r="407" spans="4:16" s="293" customFormat="1" x14ac:dyDescent="0.25">
      <c r="D407" s="98"/>
      <c r="E407" s="98"/>
      <c r="F407" s="99" t="s">
        <v>1011</v>
      </c>
      <c r="G407" s="196"/>
      <c r="H407" s="196" t="s">
        <v>147</v>
      </c>
      <c r="I407" s="196"/>
      <c r="J407" s="450">
        <v>4.4669999999999996</v>
      </c>
      <c r="K407" s="450">
        <v>0.73799999999999999</v>
      </c>
      <c r="L407" s="450">
        <v>8.3000000000000004E-2</v>
      </c>
      <c r="M407" s="451">
        <v>156.33000000000001</v>
      </c>
      <c r="N407" s="451">
        <v>1.56</v>
      </c>
      <c r="O407" s="451">
        <v>2.77</v>
      </c>
      <c r="P407" s="450">
        <v>0.222</v>
      </c>
    </row>
    <row r="408" spans="4:16" x14ac:dyDescent="0.25">
      <c r="F408" s="99" t="s">
        <v>1012</v>
      </c>
      <c r="G408" s="196"/>
      <c r="H408" s="196" t="s">
        <v>147</v>
      </c>
      <c r="I408" s="196"/>
      <c r="J408" s="450">
        <v>4.4669999999999996</v>
      </c>
      <c r="K408" s="450">
        <v>0.73799999999999999</v>
      </c>
      <c r="L408" s="450">
        <v>8.3000000000000004E-2</v>
      </c>
      <c r="M408" s="451">
        <v>349.08</v>
      </c>
      <c r="N408" s="451">
        <v>1.56</v>
      </c>
      <c r="O408" s="451">
        <v>2.77</v>
      </c>
      <c r="P408" s="450">
        <v>0.222</v>
      </c>
    </row>
    <row r="409" spans="4:16" x14ac:dyDescent="0.25">
      <c r="F409" s="99" t="s">
        <v>1013</v>
      </c>
      <c r="G409" s="196"/>
      <c r="H409" s="196" t="s">
        <v>147</v>
      </c>
      <c r="I409" s="196"/>
      <c r="J409" s="450">
        <v>4.4669999999999996</v>
      </c>
      <c r="K409" s="450">
        <v>0.73799999999999999</v>
      </c>
      <c r="L409" s="450">
        <v>8.3000000000000004E-2</v>
      </c>
      <c r="M409" s="451">
        <v>582.45000000000005</v>
      </c>
      <c r="N409" s="451">
        <v>1.56</v>
      </c>
      <c r="O409" s="451">
        <v>2.77</v>
      </c>
      <c r="P409" s="450">
        <v>0.222</v>
      </c>
    </row>
    <row r="410" spans="4:16" x14ac:dyDescent="0.25">
      <c r="F410" s="99" t="s">
        <v>1014</v>
      </c>
      <c r="G410" s="196"/>
      <c r="H410" s="196" t="s">
        <v>147</v>
      </c>
      <c r="I410" s="196"/>
      <c r="J410" s="450">
        <v>4.4669999999999996</v>
      </c>
      <c r="K410" s="450">
        <v>0.73799999999999999</v>
      </c>
      <c r="L410" s="450">
        <v>8.3000000000000004E-2</v>
      </c>
      <c r="M410" s="451">
        <v>1259.49</v>
      </c>
      <c r="N410" s="451">
        <v>1.56</v>
      </c>
      <c r="O410" s="451">
        <v>2.77</v>
      </c>
      <c r="P410" s="450">
        <v>0.222</v>
      </c>
    </row>
    <row r="411" spans="4:16" x14ac:dyDescent="0.25">
      <c r="F411" s="99" t="s">
        <v>1015</v>
      </c>
      <c r="G411" s="196"/>
      <c r="H411" s="196" t="s">
        <v>147</v>
      </c>
      <c r="I411" s="196"/>
      <c r="J411" s="450">
        <v>5.7</v>
      </c>
      <c r="K411" s="450">
        <v>0.754</v>
      </c>
      <c r="L411" s="450">
        <v>9.5000000000000001E-2</v>
      </c>
      <c r="M411" s="451">
        <v>4.62</v>
      </c>
      <c r="N411" s="451">
        <v>5.09</v>
      </c>
      <c r="O411" s="451">
        <v>7.03</v>
      </c>
      <c r="P411" s="450">
        <v>0.23300000000000001</v>
      </c>
    </row>
    <row r="412" spans="4:16" s="293" customFormat="1" x14ac:dyDescent="0.25">
      <c r="D412" s="98"/>
      <c r="E412" s="98"/>
      <c r="F412" s="99" t="s">
        <v>1016</v>
      </c>
      <c r="G412" s="196"/>
      <c r="H412" s="196" t="s">
        <v>147</v>
      </c>
      <c r="I412" s="196"/>
      <c r="J412" s="450">
        <v>5.7</v>
      </c>
      <c r="K412" s="450">
        <v>0.754</v>
      </c>
      <c r="L412" s="450">
        <v>9.5000000000000001E-2</v>
      </c>
      <c r="M412" s="451">
        <v>244.1</v>
      </c>
      <c r="N412" s="451">
        <v>5.09</v>
      </c>
      <c r="O412" s="451">
        <v>7.03</v>
      </c>
      <c r="P412" s="450">
        <v>0.23300000000000001</v>
      </c>
    </row>
    <row r="413" spans="4:16" s="293" customFormat="1" x14ac:dyDescent="0.25">
      <c r="D413" s="98"/>
      <c r="E413" s="98"/>
      <c r="F413" s="99" t="s">
        <v>1017</v>
      </c>
      <c r="G413" s="196"/>
      <c r="H413" s="196" t="s">
        <v>147</v>
      </c>
      <c r="I413" s="196"/>
      <c r="J413" s="450">
        <v>5.7</v>
      </c>
      <c r="K413" s="450">
        <v>0.754</v>
      </c>
      <c r="L413" s="450">
        <v>9.5000000000000001E-2</v>
      </c>
      <c r="M413" s="451">
        <v>555.5</v>
      </c>
      <c r="N413" s="451">
        <v>5.09</v>
      </c>
      <c r="O413" s="451">
        <v>7.03</v>
      </c>
      <c r="P413" s="450">
        <v>0.23300000000000001</v>
      </c>
    </row>
    <row r="414" spans="4:16" s="293" customFormat="1" x14ac:dyDescent="0.25">
      <c r="D414" s="98"/>
      <c r="E414" s="98"/>
      <c r="F414" s="99" t="s">
        <v>1018</v>
      </c>
      <c r="G414" s="196"/>
      <c r="H414" s="196" t="s">
        <v>147</v>
      </c>
      <c r="I414" s="196"/>
      <c r="J414" s="450">
        <v>5.7</v>
      </c>
      <c r="K414" s="450">
        <v>0.754</v>
      </c>
      <c r="L414" s="450">
        <v>9.5000000000000001E-2</v>
      </c>
      <c r="M414" s="451">
        <v>932.56</v>
      </c>
      <c r="N414" s="451">
        <v>5.09</v>
      </c>
      <c r="O414" s="451">
        <v>7.03</v>
      </c>
      <c r="P414" s="450">
        <v>0.23300000000000001</v>
      </c>
    </row>
    <row r="415" spans="4:16" s="293" customFormat="1" x14ac:dyDescent="0.25">
      <c r="D415" s="98"/>
      <c r="E415" s="98"/>
      <c r="F415" s="99" t="s">
        <v>1019</v>
      </c>
      <c r="G415" s="196"/>
      <c r="H415" s="196" t="s">
        <v>147</v>
      </c>
      <c r="I415" s="196"/>
      <c r="J415" s="450">
        <v>5.7</v>
      </c>
      <c r="K415" s="450">
        <v>0.754</v>
      </c>
      <c r="L415" s="450">
        <v>9.5000000000000001E-2</v>
      </c>
      <c r="M415" s="451">
        <v>2026.4</v>
      </c>
      <c r="N415" s="451">
        <v>5.09</v>
      </c>
      <c r="O415" s="451">
        <v>7.03</v>
      </c>
      <c r="P415" s="450">
        <v>0.23300000000000001</v>
      </c>
    </row>
    <row r="416" spans="4:16" s="293" customFormat="1" x14ac:dyDescent="0.25">
      <c r="D416" s="98"/>
      <c r="E416" s="98"/>
      <c r="F416" s="99" t="s">
        <v>1020</v>
      </c>
      <c r="G416" s="196"/>
      <c r="H416" s="196" t="s">
        <v>147</v>
      </c>
      <c r="I416" s="196"/>
      <c r="J416" s="450">
        <v>4.8869999999999996</v>
      </c>
      <c r="K416" s="450">
        <v>0.56399999999999995</v>
      </c>
      <c r="L416" s="450">
        <v>7.0999999999999994E-2</v>
      </c>
      <c r="M416" s="451">
        <v>79.069999999999993</v>
      </c>
      <c r="N416" s="451">
        <v>4.3499999999999996</v>
      </c>
      <c r="O416" s="451">
        <v>7.18</v>
      </c>
      <c r="P416" s="450">
        <v>0.17599999999999999</v>
      </c>
    </row>
    <row r="417" spans="3:19" s="293" customFormat="1" x14ac:dyDescent="0.25">
      <c r="D417" s="98"/>
      <c r="E417" s="98"/>
      <c r="F417" s="99" t="s">
        <v>1021</v>
      </c>
      <c r="G417" s="196"/>
      <c r="H417" s="196" t="s">
        <v>147</v>
      </c>
      <c r="I417" s="196"/>
      <c r="J417" s="450">
        <v>4.8869999999999996</v>
      </c>
      <c r="K417" s="450">
        <v>0.56399999999999995</v>
      </c>
      <c r="L417" s="450">
        <v>7.0999999999999994E-2</v>
      </c>
      <c r="M417" s="451">
        <v>1625.26</v>
      </c>
      <c r="N417" s="451">
        <v>4.3499999999999996</v>
      </c>
      <c r="O417" s="451">
        <v>7.18</v>
      </c>
      <c r="P417" s="450">
        <v>0.17599999999999999</v>
      </c>
    </row>
    <row r="418" spans="3:19" s="293" customFormat="1" x14ac:dyDescent="0.25">
      <c r="D418" s="98"/>
      <c r="E418" s="98"/>
      <c r="F418" s="99" t="s">
        <v>1022</v>
      </c>
      <c r="G418" s="196"/>
      <c r="H418" s="196" t="s">
        <v>147</v>
      </c>
      <c r="I418" s="196"/>
      <c r="J418" s="450">
        <v>4.8869999999999996</v>
      </c>
      <c r="K418" s="450">
        <v>0.56399999999999995</v>
      </c>
      <c r="L418" s="450">
        <v>7.0999999999999994E-2</v>
      </c>
      <c r="M418" s="451">
        <v>5830.48</v>
      </c>
      <c r="N418" s="451">
        <v>4.3499999999999996</v>
      </c>
      <c r="O418" s="451">
        <v>7.18</v>
      </c>
      <c r="P418" s="450">
        <v>0.17599999999999999</v>
      </c>
    </row>
    <row r="419" spans="3:19" s="293" customFormat="1" x14ac:dyDescent="0.25">
      <c r="D419" s="98"/>
      <c r="E419" s="98"/>
      <c r="F419" s="99" t="s">
        <v>1023</v>
      </c>
      <c r="G419" s="196"/>
      <c r="H419" s="196" t="s">
        <v>147</v>
      </c>
      <c r="I419" s="196"/>
      <c r="J419" s="450">
        <v>4.8869999999999996</v>
      </c>
      <c r="K419" s="450">
        <v>0.56399999999999995</v>
      </c>
      <c r="L419" s="450">
        <v>7.0999999999999994E-2</v>
      </c>
      <c r="M419" s="451">
        <v>11727.55</v>
      </c>
      <c r="N419" s="451">
        <v>4.3499999999999996</v>
      </c>
      <c r="O419" s="451">
        <v>7.18</v>
      </c>
      <c r="P419" s="450">
        <v>0.17599999999999999</v>
      </c>
    </row>
    <row r="420" spans="3:19" s="293" customFormat="1" x14ac:dyDescent="0.25">
      <c r="D420" s="98"/>
      <c r="E420" s="98"/>
      <c r="F420" s="99" t="s">
        <v>1024</v>
      </c>
      <c r="G420" s="196"/>
      <c r="H420" s="196" t="s">
        <v>147</v>
      </c>
      <c r="I420" s="196"/>
      <c r="J420" s="450">
        <v>4.8869999999999996</v>
      </c>
      <c r="K420" s="450">
        <v>0.56399999999999995</v>
      </c>
      <c r="L420" s="450">
        <v>7.0999999999999994E-2</v>
      </c>
      <c r="M420" s="451">
        <v>21967.38</v>
      </c>
      <c r="N420" s="451">
        <v>4.3499999999999996</v>
      </c>
      <c r="O420" s="451">
        <v>7.18</v>
      </c>
      <c r="P420" s="450">
        <v>0.17599999999999999</v>
      </c>
    </row>
    <row r="421" spans="3:19" s="293" customFormat="1" x14ac:dyDescent="0.25">
      <c r="D421" s="98"/>
      <c r="E421" s="98"/>
      <c r="F421" s="99" t="s">
        <v>935</v>
      </c>
      <c r="G421" s="196"/>
      <c r="H421" s="196" t="s">
        <v>147</v>
      </c>
      <c r="I421" s="196"/>
      <c r="J421" s="450">
        <v>10.359</v>
      </c>
      <c r="K421" s="450">
        <v>2.0990000000000002</v>
      </c>
      <c r="L421" s="450">
        <v>0.89600000000000002</v>
      </c>
      <c r="M421" s="451">
        <v>0</v>
      </c>
      <c r="N421" s="451">
        <v>0</v>
      </c>
      <c r="O421" s="451">
        <v>0</v>
      </c>
      <c r="P421" s="450">
        <v>0</v>
      </c>
    </row>
    <row r="422" spans="3:19" s="293" customFormat="1" x14ac:dyDescent="0.25">
      <c r="D422" s="98"/>
      <c r="E422" s="98"/>
      <c r="F422" s="99" t="s">
        <v>936</v>
      </c>
      <c r="G422" s="196"/>
      <c r="H422" s="196" t="s">
        <v>147</v>
      </c>
      <c r="I422" s="196"/>
      <c r="J422" s="450">
        <v>-9.2669999999999995</v>
      </c>
      <c r="K422" s="450">
        <v>-1.663</v>
      </c>
      <c r="L422" s="450">
        <v>-0.18</v>
      </c>
      <c r="M422" s="451">
        <v>0</v>
      </c>
      <c r="N422" s="451">
        <v>0</v>
      </c>
      <c r="O422" s="451">
        <v>0</v>
      </c>
      <c r="P422" s="450">
        <v>0</v>
      </c>
    </row>
    <row r="423" spans="3:19" s="293" customFormat="1" x14ac:dyDescent="0.25">
      <c r="D423" s="98"/>
      <c r="E423" s="98"/>
      <c r="F423" s="99" t="s">
        <v>937</v>
      </c>
      <c r="G423" s="196"/>
      <c r="H423" s="196" t="s">
        <v>147</v>
      </c>
      <c r="I423" s="196"/>
      <c r="J423" s="450">
        <v>-8.3650000000000002</v>
      </c>
      <c r="K423" s="450">
        <v>-1.4350000000000001</v>
      </c>
      <c r="L423" s="450">
        <v>-0.159</v>
      </c>
      <c r="M423" s="451">
        <v>0</v>
      </c>
      <c r="N423" s="451">
        <v>0</v>
      </c>
      <c r="O423" s="451">
        <v>0</v>
      </c>
      <c r="P423" s="450">
        <v>0</v>
      </c>
    </row>
    <row r="424" spans="3:19" s="293" customFormat="1" x14ac:dyDescent="0.25">
      <c r="D424" s="98"/>
      <c r="E424" s="98"/>
      <c r="F424" s="99" t="s">
        <v>938</v>
      </c>
      <c r="G424" s="196"/>
      <c r="H424" s="196" t="s">
        <v>147</v>
      </c>
      <c r="I424" s="196"/>
      <c r="J424" s="450">
        <v>-9.2669999999999995</v>
      </c>
      <c r="K424" s="450">
        <v>-1.663</v>
      </c>
      <c r="L424" s="450">
        <v>-0.18</v>
      </c>
      <c r="M424" s="451">
        <v>0</v>
      </c>
      <c r="N424" s="451">
        <v>0</v>
      </c>
      <c r="O424" s="451">
        <v>0</v>
      </c>
      <c r="P424" s="450">
        <v>0.42599999999999999</v>
      </c>
    </row>
    <row r="425" spans="3:19" x14ac:dyDescent="0.25">
      <c r="F425" s="99" t="s">
        <v>939</v>
      </c>
      <c r="G425" s="196"/>
      <c r="H425" s="196" t="s">
        <v>147</v>
      </c>
      <c r="I425" s="196"/>
      <c r="J425" s="452">
        <v>0</v>
      </c>
      <c r="K425" s="452">
        <v>0</v>
      </c>
      <c r="L425" s="452">
        <v>0</v>
      </c>
      <c r="M425" s="453">
        <v>0</v>
      </c>
      <c r="N425" s="453">
        <v>0</v>
      </c>
      <c r="O425" s="453">
        <v>0</v>
      </c>
      <c r="P425" s="452">
        <v>0</v>
      </c>
    </row>
    <row r="426" spans="3:19" x14ac:dyDescent="0.25">
      <c r="F426" s="99" t="s">
        <v>940</v>
      </c>
      <c r="G426" s="196"/>
      <c r="H426" s="196" t="s">
        <v>147</v>
      </c>
      <c r="I426" s="196"/>
      <c r="J426" s="450">
        <v>-8.3650000000000002</v>
      </c>
      <c r="K426" s="450">
        <v>-1.4350000000000001</v>
      </c>
      <c r="L426" s="450">
        <v>-0.159</v>
      </c>
      <c r="M426" s="451">
        <v>0</v>
      </c>
      <c r="N426" s="451">
        <v>0</v>
      </c>
      <c r="O426" s="451">
        <v>0</v>
      </c>
      <c r="P426" s="450">
        <v>0.39200000000000002</v>
      </c>
    </row>
    <row r="427" spans="3:19" x14ac:dyDescent="0.25">
      <c r="F427" s="99" t="s">
        <v>941</v>
      </c>
      <c r="G427" s="196"/>
      <c r="H427" s="196" t="s">
        <v>147</v>
      </c>
      <c r="I427" s="196"/>
      <c r="J427" s="452">
        <v>0</v>
      </c>
      <c r="K427" s="452">
        <v>0</v>
      </c>
      <c r="L427" s="452">
        <v>0</v>
      </c>
      <c r="M427" s="453">
        <v>0</v>
      </c>
      <c r="N427" s="453">
        <v>0</v>
      </c>
      <c r="O427" s="453">
        <v>0</v>
      </c>
      <c r="P427" s="452">
        <v>0</v>
      </c>
    </row>
    <row r="428" spans="3:19" x14ac:dyDescent="0.25">
      <c r="F428" s="99" t="s">
        <v>942</v>
      </c>
      <c r="G428" s="196"/>
      <c r="H428" s="196" t="s">
        <v>147</v>
      </c>
      <c r="I428" s="196"/>
      <c r="J428" s="450">
        <v>-6.0960000000000001</v>
      </c>
      <c r="K428" s="450">
        <v>-0.77800000000000002</v>
      </c>
      <c r="L428" s="450">
        <v>-9.7000000000000003E-2</v>
      </c>
      <c r="M428" s="451">
        <v>0</v>
      </c>
      <c r="N428" s="451">
        <v>0</v>
      </c>
      <c r="O428" s="451">
        <v>0</v>
      </c>
      <c r="P428" s="450">
        <v>0.29799999999999999</v>
      </c>
    </row>
    <row r="429" spans="3:19" x14ac:dyDescent="0.25">
      <c r="F429" s="100" t="s">
        <v>943</v>
      </c>
      <c r="G429" s="93"/>
      <c r="H429" s="93" t="s">
        <v>147</v>
      </c>
      <c r="I429" s="93"/>
      <c r="J429" s="437">
        <v>0</v>
      </c>
      <c r="K429" s="437">
        <v>0</v>
      </c>
      <c r="L429" s="437">
        <v>0</v>
      </c>
      <c r="M429" s="343">
        <v>0</v>
      </c>
      <c r="N429" s="343">
        <v>0</v>
      </c>
      <c r="O429" s="343">
        <v>0</v>
      </c>
      <c r="P429" s="437">
        <v>0</v>
      </c>
    </row>
    <row r="430" spans="3:19" x14ac:dyDescent="0.25">
      <c r="D430" s="96"/>
      <c r="E430" s="96"/>
      <c r="F430" s="96"/>
      <c r="G430" s="96"/>
      <c r="H430" s="96"/>
      <c r="I430" s="96"/>
      <c r="J430" s="438"/>
      <c r="K430" s="438"/>
      <c r="L430" s="438"/>
      <c r="M430" s="215"/>
      <c r="N430" s="215"/>
      <c r="O430" s="215"/>
      <c r="P430" s="438"/>
      <c r="Q430" s="96"/>
      <c r="R430" s="96"/>
      <c r="S430" s="96"/>
    </row>
    <row r="431" spans="3:19" s="195" customFormat="1" x14ac:dyDescent="0.25">
      <c r="C431" s="7" t="str">
        <f ca="1">INDEX('Version control'!$H$34:$H$60,MATCH($A$1,'Version control'!$F$34:$F$60,0),1)&amp;"-E: Tariff results for charging year " &amp; 'ARP_User control'!G34</f>
        <v>Output 501-E: Tariff results for charging year 2025/26</v>
      </c>
      <c r="D431" s="7"/>
      <c r="E431" s="7"/>
      <c r="F431" s="7"/>
      <c r="G431" s="7"/>
      <c r="H431" s="7"/>
      <c r="I431" s="7"/>
      <c r="J431" s="439"/>
      <c r="K431" s="439"/>
      <c r="L431" s="439"/>
      <c r="M431" s="7"/>
      <c r="N431" s="7"/>
      <c r="O431" s="7"/>
      <c r="P431" s="439"/>
      <c r="Q431" s="7"/>
      <c r="R431" s="7"/>
    </row>
    <row r="432" spans="3:19" x14ac:dyDescent="0.25">
      <c r="D432" s="85"/>
      <c r="E432" s="195"/>
      <c r="F432" s="195"/>
      <c r="J432" s="440"/>
      <c r="K432" s="440"/>
      <c r="L432" s="440"/>
      <c r="M432" s="213"/>
      <c r="N432" s="213"/>
      <c r="O432" s="213"/>
      <c r="P432" s="440"/>
    </row>
    <row r="433" spans="4:16" x14ac:dyDescent="0.25">
      <c r="D433" s="96"/>
      <c r="E433" s="96" t="str">
        <f>"All the way tariff forecast "&amp; 'ARP_User control'!G34</f>
        <v>All the way tariff forecast 2025/26</v>
      </c>
      <c r="F433" s="195"/>
      <c r="J433" s="440"/>
      <c r="K433" s="440"/>
      <c r="L433" s="440"/>
      <c r="M433" s="213"/>
      <c r="N433" s="213"/>
      <c r="O433" s="213"/>
      <c r="P433" s="440"/>
    </row>
    <row r="434" spans="4:16" x14ac:dyDescent="0.25">
      <c r="F434" s="103" t="s">
        <v>1004</v>
      </c>
      <c r="G434" s="91"/>
      <c r="H434" s="91" t="s">
        <v>261</v>
      </c>
      <c r="I434" s="91"/>
      <c r="J434" s="434">
        <v>14.301</v>
      </c>
      <c r="K434" s="434">
        <v>2.56</v>
      </c>
      <c r="L434" s="434">
        <v>0.27200000000000002</v>
      </c>
      <c r="M434" s="339">
        <v>13.1</v>
      </c>
      <c r="N434" s="339">
        <v>0</v>
      </c>
      <c r="O434" s="339">
        <v>0</v>
      </c>
      <c r="P434" s="434">
        <v>0</v>
      </c>
    </row>
    <row r="435" spans="4:16" x14ac:dyDescent="0.25">
      <c r="F435" s="99" t="s">
        <v>929</v>
      </c>
      <c r="G435" s="196"/>
      <c r="H435" s="196" t="s">
        <v>261</v>
      </c>
      <c r="I435" s="196"/>
      <c r="J435" s="450">
        <v>14.301</v>
      </c>
      <c r="K435" s="450">
        <v>2.56</v>
      </c>
      <c r="L435" s="450">
        <v>0.27200000000000002</v>
      </c>
      <c r="M435" s="451">
        <v>0</v>
      </c>
      <c r="N435" s="451">
        <v>0</v>
      </c>
      <c r="O435" s="451">
        <v>0</v>
      </c>
      <c r="P435" s="450">
        <v>0</v>
      </c>
    </row>
    <row r="436" spans="4:16" x14ac:dyDescent="0.25">
      <c r="F436" s="99" t="s">
        <v>1005</v>
      </c>
      <c r="G436" s="196"/>
      <c r="H436" s="196" t="s">
        <v>261</v>
      </c>
      <c r="I436" s="196"/>
      <c r="J436" s="450">
        <v>17.440000000000001</v>
      </c>
      <c r="K436" s="450">
        <v>3.1219999999999999</v>
      </c>
      <c r="L436" s="450">
        <v>0.33200000000000002</v>
      </c>
      <c r="M436" s="451">
        <v>4.1500000000000004</v>
      </c>
      <c r="N436" s="451">
        <v>0</v>
      </c>
      <c r="O436" s="451">
        <v>0</v>
      </c>
      <c r="P436" s="450">
        <v>0</v>
      </c>
    </row>
    <row r="437" spans="4:16" x14ac:dyDescent="0.25">
      <c r="F437" s="99" t="s">
        <v>1006</v>
      </c>
      <c r="G437" s="196"/>
      <c r="H437" s="196" t="s">
        <v>261</v>
      </c>
      <c r="I437" s="196"/>
      <c r="J437" s="450">
        <v>17.440000000000001</v>
      </c>
      <c r="K437" s="450">
        <v>3.1219999999999999</v>
      </c>
      <c r="L437" s="450">
        <v>0.33200000000000002</v>
      </c>
      <c r="M437" s="451">
        <v>7.63</v>
      </c>
      <c r="N437" s="451">
        <v>0</v>
      </c>
      <c r="O437" s="451">
        <v>0</v>
      </c>
      <c r="P437" s="450">
        <v>0</v>
      </c>
    </row>
    <row r="438" spans="4:16" x14ac:dyDescent="0.25">
      <c r="F438" s="99" t="s">
        <v>1007</v>
      </c>
      <c r="G438" s="196"/>
      <c r="H438" s="196" t="s">
        <v>261</v>
      </c>
      <c r="I438" s="196"/>
      <c r="J438" s="450">
        <v>17.440000000000001</v>
      </c>
      <c r="K438" s="450">
        <v>3.1219999999999999</v>
      </c>
      <c r="L438" s="450">
        <v>0.33200000000000002</v>
      </c>
      <c r="M438" s="451">
        <v>22.98</v>
      </c>
      <c r="N438" s="451">
        <v>0</v>
      </c>
      <c r="O438" s="451">
        <v>0</v>
      </c>
      <c r="P438" s="450">
        <v>0</v>
      </c>
    </row>
    <row r="439" spans="4:16" x14ac:dyDescent="0.25">
      <c r="F439" s="99" t="s">
        <v>1008</v>
      </c>
      <c r="G439" s="196"/>
      <c r="H439" s="196" t="s">
        <v>261</v>
      </c>
      <c r="I439" s="196"/>
      <c r="J439" s="450">
        <v>17.440000000000001</v>
      </c>
      <c r="K439" s="450">
        <v>3.1219999999999999</v>
      </c>
      <c r="L439" s="450">
        <v>0.33200000000000002</v>
      </c>
      <c r="M439" s="451">
        <v>50.8</v>
      </c>
      <c r="N439" s="451">
        <v>0</v>
      </c>
      <c r="O439" s="451">
        <v>0</v>
      </c>
      <c r="P439" s="450">
        <v>0</v>
      </c>
    </row>
    <row r="440" spans="4:16" x14ac:dyDescent="0.25">
      <c r="F440" s="99" t="s">
        <v>1009</v>
      </c>
      <c r="G440" s="196"/>
      <c r="H440" s="196" t="s">
        <v>261</v>
      </c>
      <c r="I440" s="196"/>
      <c r="J440" s="450">
        <v>17.440000000000001</v>
      </c>
      <c r="K440" s="450">
        <v>3.1219999999999999</v>
      </c>
      <c r="L440" s="450">
        <v>0.33200000000000002</v>
      </c>
      <c r="M440" s="451">
        <v>154.6</v>
      </c>
      <c r="N440" s="451">
        <v>0</v>
      </c>
      <c r="O440" s="451">
        <v>0</v>
      </c>
      <c r="P440" s="450">
        <v>0</v>
      </c>
    </row>
    <row r="441" spans="4:16" s="293" customFormat="1" x14ac:dyDescent="0.25">
      <c r="D441" s="98"/>
      <c r="E441" s="98"/>
      <c r="F441" s="99" t="s">
        <v>931</v>
      </c>
      <c r="G441" s="196"/>
      <c r="H441" s="196" t="s">
        <v>261</v>
      </c>
      <c r="I441" s="196"/>
      <c r="J441" s="450">
        <v>17.440000000000001</v>
      </c>
      <c r="K441" s="450">
        <v>3.1219999999999999</v>
      </c>
      <c r="L441" s="450">
        <v>0.33200000000000002</v>
      </c>
      <c r="M441" s="451">
        <v>0</v>
      </c>
      <c r="N441" s="451">
        <v>0</v>
      </c>
      <c r="O441" s="451">
        <v>0</v>
      </c>
      <c r="P441" s="450">
        <v>0</v>
      </c>
    </row>
    <row r="442" spans="4:16" s="293" customFormat="1" x14ac:dyDescent="0.25">
      <c r="D442" s="98"/>
      <c r="E442" s="98"/>
      <c r="F442" s="99" t="s">
        <v>1010</v>
      </c>
      <c r="G442" s="196"/>
      <c r="H442" s="196" t="s">
        <v>261</v>
      </c>
      <c r="I442" s="196"/>
      <c r="J442" s="450">
        <v>11.430999999999999</v>
      </c>
      <c r="K442" s="450">
        <v>1.877</v>
      </c>
      <c r="L442" s="450">
        <v>0.20699999999999999</v>
      </c>
      <c r="M442" s="451">
        <v>14.79</v>
      </c>
      <c r="N442" s="451">
        <v>4.08</v>
      </c>
      <c r="O442" s="451">
        <v>7.64</v>
      </c>
      <c r="P442" s="450">
        <v>0.56499999999999995</v>
      </c>
    </row>
    <row r="443" spans="4:16" s="293" customFormat="1" x14ac:dyDescent="0.25">
      <c r="D443" s="98"/>
      <c r="E443" s="98"/>
      <c r="F443" s="99" t="s">
        <v>1011</v>
      </c>
      <c r="G443" s="196"/>
      <c r="H443" s="196" t="s">
        <v>261</v>
      </c>
      <c r="I443" s="196"/>
      <c r="J443" s="450">
        <v>11.430999999999999</v>
      </c>
      <c r="K443" s="450">
        <v>1.877</v>
      </c>
      <c r="L443" s="450">
        <v>0.20699999999999999</v>
      </c>
      <c r="M443" s="451">
        <v>242.03</v>
      </c>
      <c r="N443" s="451">
        <v>4.08</v>
      </c>
      <c r="O443" s="451">
        <v>7.64</v>
      </c>
      <c r="P443" s="450">
        <v>0.56499999999999995</v>
      </c>
    </row>
    <row r="444" spans="4:16" x14ac:dyDescent="0.25">
      <c r="F444" s="99" t="s">
        <v>1012</v>
      </c>
      <c r="G444" s="196"/>
      <c r="H444" s="196" t="s">
        <v>261</v>
      </c>
      <c r="I444" s="196"/>
      <c r="J444" s="450">
        <v>11.430999999999999</v>
      </c>
      <c r="K444" s="450">
        <v>1.877</v>
      </c>
      <c r="L444" s="450">
        <v>0.20699999999999999</v>
      </c>
      <c r="M444" s="451">
        <v>537.53</v>
      </c>
      <c r="N444" s="451">
        <v>4.08</v>
      </c>
      <c r="O444" s="451">
        <v>7.64</v>
      </c>
      <c r="P444" s="450">
        <v>0.56499999999999995</v>
      </c>
    </row>
    <row r="445" spans="4:16" x14ac:dyDescent="0.25">
      <c r="F445" s="99" t="s">
        <v>1013</v>
      </c>
      <c r="G445" s="196"/>
      <c r="H445" s="196" t="s">
        <v>261</v>
      </c>
      <c r="I445" s="196"/>
      <c r="J445" s="450">
        <v>11.430999999999999</v>
      </c>
      <c r="K445" s="450">
        <v>1.877</v>
      </c>
      <c r="L445" s="450">
        <v>0.20699999999999999</v>
      </c>
      <c r="M445" s="451">
        <v>895.33</v>
      </c>
      <c r="N445" s="451">
        <v>4.08</v>
      </c>
      <c r="O445" s="451">
        <v>7.64</v>
      </c>
      <c r="P445" s="450">
        <v>0.56499999999999995</v>
      </c>
    </row>
    <row r="446" spans="4:16" x14ac:dyDescent="0.25">
      <c r="F446" s="99" t="s">
        <v>1014</v>
      </c>
      <c r="G446" s="196"/>
      <c r="H446" s="196" t="s">
        <v>261</v>
      </c>
      <c r="I446" s="196"/>
      <c r="J446" s="450">
        <v>11.430999999999999</v>
      </c>
      <c r="K446" s="450">
        <v>1.877</v>
      </c>
      <c r="L446" s="450">
        <v>0.20699999999999999</v>
      </c>
      <c r="M446" s="451">
        <v>1933.32</v>
      </c>
      <c r="N446" s="451">
        <v>4.08</v>
      </c>
      <c r="O446" s="451">
        <v>7.64</v>
      </c>
      <c r="P446" s="450">
        <v>0.56499999999999995</v>
      </c>
    </row>
    <row r="447" spans="4:16" x14ac:dyDescent="0.25">
      <c r="F447" s="99" t="s">
        <v>1015</v>
      </c>
      <c r="G447" s="196"/>
      <c r="H447" s="196" t="s">
        <v>261</v>
      </c>
      <c r="I447" s="196"/>
      <c r="J447" s="450">
        <v>8.91</v>
      </c>
      <c r="K447" s="450">
        <v>1.1459999999999999</v>
      </c>
      <c r="L447" s="450">
        <v>0.14199999999999999</v>
      </c>
      <c r="M447" s="451">
        <v>5.22</v>
      </c>
      <c r="N447" s="451">
        <v>8.4700000000000006</v>
      </c>
      <c r="O447" s="451">
        <v>12.01</v>
      </c>
      <c r="P447" s="450">
        <v>0.35699999999999998</v>
      </c>
    </row>
    <row r="448" spans="4:16" s="293" customFormat="1" x14ac:dyDescent="0.25">
      <c r="D448" s="98"/>
      <c r="E448" s="98"/>
      <c r="F448" s="99" t="s">
        <v>1016</v>
      </c>
      <c r="G448" s="196"/>
      <c r="H448" s="196" t="s">
        <v>261</v>
      </c>
      <c r="I448" s="196"/>
      <c r="J448" s="450">
        <v>8.91</v>
      </c>
      <c r="K448" s="450">
        <v>1.1459999999999999</v>
      </c>
      <c r="L448" s="450">
        <v>0.14199999999999999</v>
      </c>
      <c r="M448" s="451">
        <v>232.47</v>
      </c>
      <c r="N448" s="451">
        <v>8.4700000000000006</v>
      </c>
      <c r="O448" s="451">
        <v>12.01</v>
      </c>
      <c r="P448" s="450">
        <v>0.35699999999999998</v>
      </c>
    </row>
    <row r="449" spans="4:16" s="293" customFormat="1" x14ac:dyDescent="0.25">
      <c r="D449" s="98"/>
      <c r="E449" s="98"/>
      <c r="F449" s="99" t="s">
        <v>1017</v>
      </c>
      <c r="G449" s="196"/>
      <c r="H449" s="196" t="s">
        <v>261</v>
      </c>
      <c r="I449" s="196"/>
      <c r="J449" s="450">
        <v>8.91</v>
      </c>
      <c r="K449" s="450">
        <v>1.1459999999999999</v>
      </c>
      <c r="L449" s="450">
        <v>0.14199999999999999</v>
      </c>
      <c r="M449" s="451">
        <v>527.97</v>
      </c>
      <c r="N449" s="451">
        <v>8.4700000000000006</v>
      </c>
      <c r="O449" s="451">
        <v>12.01</v>
      </c>
      <c r="P449" s="450">
        <v>0.35699999999999998</v>
      </c>
    </row>
    <row r="450" spans="4:16" s="293" customFormat="1" x14ac:dyDescent="0.25">
      <c r="D450" s="98"/>
      <c r="E450" s="98"/>
      <c r="F450" s="99" t="s">
        <v>1018</v>
      </c>
      <c r="G450" s="196"/>
      <c r="H450" s="196" t="s">
        <v>261</v>
      </c>
      <c r="I450" s="196"/>
      <c r="J450" s="450">
        <v>8.91</v>
      </c>
      <c r="K450" s="450">
        <v>1.1459999999999999</v>
      </c>
      <c r="L450" s="450">
        <v>0.14199999999999999</v>
      </c>
      <c r="M450" s="451">
        <v>885.77</v>
      </c>
      <c r="N450" s="451">
        <v>8.4700000000000006</v>
      </c>
      <c r="O450" s="451">
        <v>12.01</v>
      </c>
      <c r="P450" s="450">
        <v>0.35699999999999998</v>
      </c>
    </row>
    <row r="451" spans="4:16" s="293" customFormat="1" x14ac:dyDescent="0.25">
      <c r="D451" s="98"/>
      <c r="E451" s="98"/>
      <c r="F451" s="99" t="s">
        <v>1019</v>
      </c>
      <c r="G451" s="196"/>
      <c r="H451" s="196" t="s">
        <v>261</v>
      </c>
      <c r="I451" s="196"/>
      <c r="J451" s="450">
        <v>8.91</v>
      </c>
      <c r="K451" s="450">
        <v>1.1459999999999999</v>
      </c>
      <c r="L451" s="450">
        <v>0.14199999999999999</v>
      </c>
      <c r="M451" s="451">
        <v>1923.75</v>
      </c>
      <c r="N451" s="451">
        <v>8.4700000000000006</v>
      </c>
      <c r="O451" s="451">
        <v>12.01</v>
      </c>
      <c r="P451" s="450">
        <v>0.35699999999999998</v>
      </c>
    </row>
    <row r="452" spans="4:16" s="293" customFormat="1" x14ac:dyDescent="0.25">
      <c r="D452" s="98"/>
      <c r="E452" s="98"/>
      <c r="F452" s="99" t="s">
        <v>1020</v>
      </c>
      <c r="G452" s="196"/>
      <c r="H452" s="196" t="s">
        <v>261</v>
      </c>
      <c r="I452" s="196"/>
      <c r="J452" s="450">
        <v>6.819</v>
      </c>
      <c r="K452" s="450">
        <v>0.76200000000000001</v>
      </c>
      <c r="L452" s="450">
        <v>9.5000000000000001E-2</v>
      </c>
      <c r="M452" s="451">
        <v>79.010000000000005</v>
      </c>
      <c r="N452" s="451">
        <v>6.07</v>
      </c>
      <c r="O452" s="451">
        <v>10.58</v>
      </c>
      <c r="P452" s="450">
        <v>0.24099999999999999</v>
      </c>
    </row>
    <row r="453" spans="4:16" s="293" customFormat="1" x14ac:dyDescent="0.25">
      <c r="D453" s="98"/>
      <c r="E453" s="98"/>
      <c r="F453" s="99" t="s">
        <v>1021</v>
      </c>
      <c r="G453" s="196"/>
      <c r="H453" s="196" t="s">
        <v>261</v>
      </c>
      <c r="I453" s="196"/>
      <c r="J453" s="450">
        <v>6.819</v>
      </c>
      <c r="K453" s="450">
        <v>0.76200000000000001</v>
      </c>
      <c r="L453" s="450">
        <v>9.5000000000000001E-2</v>
      </c>
      <c r="M453" s="451">
        <v>1377.74</v>
      </c>
      <c r="N453" s="451">
        <v>6.07</v>
      </c>
      <c r="O453" s="451">
        <v>10.58</v>
      </c>
      <c r="P453" s="450">
        <v>0.24099999999999999</v>
      </c>
    </row>
    <row r="454" spans="4:16" s="293" customFormat="1" x14ac:dyDescent="0.25">
      <c r="D454" s="98"/>
      <c r="E454" s="98"/>
      <c r="F454" s="99" t="s">
        <v>1022</v>
      </c>
      <c r="G454" s="196"/>
      <c r="H454" s="196" t="s">
        <v>261</v>
      </c>
      <c r="I454" s="196"/>
      <c r="J454" s="450">
        <v>6.819</v>
      </c>
      <c r="K454" s="450">
        <v>0.76200000000000001</v>
      </c>
      <c r="L454" s="450">
        <v>9.5000000000000001E-2</v>
      </c>
      <c r="M454" s="451">
        <v>4909.95</v>
      </c>
      <c r="N454" s="451">
        <v>6.07</v>
      </c>
      <c r="O454" s="451">
        <v>10.58</v>
      </c>
      <c r="P454" s="450">
        <v>0.24099999999999999</v>
      </c>
    </row>
    <row r="455" spans="4:16" s="293" customFormat="1" x14ac:dyDescent="0.25">
      <c r="D455" s="98"/>
      <c r="E455" s="98"/>
      <c r="F455" s="99" t="s">
        <v>1023</v>
      </c>
      <c r="G455" s="196"/>
      <c r="H455" s="196" t="s">
        <v>261</v>
      </c>
      <c r="I455" s="196"/>
      <c r="J455" s="450">
        <v>6.819</v>
      </c>
      <c r="K455" s="450">
        <v>0.76200000000000001</v>
      </c>
      <c r="L455" s="450">
        <v>9.5000000000000001E-2</v>
      </c>
      <c r="M455" s="451">
        <v>9863.24</v>
      </c>
      <c r="N455" s="451">
        <v>6.07</v>
      </c>
      <c r="O455" s="451">
        <v>10.58</v>
      </c>
      <c r="P455" s="450">
        <v>0.24099999999999999</v>
      </c>
    </row>
    <row r="456" spans="4:16" s="293" customFormat="1" x14ac:dyDescent="0.25">
      <c r="D456" s="98"/>
      <c r="E456" s="98"/>
      <c r="F456" s="99" t="s">
        <v>1024</v>
      </c>
      <c r="G456" s="196"/>
      <c r="H456" s="196" t="s">
        <v>261</v>
      </c>
      <c r="I456" s="196"/>
      <c r="J456" s="450">
        <v>6.819</v>
      </c>
      <c r="K456" s="450">
        <v>0.76200000000000001</v>
      </c>
      <c r="L456" s="450">
        <v>9.5000000000000001E-2</v>
      </c>
      <c r="M456" s="451">
        <v>18464.27</v>
      </c>
      <c r="N456" s="451">
        <v>6.07</v>
      </c>
      <c r="O456" s="451">
        <v>10.58</v>
      </c>
      <c r="P456" s="450">
        <v>0.24099999999999999</v>
      </c>
    </row>
    <row r="457" spans="4:16" s="293" customFormat="1" x14ac:dyDescent="0.25">
      <c r="D457" s="98"/>
      <c r="E457" s="98"/>
      <c r="F457" s="99" t="s">
        <v>935</v>
      </c>
      <c r="G457" s="196"/>
      <c r="H457" s="196" t="s">
        <v>261</v>
      </c>
      <c r="I457" s="196"/>
      <c r="J457" s="450">
        <v>25.975999999999999</v>
      </c>
      <c r="K457" s="450">
        <v>4.556</v>
      </c>
      <c r="L457" s="450">
        <v>1.518</v>
      </c>
      <c r="M457" s="451">
        <v>0</v>
      </c>
      <c r="N457" s="451">
        <v>0</v>
      </c>
      <c r="O457" s="451">
        <v>0</v>
      </c>
      <c r="P457" s="450">
        <v>0</v>
      </c>
    </row>
    <row r="458" spans="4:16" s="293" customFormat="1" x14ac:dyDescent="0.25">
      <c r="D458" s="98"/>
      <c r="E458" s="98"/>
      <c r="F458" s="99" t="s">
        <v>936</v>
      </c>
      <c r="G458" s="196"/>
      <c r="H458" s="196" t="s">
        <v>261</v>
      </c>
      <c r="I458" s="196"/>
      <c r="J458" s="450">
        <v>-10.731999999999999</v>
      </c>
      <c r="K458" s="450">
        <v>-1.921</v>
      </c>
      <c r="L458" s="450">
        <v>-0.20399999999999999</v>
      </c>
      <c r="M458" s="451">
        <v>0</v>
      </c>
      <c r="N458" s="451">
        <v>0</v>
      </c>
      <c r="O458" s="451">
        <v>0</v>
      </c>
      <c r="P458" s="450">
        <v>0</v>
      </c>
    </row>
    <row r="459" spans="4:16" s="293" customFormat="1" x14ac:dyDescent="0.25">
      <c r="D459" s="98"/>
      <c r="E459" s="98"/>
      <c r="F459" s="99" t="s">
        <v>937</v>
      </c>
      <c r="G459" s="196"/>
      <c r="H459" s="196" t="s">
        <v>261</v>
      </c>
      <c r="I459" s="196"/>
      <c r="J459" s="450">
        <v>-9.6790000000000003</v>
      </c>
      <c r="K459" s="450">
        <v>-1.655</v>
      </c>
      <c r="L459" s="450">
        <v>-0.17899999999999999</v>
      </c>
      <c r="M459" s="451">
        <v>0</v>
      </c>
      <c r="N459" s="451">
        <v>0</v>
      </c>
      <c r="O459" s="451">
        <v>0</v>
      </c>
      <c r="P459" s="450">
        <v>0</v>
      </c>
    </row>
    <row r="460" spans="4:16" s="293" customFormat="1" x14ac:dyDescent="0.25">
      <c r="D460" s="98"/>
      <c r="E460" s="98"/>
      <c r="F460" s="99" t="s">
        <v>938</v>
      </c>
      <c r="G460" s="196"/>
      <c r="H460" s="196" t="s">
        <v>261</v>
      </c>
      <c r="I460" s="196"/>
      <c r="J460" s="450">
        <v>-10.731999999999999</v>
      </c>
      <c r="K460" s="450">
        <v>-1.921</v>
      </c>
      <c r="L460" s="450">
        <v>-0.20399999999999999</v>
      </c>
      <c r="M460" s="451">
        <v>0</v>
      </c>
      <c r="N460" s="451">
        <v>0</v>
      </c>
      <c r="O460" s="451">
        <v>0</v>
      </c>
      <c r="P460" s="450">
        <v>0.49099999999999999</v>
      </c>
    </row>
    <row r="461" spans="4:16" x14ac:dyDescent="0.25">
      <c r="F461" s="99" t="s">
        <v>939</v>
      </c>
      <c r="G461" s="196"/>
      <c r="H461" s="196" t="s">
        <v>261</v>
      </c>
      <c r="I461" s="196"/>
      <c r="J461" s="450">
        <v>-10.731999999999999</v>
      </c>
      <c r="K461" s="450">
        <v>-1.921</v>
      </c>
      <c r="L461" s="450">
        <v>-0.20399999999999999</v>
      </c>
      <c r="M461" s="451">
        <v>0</v>
      </c>
      <c r="N461" s="451">
        <v>0</v>
      </c>
      <c r="O461" s="451">
        <v>0</v>
      </c>
      <c r="P461" s="450">
        <v>0</v>
      </c>
    </row>
    <row r="462" spans="4:16" x14ac:dyDescent="0.25">
      <c r="F462" s="99" t="s">
        <v>940</v>
      </c>
      <c r="G462" s="196"/>
      <c r="H462" s="196" t="s">
        <v>261</v>
      </c>
      <c r="I462" s="196"/>
      <c r="J462" s="450">
        <v>-9.6790000000000003</v>
      </c>
      <c r="K462" s="450">
        <v>-1.655</v>
      </c>
      <c r="L462" s="450">
        <v>-0.17899999999999999</v>
      </c>
      <c r="M462" s="451">
        <v>0</v>
      </c>
      <c r="N462" s="451">
        <v>0</v>
      </c>
      <c r="O462" s="451">
        <v>0</v>
      </c>
      <c r="P462" s="450">
        <v>0.45200000000000001</v>
      </c>
    </row>
    <row r="463" spans="4:16" x14ac:dyDescent="0.25">
      <c r="F463" s="99" t="s">
        <v>941</v>
      </c>
      <c r="G463" s="196"/>
      <c r="H463" s="196" t="s">
        <v>261</v>
      </c>
      <c r="I463" s="196"/>
      <c r="J463" s="450">
        <v>-9.6790000000000003</v>
      </c>
      <c r="K463" s="450">
        <v>-1.655</v>
      </c>
      <c r="L463" s="450">
        <v>-0.17899999999999999</v>
      </c>
      <c r="M463" s="451">
        <v>0</v>
      </c>
      <c r="N463" s="451">
        <v>0</v>
      </c>
      <c r="O463" s="451">
        <v>0</v>
      </c>
      <c r="P463" s="450">
        <v>0</v>
      </c>
    </row>
    <row r="464" spans="4:16" x14ac:dyDescent="0.25">
      <c r="F464" s="99" t="s">
        <v>942</v>
      </c>
      <c r="G464" s="196"/>
      <c r="H464" s="196" t="s">
        <v>261</v>
      </c>
      <c r="I464" s="196"/>
      <c r="J464" s="450">
        <v>-6.9729999999999999</v>
      </c>
      <c r="K464" s="450">
        <v>-0.86499999999999999</v>
      </c>
      <c r="L464" s="450">
        <v>-0.105</v>
      </c>
      <c r="M464" s="451">
        <v>57.7</v>
      </c>
      <c r="N464" s="451">
        <v>0</v>
      </c>
      <c r="O464" s="451">
        <v>0</v>
      </c>
      <c r="P464" s="450">
        <v>0.33800000000000002</v>
      </c>
    </row>
    <row r="465" spans="4:16" x14ac:dyDescent="0.25">
      <c r="F465" s="100" t="s">
        <v>943</v>
      </c>
      <c r="G465" s="93"/>
      <c r="H465" s="93" t="s">
        <v>261</v>
      </c>
      <c r="I465" s="93"/>
      <c r="J465" s="435">
        <v>-6.9729999999999999</v>
      </c>
      <c r="K465" s="435">
        <v>-0.86499999999999999</v>
      </c>
      <c r="L465" s="435">
        <v>-0.105</v>
      </c>
      <c r="M465" s="341">
        <v>57.7</v>
      </c>
      <c r="N465" s="341">
        <v>0</v>
      </c>
      <c r="O465" s="341">
        <v>0</v>
      </c>
      <c r="P465" s="435">
        <v>0</v>
      </c>
    </row>
    <row r="466" spans="4:16" x14ac:dyDescent="0.25">
      <c r="F466" s="98"/>
      <c r="G466" s="293"/>
      <c r="H466" s="293"/>
      <c r="I466" s="293"/>
      <c r="J466" s="342"/>
      <c r="K466" s="342"/>
      <c r="L466" s="342"/>
      <c r="M466" s="342"/>
      <c r="N466" s="342"/>
      <c r="O466" s="342"/>
      <c r="P466" s="436"/>
    </row>
    <row r="467" spans="4:16" x14ac:dyDescent="0.25">
      <c r="D467" s="96"/>
      <c r="E467" s="96" t="str">
        <f>"LDNO LV tariff forecast "&amp; 'ARP_User control'!G34</f>
        <v>LDNO LV tariff forecast 2025/26</v>
      </c>
      <c r="F467" s="98"/>
      <c r="G467" s="293"/>
      <c r="H467" s="293"/>
      <c r="I467" s="293"/>
      <c r="J467" s="342"/>
      <c r="K467" s="342"/>
      <c r="L467" s="342"/>
      <c r="M467" s="342"/>
      <c r="N467" s="342"/>
      <c r="O467" s="342"/>
      <c r="P467" s="436"/>
    </row>
    <row r="468" spans="4:16" x14ac:dyDescent="0.25">
      <c r="F468" s="103" t="s">
        <v>1004</v>
      </c>
      <c r="G468" s="91"/>
      <c r="H468" s="91" t="s">
        <v>146</v>
      </c>
      <c r="I468" s="91"/>
      <c r="J468" s="434">
        <v>8.8719999999999999</v>
      </c>
      <c r="K468" s="434">
        <v>1.5880000000000001</v>
      </c>
      <c r="L468" s="434">
        <v>0.16900000000000001</v>
      </c>
      <c r="M468" s="339">
        <v>8.1300000000000008</v>
      </c>
      <c r="N468" s="339">
        <v>0</v>
      </c>
      <c r="O468" s="339">
        <v>0</v>
      </c>
      <c r="P468" s="434">
        <v>0</v>
      </c>
    </row>
    <row r="469" spans="4:16" x14ac:dyDescent="0.25">
      <c r="F469" s="99" t="s">
        <v>929</v>
      </c>
      <c r="G469" s="196"/>
      <c r="H469" s="196" t="s">
        <v>146</v>
      </c>
      <c r="I469" s="196"/>
      <c r="J469" s="450">
        <v>8.8719999999999999</v>
      </c>
      <c r="K469" s="450">
        <v>1.5880000000000001</v>
      </c>
      <c r="L469" s="450">
        <v>0.16900000000000001</v>
      </c>
      <c r="M469" s="451">
        <v>0</v>
      </c>
      <c r="N469" s="451">
        <v>0</v>
      </c>
      <c r="O469" s="451">
        <v>0</v>
      </c>
      <c r="P469" s="450">
        <v>0</v>
      </c>
    </row>
    <row r="470" spans="4:16" x14ac:dyDescent="0.25">
      <c r="F470" s="99" t="s">
        <v>1005</v>
      </c>
      <c r="G470" s="196"/>
      <c r="H470" s="196" t="s">
        <v>146</v>
      </c>
      <c r="I470" s="196"/>
      <c r="J470" s="450">
        <v>10.819000000000001</v>
      </c>
      <c r="K470" s="450">
        <v>1.9370000000000001</v>
      </c>
      <c r="L470" s="450">
        <v>0.20599999999999999</v>
      </c>
      <c r="M470" s="451">
        <v>2.57</v>
      </c>
      <c r="N470" s="451">
        <v>0</v>
      </c>
      <c r="O470" s="451">
        <v>0</v>
      </c>
      <c r="P470" s="450">
        <v>0</v>
      </c>
    </row>
    <row r="471" spans="4:16" x14ac:dyDescent="0.25">
      <c r="F471" s="99" t="s">
        <v>1006</v>
      </c>
      <c r="G471" s="196"/>
      <c r="H471" s="196" t="s">
        <v>146</v>
      </c>
      <c r="I471" s="196"/>
      <c r="J471" s="450">
        <v>10.819000000000001</v>
      </c>
      <c r="K471" s="450">
        <v>1.9370000000000001</v>
      </c>
      <c r="L471" s="450">
        <v>0.20599999999999999</v>
      </c>
      <c r="M471" s="451">
        <v>4.7300000000000004</v>
      </c>
      <c r="N471" s="451">
        <v>0</v>
      </c>
      <c r="O471" s="451">
        <v>0</v>
      </c>
      <c r="P471" s="450">
        <v>0</v>
      </c>
    </row>
    <row r="472" spans="4:16" x14ac:dyDescent="0.25">
      <c r="F472" s="99" t="s">
        <v>1007</v>
      </c>
      <c r="G472" s="196"/>
      <c r="H472" s="196" t="s">
        <v>146</v>
      </c>
      <c r="I472" s="196"/>
      <c r="J472" s="450">
        <v>10.819000000000001</v>
      </c>
      <c r="K472" s="450">
        <v>1.9370000000000001</v>
      </c>
      <c r="L472" s="450">
        <v>0.20599999999999999</v>
      </c>
      <c r="M472" s="451">
        <v>14.25</v>
      </c>
      <c r="N472" s="451">
        <v>0</v>
      </c>
      <c r="O472" s="451">
        <v>0</v>
      </c>
      <c r="P472" s="450">
        <v>0</v>
      </c>
    </row>
    <row r="473" spans="4:16" x14ac:dyDescent="0.25">
      <c r="F473" s="99" t="s">
        <v>1008</v>
      </c>
      <c r="G473" s="196"/>
      <c r="H473" s="196" t="s">
        <v>146</v>
      </c>
      <c r="I473" s="196"/>
      <c r="J473" s="450">
        <v>10.819000000000001</v>
      </c>
      <c r="K473" s="450">
        <v>1.9370000000000001</v>
      </c>
      <c r="L473" s="450">
        <v>0.20599999999999999</v>
      </c>
      <c r="M473" s="451">
        <v>31.51</v>
      </c>
      <c r="N473" s="451">
        <v>0</v>
      </c>
      <c r="O473" s="451">
        <v>0</v>
      </c>
      <c r="P473" s="450">
        <v>0</v>
      </c>
    </row>
    <row r="474" spans="4:16" x14ac:dyDescent="0.25">
      <c r="F474" s="99" t="s">
        <v>1009</v>
      </c>
      <c r="G474" s="196"/>
      <c r="H474" s="196" t="s">
        <v>146</v>
      </c>
      <c r="I474" s="196"/>
      <c r="J474" s="450">
        <v>10.819000000000001</v>
      </c>
      <c r="K474" s="450">
        <v>1.9370000000000001</v>
      </c>
      <c r="L474" s="450">
        <v>0.20599999999999999</v>
      </c>
      <c r="M474" s="451">
        <v>95.91</v>
      </c>
      <c r="N474" s="451">
        <v>0</v>
      </c>
      <c r="O474" s="451">
        <v>0</v>
      </c>
      <c r="P474" s="450">
        <v>0</v>
      </c>
    </row>
    <row r="475" spans="4:16" s="293" customFormat="1" x14ac:dyDescent="0.25">
      <c r="D475" s="98"/>
      <c r="E475" s="98"/>
      <c r="F475" s="99" t="s">
        <v>931</v>
      </c>
      <c r="G475" s="196"/>
      <c r="H475" s="196" t="s">
        <v>146</v>
      </c>
      <c r="I475" s="196"/>
      <c r="J475" s="450">
        <v>10.819000000000001</v>
      </c>
      <c r="K475" s="450">
        <v>1.9370000000000001</v>
      </c>
      <c r="L475" s="450">
        <v>0.20599999999999999</v>
      </c>
      <c r="M475" s="451">
        <v>0</v>
      </c>
      <c r="N475" s="451">
        <v>0</v>
      </c>
      <c r="O475" s="451">
        <v>0</v>
      </c>
      <c r="P475" s="450">
        <v>0</v>
      </c>
    </row>
    <row r="476" spans="4:16" s="293" customFormat="1" x14ac:dyDescent="0.25">
      <c r="D476" s="98"/>
      <c r="E476" s="98"/>
      <c r="F476" s="99" t="s">
        <v>1010</v>
      </c>
      <c r="G476" s="196"/>
      <c r="H476" s="196" t="s">
        <v>146</v>
      </c>
      <c r="I476" s="196"/>
      <c r="J476" s="450">
        <v>7.0910000000000002</v>
      </c>
      <c r="K476" s="450">
        <v>1.1639999999999999</v>
      </c>
      <c r="L476" s="450">
        <v>0.128</v>
      </c>
      <c r="M476" s="451">
        <v>9.17</v>
      </c>
      <c r="N476" s="451">
        <v>2.5299999999999998</v>
      </c>
      <c r="O476" s="451">
        <v>4.74</v>
      </c>
      <c r="P476" s="450">
        <v>0.35099999999999998</v>
      </c>
    </row>
    <row r="477" spans="4:16" s="293" customFormat="1" x14ac:dyDescent="0.25">
      <c r="D477" s="98"/>
      <c r="E477" s="98"/>
      <c r="F477" s="99" t="s">
        <v>1011</v>
      </c>
      <c r="G477" s="196"/>
      <c r="H477" s="196" t="s">
        <v>146</v>
      </c>
      <c r="I477" s="196"/>
      <c r="J477" s="450">
        <v>7.0910000000000002</v>
      </c>
      <c r="K477" s="450">
        <v>1.1639999999999999</v>
      </c>
      <c r="L477" s="450">
        <v>0.128</v>
      </c>
      <c r="M477" s="451">
        <v>150.13999999999999</v>
      </c>
      <c r="N477" s="451">
        <v>2.5299999999999998</v>
      </c>
      <c r="O477" s="451">
        <v>4.74</v>
      </c>
      <c r="P477" s="450">
        <v>0.35099999999999998</v>
      </c>
    </row>
    <row r="478" spans="4:16" x14ac:dyDescent="0.25">
      <c r="F478" s="99" t="s">
        <v>1012</v>
      </c>
      <c r="G478" s="196"/>
      <c r="H478" s="196" t="s">
        <v>146</v>
      </c>
      <c r="I478" s="196"/>
      <c r="J478" s="450">
        <v>7.0910000000000002</v>
      </c>
      <c r="K478" s="450">
        <v>1.1639999999999999</v>
      </c>
      <c r="L478" s="450">
        <v>0.128</v>
      </c>
      <c r="M478" s="451">
        <v>333.46</v>
      </c>
      <c r="N478" s="451">
        <v>2.5299999999999998</v>
      </c>
      <c r="O478" s="451">
        <v>4.74</v>
      </c>
      <c r="P478" s="450">
        <v>0.35099999999999998</v>
      </c>
    </row>
    <row r="479" spans="4:16" x14ac:dyDescent="0.25">
      <c r="F479" s="99" t="s">
        <v>1013</v>
      </c>
      <c r="G479" s="196"/>
      <c r="H479" s="196" t="s">
        <v>146</v>
      </c>
      <c r="I479" s="196"/>
      <c r="J479" s="450">
        <v>7.0910000000000002</v>
      </c>
      <c r="K479" s="450">
        <v>1.1639999999999999</v>
      </c>
      <c r="L479" s="450">
        <v>0.128</v>
      </c>
      <c r="M479" s="451">
        <v>555.41999999999996</v>
      </c>
      <c r="N479" s="451">
        <v>2.5299999999999998</v>
      </c>
      <c r="O479" s="451">
        <v>4.74</v>
      </c>
      <c r="P479" s="450">
        <v>0.35099999999999998</v>
      </c>
    </row>
    <row r="480" spans="4:16" x14ac:dyDescent="0.25">
      <c r="F480" s="99" t="s">
        <v>1014</v>
      </c>
      <c r="G480" s="196"/>
      <c r="H480" s="196" t="s">
        <v>146</v>
      </c>
      <c r="I480" s="196"/>
      <c r="J480" s="450">
        <v>7.0910000000000002</v>
      </c>
      <c r="K480" s="450">
        <v>1.1639999999999999</v>
      </c>
      <c r="L480" s="450">
        <v>0.128</v>
      </c>
      <c r="M480" s="451">
        <v>1199.33</v>
      </c>
      <c r="N480" s="451">
        <v>2.5299999999999998</v>
      </c>
      <c r="O480" s="451">
        <v>4.74</v>
      </c>
      <c r="P480" s="450">
        <v>0.35099999999999998</v>
      </c>
    </row>
    <row r="481" spans="4:16" x14ac:dyDescent="0.25">
      <c r="F481" s="99" t="s">
        <v>1015</v>
      </c>
      <c r="G481" s="196"/>
      <c r="H481" s="196" t="s">
        <v>146</v>
      </c>
      <c r="I481" s="196"/>
      <c r="J481" s="452">
        <v>0</v>
      </c>
      <c r="K481" s="452">
        <v>0</v>
      </c>
      <c r="L481" s="452">
        <v>0</v>
      </c>
      <c r="M481" s="453">
        <v>0</v>
      </c>
      <c r="N481" s="453">
        <v>0</v>
      </c>
      <c r="O481" s="453">
        <v>0</v>
      </c>
      <c r="P481" s="452">
        <v>0</v>
      </c>
    </row>
    <row r="482" spans="4:16" s="293" customFormat="1" x14ac:dyDescent="0.25">
      <c r="D482" s="98"/>
      <c r="E482" s="98"/>
      <c r="F482" s="99" t="s">
        <v>1016</v>
      </c>
      <c r="G482" s="196"/>
      <c r="H482" s="196" t="s">
        <v>146</v>
      </c>
      <c r="I482" s="196"/>
      <c r="J482" s="452">
        <v>0</v>
      </c>
      <c r="K482" s="452">
        <v>0</v>
      </c>
      <c r="L482" s="452">
        <v>0</v>
      </c>
      <c r="M482" s="453">
        <v>0</v>
      </c>
      <c r="N482" s="453">
        <v>0</v>
      </c>
      <c r="O482" s="453">
        <v>0</v>
      </c>
      <c r="P482" s="452">
        <v>0</v>
      </c>
    </row>
    <row r="483" spans="4:16" s="293" customFormat="1" x14ac:dyDescent="0.25">
      <c r="D483" s="98"/>
      <c r="E483" s="98"/>
      <c r="F483" s="99" t="s">
        <v>1017</v>
      </c>
      <c r="G483" s="196"/>
      <c r="H483" s="196" t="s">
        <v>146</v>
      </c>
      <c r="I483" s="196"/>
      <c r="J483" s="452">
        <v>0</v>
      </c>
      <c r="K483" s="452">
        <v>0</v>
      </c>
      <c r="L483" s="452">
        <v>0</v>
      </c>
      <c r="M483" s="453">
        <v>0</v>
      </c>
      <c r="N483" s="453">
        <v>0</v>
      </c>
      <c r="O483" s="453">
        <v>0</v>
      </c>
      <c r="P483" s="452">
        <v>0</v>
      </c>
    </row>
    <row r="484" spans="4:16" s="293" customFormat="1" x14ac:dyDescent="0.25">
      <c r="D484" s="98"/>
      <c r="E484" s="98"/>
      <c r="F484" s="99" t="s">
        <v>1018</v>
      </c>
      <c r="G484" s="196"/>
      <c r="H484" s="196" t="s">
        <v>146</v>
      </c>
      <c r="I484" s="196"/>
      <c r="J484" s="452">
        <v>0</v>
      </c>
      <c r="K484" s="452">
        <v>0</v>
      </c>
      <c r="L484" s="452">
        <v>0</v>
      </c>
      <c r="M484" s="453">
        <v>0</v>
      </c>
      <c r="N484" s="453">
        <v>0</v>
      </c>
      <c r="O484" s="453">
        <v>0</v>
      </c>
      <c r="P484" s="452">
        <v>0</v>
      </c>
    </row>
    <row r="485" spans="4:16" s="293" customFormat="1" x14ac:dyDescent="0.25">
      <c r="D485" s="98"/>
      <c r="E485" s="98"/>
      <c r="F485" s="99" t="s">
        <v>1019</v>
      </c>
      <c r="G485" s="196"/>
      <c r="H485" s="196" t="s">
        <v>146</v>
      </c>
      <c r="I485" s="196"/>
      <c r="J485" s="452">
        <v>0</v>
      </c>
      <c r="K485" s="452">
        <v>0</v>
      </c>
      <c r="L485" s="452">
        <v>0</v>
      </c>
      <c r="M485" s="453">
        <v>0</v>
      </c>
      <c r="N485" s="453">
        <v>0</v>
      </c>
      <c r="O485" s="453">
        <v>0</v>
      </c>
      <c r="P485" s="452">
        <v>0</v>
      </c>
    </row>
    <row r="486" spans="4:16" s="293" customFormat="1" x14ac:dyDescent="0.25">
      <c r="D486" s="98"/>
      <c r="E486" s="98"/>
      <c r="F486" s="99" t="s">
        <v>1020</v>
      </c>
      <c r="G486" s="196"/>
      <c r="H486" s="196" t="s">
        <v>146</v>
      </c>
      <c r="I486" s="196"/>
      <c r="J486" s="452">
        <v>0</v>
      </c>
      <c r="K486" s="452">
        <v>0</v>
      </c>
      <c r="L486" s="452">
        <v>0</v>
      </c>
      <c r="M486" s="453">
        <v>0</v>
      </c>
      <c r="N486" s="453">
        <v>0</v>
      </c>
      <c r="O486" s="453">
        <v>0</v>
      </c>
      <c r="P486" s="452">
        <v>0</v>
      </c>
    </row>
    <row r="487" spans="4:16" s="293" customFormat="1" x14ac:dyDescent="0.25">
      <c r="D487" s="98"/>
      <c r="E487" s="98"/>
      <c r="F487" s="99" t="s">
        <v>1021</v>
      </c>
      <c r="G487" s="196"/>
      <c r="H487" s="196" t="s">
        <v>146</v>
      </c>
      <c r="I487" s="196"/>
      <c r="J487" s="452">
        <v>0</v>
      </c>
      <c r="K487" s="452">
        <v>0</v>
      </c>
      <c r="L487" s="452">
        <v>0</v>
      </c>
      <c r="M487" s="453">
        <v>0</v>
      </c>
      <c r="N487" s="453">
        <v>0</v>
      </c>
      <c r="O487" s="453">
        <v>0</v>
      </c>
      <c r="P487" s="452">
        <v>0</v>
      </c>
    </row>
    <row r="488" spans="4:16" s="293" customFormat="1" x14ac:dyDescent="0.25">
      <c r="D488" s="98"/>
      <c r="E488" s="98"/>
      <c r="F488" s="99" t="s">
        <v>1022</v>
      </c>
      <c r="G488" s="196"/>
      <c r="H488" s="196" t="s">
        <v>146</v>
      </c>
      <c r="I488" s="196"/>
      <c r="J488" s="452">
        <v>0</v>
      </c>
      <c r="K488" s="452">
        <v>0</v>
      </c>
      <c r="L488" s="452">
        <v>0</v>
      </c>
      <c r="M488" s="453">
        <v>0</v>
      </c>
      <c r="N488" s="453">
        <v>0</v>
      </c>
      <c r="O488" s="453">
        <v>0</v>
      </c>
      <c r="P488" s="452">
        <v>0</v>
      </c>
    </row>
    <row r="489" spans="4:16" s="293" customFormat="1" x14ac:dyDescent="0.25">
      <c r="D489" s="98"/>
      <c r="E489" s="98"/>
      <c r="F489" s="99" t="s">
        <v>1023</v>
      </c>
      <c r="G489" s="196"/>
      <c r="H489" s="196" t="s">
        <v>146</v>
      </c>
      <c r="I489" s="196"/>
      <c r="J489" s="452">
        <v>0</v>
      </c>
      <c r="K489" s="452">
        <v>0</v>
      </c>
      <c r="L489" s="452">
        <v>0</v>
      </c>
      <c r="M489" s="453">
        <v>0</v>
      </c>
      <c r="N489" s="453">
        <v>0</v>
      </c>
      <c r="O489" s="453">
        <v>0</v>
      </c>
      <c r="P489" s="452">
        <v>0</v>
      </c>
    </row>
    <row r="490" spans="4:16" s="293" customFormat="1" x14ac:dyDescent="0.25">
      <c r="D490" s="98"/>
      <c r="E490" s="98"/>
      <c r="F490" s="99" t="s">
        <v>1024</v>
      </c>
      <c r="G490" s="196"/>
      <c r="H490" s="196" t="s">
        <v>146</v>
      </c>
      <c r="I490" s="196"/>
      <c r="J490" s="452">
        <v>0</v>
      </c>
      <c r="K490" s="452">
        <v>0</v>
      </c>
      <c r="L490" s="452">
        <v>0</v>
      </c>
      <c r="M490" s="453">
        <v>0</v>
      </c>
      <c r="N490" s="453">
        <v>0</v>
      </c>
      <c r="O490" s="453">
        <v>0</v>
      </c>
      <c r="P490" s="452">
        <v>0</v>
      </c>
    </row>
    <row r="491" spans="4:16" s="293" customFormat="1" x14ac:dyDescent="0.25">
      <c r="D491" s="98"/>
      <c r="E491" s="98"/>
      <c r="F491" s="99" t="s">
        <v>935</v>
      </c>
      <c r="G491" s="196"/>
      <c r="H491" s="196" t="s">
        <v>146</v>
      </c>
      <c r="I491" s="196"/>
      <c r="J491" s="450">
        <v>16.114000000000001</v>
      </c>
      <c r="K491" s="450">
        <v>2.8260000000000001</v>
      </c>
      <c r="L491" s="450">
        <v>0.94199999999999995</v>
      </c>
      <c r="M491" s="451">
        <v>0</v>
      </c>
      <c r="N491" s="451">
        <v>0</v>
      </c>
      <c r="O491" s="451">
        <v>0</v>
      </c>
      <c r="P491" s="450">
        <v>0</v>
      </c>
    </row>
    <row r="492" spans="4:16" s="293" customFormat="1" x14ac:dyDescent="0.25">
      <c r="D492" s="98"/>
      <c r="E492" s="98"/>
      <c r="F492" s="99" t="s">
        <v>936</v>
      </c>
      <c r="G492" s="196"/>
      <c r="H492" s="196" t="s">
        <v>146</v>
      </c>
      <c r="I492" s="196"/>
      <c r="J492" s="450">
        <v>-10.731999999999999</v>
      </c>
      <c r="K492" s="450">
        <v>-1.921</v>
      </c>
      <c r="L492" s="450">
        <v>-0.20399999999999999</v>
      </c>
      <c r="M492" s="451">
        <v>0</v>
      </c>
      <c r="N492" s="451">
        <v>0</v>
      </c>
      <c r="O492" s="451">
        <v>0</v>
      </c>
      <c r="P492" s="450">
        <v>0</v>
      </c>
    </row>
    <row r="493" spans="4:16" s="293" customFormat="1" x14ac:dyDescent="0.25">
      <c r="D493" s="98"/>
      <c r="E493" s="98"/>
      <c r="F493" s="99" t="s">
        <v>937</v>
      </c>
      <c r="G493" s="196"/>
      <c r="H493" s="196" t="s">
        <v>146</v>
      </c>
      <c r="I493" s="196"/>
      <c r="J493" s="452">
        <v>0</v>
      </c>
      <c r="K493" s="452">
        <v>0</v>
      </c>
      <c r="L493" s="452">
        <v>0</v>
      </c>
      <c r="M493" s="453">
        <v>0</v>
      </c>
      <c r="N493" s="453">
        <v>0</v>
      </c>
      <c r="O493" s="453">
        <v>0</v>
      </c>
      <c r="P493" s="452">
        <v>0</v>
      </c>
    </row>
    <row r="494" spans="4:16" s="293" customFormat="1" x14ac:dyDescent="0.25">
      <c r="D494" s="98"/>
      <c r="E494" s="98"/>
      <c r="F494" s="99" t="s">
        <v>938</v>
      </c>
      <c r="G494" s="196"/>
      <c r="H494" s="196" t="s">
        <v>146</v>
      </c>
      <c r="I494" s="196"/>
      <c r="J494" s="450">
        <v>-10.731999999999999</v>
      </c>
      <c r="K494" s="450">
        <v>-1.921</v>
      </c>
      <c r="L494" s="450">
        <v>-0.20399999999999999</v>
      </c>
      <c r="M494" s="451">
        <v>0</v>
      </c>
      <c r="N494" s="451">
        <v>0</v>
      </c>
      <c r="O494" s="451">
        <v>0</v>
      </c>
      <c r="P494" s="450">
        <v>0.49099999999999999</v>
      </c>
    </row>
    <row r="495" spans="4:16" x14ac:dyDescent="0.25">
      <c r="F495" s="99" t="s">
        <v>939</v>
      </c>
      <c r="G495" s="196"/>
      <c r="H495" s="196" t="s">
        <v>146</v>
      </c>
      <c r="I495" s="196"/>
      <c r="J495" s="452">
        <v>0</v>
      </c>
      <c r="K495" s="452">
        <v>0</v>
      </c>
      <c r="L495" s="452">
        <v>0</v>
      </c>
      <c r="M495" s="453">
        <v>0</v>
      </c>
      <c r="N495" s="453">
        <v>0</v>
      </c>
      <c r="O495" s="453">
        <v>0</v>
      </c>
      <c r="P495" s="452">
        <v>0</v>
      </c>
    </row>
    <row r="496" spans="4:16" x14ac:dyDescent="0.25">
      <c r="F496" s="99" t="s">
        <v>940</v>
      </c>
      <c r="G496" s="196"/>
      <c r="H496" s="196" t="s">
        <v>146</v>
      </c>
      <c r="I496" s="196"/>
      <c r="J496" s="452">
        <v>0</v>
      </c>
      <c r="K496" s="452">
        <v>0</v>
      </c>
      <c r="L496" s="452">
        <v>0</v>
      </c>
      <c r="M496" s="453">
        <v>0</v>
      </c>
      <c r="N496" s="453">
        <v>0</v>
      </c>
      <c r="O496" s="453">
        <v>0</v>
      </c>
      <c r="P496" s="452">
        <v>0</v>
      </c>
    </row>
    <row r="497" spans="4:19" x14ac:dyDescent="0.25">
      <c r="F497" s="99" t="s">
        <v>941</v>
      </c>
      <c r="G497" s="196"/>
      <c r="H497" s="196" t="s">
        <v>146</v>
      </c>
      <c r="I497" s="196"/>
      <c r="J497" s="452">
        <v>0</v>
      </c>
      <c r="K497" s="452">
        <v>0</v>
      </c>
      <c r="L497" s="452">
        <v>0</v>
      </c>
      <c r="M497" s="453">
        <v>0</v>
      </c>
      <c r="N497" s="453">
        <v>0</v>
      </c>
      <c r="O497" s="453">
        <v>0</v>
      </c>
      <c r="P497" s="452">
        <v>0</v>
      </c>
    </row>
    <row r="498" spans="4:19" x14ac:dyDescent="0.25">
      <c r="F498" s="99" t="s">
        <v>942</v>
      </c>
      <c r="G498" s="196"/>
      <c r="H498" s="196" t="s">
        <v>146</v>
      </c>
      <c r="I498" s="196"/>
      <c r="J498" s="452">
        <v>0</v>
      </c>
      <c r="K498" s="452">
        <v>0</v>
      </c>
      <c r="L498" s="452">
        <v>0</v>
      </c>
      <c r="M498" s="453">
        <v>0</v>
      </c>
      <c r="N498" s="453">
        <v>0</v>
      </c>
      <c r="O498" s="453">
        <v>0</v>
      </c>
      <c r="P498" s="452">
        <v>0</v>
      </c>
    </row>
    <row r="499" spans="4:19" x14ac:dyDescent="0.25">
      <c r="F499" s="100" t="s">
        <v>943</v>
      </c>
      <c r="G499" s="93"/>
      <c r="H499" s="93" t="s">
        <v>146</v>
      </c>
      <c r="I499" s="93"/>
      <c r="J499" s="437">
        <v>0</v>
      </c>
      <c r="K499" s="437">
        <v>0</v>
      </c>
      <c r="L499" s="437">
        <v>0</v>
      </c>
      <c r="M499" s="343">
        <v>0</v>
      </c>
      <c r="N499" s="343">
        <v>0</v>
      </c>
      <c r="O499" s="343">
        <v>0</v>
      </c>
      <c r="P499" s="437">
        <v>0</v>
      </c>
    </row>
    <row r="500" spans="4:19" x14ac:dyDescent="0.25">
      <c r="D500" s="96"/>
      <c r="E500" s="96"/>
      <c r="F500" s="293"/>
      <c r="G500" s="293"/>
      <c r="H500" s="293"/>
      <c r="I500" s="293"/>
      <c r="J500" s="436"/>
      <c r="K500" s="436"/>
      <c r="L500" s="436"/>
      <c r="M500" s="342"/>
      <c r="N500" s="342"/>
      <c r="O500" s="342"/>
      <c r="P500" s="436"/>
      <c r="Q500" s="96"/>
      <c r="R500" s="96"/>
      <c r="S500" s="96"/>
    </row>
    <row r="501" spans="4:19" x14ac:dyDescent="0.25">
      <c r="D501" s="96"/>
      <c r="E501" s="96" t="str">
        <f>"LDNO HV tariff forecast "&amp; 'ARP_User control'!G34</f>
        <v>LDNO HV tariff forecast 2025/26</v>
      </c>
      <c r="F501" s="293"/>
      <c r="G501" s="293"/>
      <c r="H501" s="293"/>
      <c r="I501" s="293"/>
      <c r="J501" s="436"/>
      <c r="K501" s="436"/>
      <c r="L501" s="436"/>
      <c r="M501" s="342"/>
      <c r="N501" s="342"/>
      <c r="O501" s="342"/>
      <c r="P501" s="436"/>
      <c r="Q501" s="96"/>
      <c r="R501" s="96"/>
      <c r="S501" s="96"/>
    </row>
    <row r="502" spans="4:19" x14ac:dyDescent="0.25">
      <c r="F502" s="103" t="s">
        <v>1004</v>
      </c>
      <c r="G502" s="91"/>
      <c r="H502" s="91" t="s">
        <v>147</v>
      </c>
      <c r="I502" s="91"/>
      <c r="J502" s="434">
        <v>6.45</v>
      </c>
      <c r="K502" s="434">
        <v>1.155</v>
      </c>
      <c r="L502" s="434">
        <v>0.123</v>
      </c>
      <c r="M502" s="339">
        <v>5.91</v>
      </c>
      <c r="N502" s="339">
        <v>0</v>
      </c>
      <c r="O502" s="339">
        <v>0</v>
      </c>
      <c r="P502" s="434">
        <v>0</v>
      </c>
    </row>
    <row r="503" spans="4:19" x14ac:dyDescent="0.25">
      <c r="F503" s="99" t="s">
        <v>929</v>
      </c>
      <c r="G503" s="196"/>
      <c r="H503" s="196" t="s">
        <v>147</v>
      </c>
      <c r="I503" s="196"/>
      <c r="J503" s="450">
        <v>6.45</v>
      </c>
      <c r="K503" s="450">
        <v>1.155</v>
      </c>
      <c r="L503" s="450">
        <v>0.123</v>
      </c>
      <c r="M503" s="451">
        <v>0</v>
      </c>
      <c r="N503" s="451">
        <v>0</v>
      </c>
      <c r="O503" s="451">
        <v>0</v>
      </c>
      <c r="P503" s="450">
        <v>0</v>
      </c>
    </row>
    <row r="504" spans="4:19" x14ac:dyDescent="0.25">
      <c r="F504" s="99" t="s">
        <v>1005</v>
      </c>
      <c r="G504" s="196"/>
      <c r="H504" s="196" t="s">
        <v>147</v>
      </c>
      <c r="I504" s="196"/>
      <c r="J504" s="450">
        <v>7.8659999999999997</v>
      </c>
      <c r="K504" s="450">
        <v>1.4079999999999999</v>
      </c>
      <c r="L504" s="450">
        <v>0.15</v>
      </c>
      <c r="M504" s="451">
        <v>1.87</v>
      </c>
      <c r="N504" s="451">
        <v>0</v>
      </c>
      <c r="O504" s="451">
        <v>0</v>
      </c>
      <c r="P504" s="450">
        <v>0</v>
      </c>
    </row>
    <row r="505" spans="4:19" x14ac:dyDescent="0.25">
      <c r="F505" s="99" t="s">
        <v>1006</v>
      </c>
      <c r="G505" s="196"/>
      <c r="H505" s="196" t="s">
        <v>147</v>
      </c>
      <c r="I505" s="196"/>
      <c r="J505" s="450">
        <v>7.8659999999999997</v>
      </c>
      <c r="K505" s="450">
        <v>1.4079999999999999</v>
      </c>
      <c r="L505" s="450">
        <v>0.15</v>
      </c>
      <c r="M505" s="451">
        <v>3.44</v>
      </c>
      <c r="N505" s="451">
        <v>0</v>
      </c>
      <c r="O505" s="451">
        <v>0</v>
      </c>
      <c r="P505" s="450">
        <v>0</v>
      </c>
    </row>
    <row r="506" spans="4:19" x14ac:dyDescent="0.25">
      <c r="F506" s="99" t="s">
        <v>1007</v>
      </c>
      <c r="G506" s="196"/>
      <c r="H506" s="196" t="s">
        <v>147</v>
      </c>
      <c r="I506" s="196"/>
      <c r="J506" s="450">
        <v>7.8659999999999997</v>
      </c>
      <c r="K506" s="450">
        <v>1.4079999999999999</v>
      </c>
      <c r="L506" s="450">
        <v>0.15</v>
      </c>
      <c r="M506" s="451">
        <v>10.36</v>
      </c>
      <c r="N506" s="451">
        <v>0</v>
      </c>
      <c r="O506" s="451">
        <v>0</v>
      </c>
      <c r="P506" s="450">
        <v>0</v>
      </c>
    </row>
    <row r="507" spans="4:19" x14ac:dyDescent="0.25">
      <c r="F507" s="99" t="s">
        <v>1008</v>
      </c>
      <c r="G507" s="196"/>
      <c r="H507" s="196" t="s">
        <v>147</v>
      </c>
      <c r="I507" s="196"/>
      <c r="J507" s="450">
        <v>7.8659999999999997</v>
      </c>
      <c r="K507" s="450">
        <v>1.4079999999999999</v>
      </c>
      <c r="L507" s="450">
        <v>0.15</v>
      </c>
      <c r="M507" s="451">
        <v>22.91</v>
      </c>
      <c r="N507" s="451">
        <v>0</v>
      </c>
      <c r="O507" s="451">
        <v>0</v>
      </c>
      <c r="P507" s="450">
        <v>0</v>
      </c>
    </row>
    <row r="508" spans="4:19" x14ac:dyDescent="0.25">
      <c r="F508" s="99" t="s">
        <v>1009</v>
      </c>
      <c r="G508" s="196"/>
      <c r="H508" s="196" t="s">
        <v>147</v>
      </c>
      <c r="I508" s="196"/>
      <c r="J508" s="450">
        <v>7.8659999999999997</v>
      </c>
      <c r="K508" s="450">
        <v>1.4079999999999999</v>
      </c>
      <c r="L508" s="450">
        <v>0.15</v>
      </c>
      <c r="M508" s="451">
        <v>69.73</v>
      </c>
      <c r="N508" s="451">
        <v>0</v>
      </c>
      <c r="O508" s="451">
        <v>0</v>
      </c>
      <c r="P508" s="450">
        <v>0</v>
      </c>
    </row>
    <row r="509" spans="4:19" s="293" customFormat="1" x14ac:dyDescent="0.25">
      <c r="D509" s="98"/>
      <c r="E509" s="98"/>
      <c r="F509" s="99" t="s">
        <v>931</v>
      </c>
      <c r="G509" s="196"/>
      <c r="H509" s="196" t="s">
        <v>147</v>
      </c>
      <c r="I509" s="196"/>
      <c r="J509" s="450">
        <v>7.8659999999999997</v>
      </c>
      <c r="K509" s="450">
        <v>1.4079999999999999</v>
      </c>
      <c r="L509" s="450">
        <v>0.15</v>
      </c>
      <c r="M509" s="451">
        <v>0</v>
      </c>
      <c r="N509" s="451">
        <v>0</v>
      </c>
      <c r="O509" s="451">
        <v>0</v>
      </c>
      <c r="P509" s="450">
        <v>0</v>
      </c>
    </row>
    <row r="510" spans="4:19" s="293" customFormat="1" x14ac:dyDescent="0.25">
      <c r="D510" s="98"/>
      <c r="E510" s="98"/>
      <c r="F510" s="99" t="s">
        <v>1010</v>
      </c>
      <c r="G510" s="196"/>
      <c r="H510" s="196" t="s">
        <v>147</v>
      </c>
      <c r="I510" s="196"/>
      <c r="J510" s="450">
        <v>5.1559999999999997</v>
      </c>
      <c r="K510" s="450">
        <v>0.84599999999999997</v>
      </c>
      <c r="L510" s="450">
        <v>9.2999999999999999E-2</v>
      </c>
      <c r="M510" s="451">
        <v>6.67</v>
      </c>
      <c r="N510" s="451">
        <v>1.84</v>
      </c>
      <c r="O510" s="451">
        <v>3.45</v>
      </c>
      <c r="P510" s="450">
        <v>0.255</v>
      </c>
    </row>
    <row r="511" spans="4:19" s="293" customFormat="1" x14ac:dyDescent="0.25">
      <c r="D511" s="98"/>
      <c r="E511" s="98"/>
      <c r="F511" s="99" t="s">
        <v>1011</v>
      </c>
      <c r="G511" s="196"/>
      <c r="H511" s="196" t="s">
        <v>147</v>
      </c>
      <c r="I511" s="196"/>
      <c r="J511" s="450">
        <v>5.1559999999999997</v>
      </c>
      <c r="K511" s="450">
        <v>0.84599999999999997</v>
      </c>
      <c r="L511" s="450">
        <v>9.2999999999999999E-2</v>
      </c>
      <c r="M511" s="451">
        <v>109.17</v>
      </c>
      <c r="N511" s="451">
        <v>1.84</v>
      </c>
      <c r="O511" s="451">
        <v>3.45</v>
      </c>
      <c r="P511" s="450">
        <v>0.255</v>
      </c>
    </row>
    <row r="512" spans="4:19" x14ac:dyDescent="0.25">
      <c r="F512" s="99" t="s">
        <v>1012</v>
      </c>
      <c r="G512" s="196"/>
      <c r="H512" s="196" t="s">
        <v>147</v>
      </c>
      <c r="I512" s="196"/>
      <c r="J512" s="450">
        <v>5.1559999999999997</v>
      </c>
      <c r="K512" s="450">
        <v>0.84599999999999997</v>
      </c>
      <c r="L512" s="450">
        <v>9.2999999999999999E-2</v>
      </c>
      <c r="M512" s="451">
        <v>242.45</v>
      </c>
      <c r="N512" s="451">
        <v>1.84</v>
      </c>
      <c r="O512" s="451">
        <v>3.45</v>
      </c>
      <c r="P512" s="450">
        <v>0.255</v>
      </c>
    </row>
    <row r="513" spans="4:16" x14ac:dyDescent="0.25">
      <c r="F513" s="99" t="s">
        <v>1013</v>
      </c>
      <c r="G513" s="196"/>
      <c r="H513" s="196" t="s">
        <v>147</v>
      </c>
      <c r="I513" s="196"/>
      <c r="J513" s="450">
        <v>5.1559999999999997</v>
      </c>
      <c r="K513" s="450">
        <v>0.84599999999999997</v>
      </c>
      <c r="L513" s="450">
        <v>9.2999999999999999E-2</v>
      </c>
      <c r="M513" s="451">
        <v>403.83</v>
      </c>
      <c r="N513" s="451">
        <v>1.84</v>
      </c>
      <c r="O513" s="451">
        <v>3.45</v>
      </c>
      <c r="P513" s="450">
        <v>0.255</v>
      </c>
    </row>
    <row r="514" spans="4:16" x14ac:dyDescent="0.25">
      <c r="F514" s="99" t="s">
        <v>1014</v>
      </c>
      <c r="G514" s="196"/>
      <c r="H514" s="196" t="s">
        <v>147</v>
      </c>
      <c r="I514" s="196"/>
      <c r="J514" s="450">
        <v>5.1559999999999997</v>
      </c>
      <c r="K514" s="450">
        <v>0.84599999999999997</v>
      </c>
      <c r="L514" s="450">
        <v>9.2999999999999999E-2</v>
      </c>
      <c r="M514" s="451">
        <v>872</v>
      </c>
      <c r="N514" s="451">
        <v>1.84</v>
      </c>
      <c r="O514" s="451">
        <v>3.45</v>
      </c>
      <c r="P514" s="450">
        <v>0.255</v>
      </c>
    </row>
    <row r="515" spans="4:16" x14ac:dyDescent="0.25">
      <c r="F515" s="99" t="s">
        <v>1015</v>
      </c>
      <c r="G515" s="196"/>
      <c r="H515" s="196" t="s">
        <v>147</v>
      </c>
      <c r="I515" s="196"/>
      <c r="J515" s="450">
        <v>6.4930000000000003</v>
      </c>
      <c r="K515" s="450">
        <v>0.83499999999999996</v>
      </c>
      <c r="L515" s="450">
        <v>0.10299999999999999</v>
      </c>
      <c r="M515" s="451">
        <v>3.8</v>
      </c>
      <c r="N515" s="451">
        <v>6.17</v>
      </c>
      <c r="O515" s="451">
        <v>8.75</v>
      </c>
      <c r="P515" s="450">
        <v>0.26</v>
      </c>
    </row>
    <row r="516" spans="4:16" s="293" customFormat="1" x14ac:dyDescent="0.25">
      <c r="D516" s="98"/>
      <c r="E516" s="98"/>
      <c r="F516" s="99" t="s">
        <v>1016</v>
      </c>
      <c r="G516" s="196"/>
      <c r="H516" s="196" t="s">
        <v>147</v>
      </c>
      <c r="I516" s="196"/>
      <c r="J516" s="450">
        <v>6.4930000000000003</v>
      </c>
      <c r="K516" s="450">
        <v>0.83499999999999996</v>
      </c>
      <c r="L516" s="450">
        <v>0.10299999999999999</v>
      </c>
      <c r="M516" s="451">
        <v>169.4</v>
      </c>
      <c r="N516" s="451">
        <v>6.17</v>
      </c>
      <c r="O516" s="451">
        <v>8.75</v>
      </c>
      <c r="P516" s="450">
        <v>0.26</v>
      </c>
    </row>
    <row r="517" spans="4:16" s="293" customFormat="1" x14ac:dyDescent="0.25">
      <c r="D517" s="98"/>
      <c r="E517" s="98"/>
      <c r="F517" s="99" t="s">
        <v>1017</v>
      </c>
      <c r="G517" s="196"/>
      <c r="H517" s="196" t="s">
        <v>147</v>
      </c>
      <c r="I517" s="196"/>
      <c r="J517" s="450">
        <v>6.4930000000000003</v>
      </c>
      <c r="K517" s="450">
        <v>0.83499999999999996</v>
      </c>
      <c r="L517" s="450">
        <v>0.10299999999999999</v>
      </c>
      <c r="M517" s="451">
        <v>384.73</v>
      </c>
      <c r="N517" s="451">
        <v>6.17</v>
      </c>
      <c r="O517" s="451">
        <v>8.75</v>
      </c>
      <c r="P517" s="450">
        <v>0.26</v>
      </c>
    </row>
    <row r="518" spans="4:16" s="293" customFormat="1" x14ac:dyDescent="0.25">
      <c r="D518" s="98"/>
      <c r="E518" s="98"/>
      <c r="F518" s="99" t="s">
        <v>1018</v>
      </c>
      <c r="G518" s="196"/>
      <c r="H518" s="196" t="s">
        <v>147</v>
      </c>
      <c r="I518" s="196"/>
      <c r="J518" s="450">
        <v>6.4930000000000003</v>
      </c>
      <c r="K518" s="450">
        <v>0.83499999999999996</v>
      </c>
      <c r="L518" s="450">
        <v>0.10299999999999999</v>
      </c>
      <c r="M518" s="451">
        <v>645.47</v>
      </c>
      <c r="N518" s="451">
        <v>6.17</v>
      </c>
      <c r="O518" s="451">
        <v>8.75</v>
      </c>
      <c r="P518" s="450">
        <v>0.26</v>
      </c>
    </row>
    <row r="519" spans="4:16" s="293" customFormat="1" x14ac:dyDescent="0.25">
      <c r="D519" s="98"/>
      <c r="E519" s="98"/>
      <c r="F519" s="99" t="s">
        <v>1019</v>
      </c>
      <c r="G519" s="196"/>
      <c r="H519" s="196" t="s">
        <v>147</v>
      </c>
      <c r="I519" s="196"/>
      <c r="J519" s="450">
        <v>6.4930000000000003</v>
      </c>
      <c r="K519" s="450">
        <v>0.83499999999999996</v>
      </c>
      <c r="L519" s="450">
        <v>0.10299999999999999</v>
      </c>
      <c r="M519" s="451">
        <v>1401.85</v>
      </c>
      <c r="N519" s="451">
        <v>6.17</v>
      </c>
      <c r="O519" s="451">
        <v>8.75</v>
      </c>
      <c r="P519" s="450">
        <v>0.26</v>
      </c>
    </row>
    <row r="520" spans="4:16" s="293" customFormat="1" x14ac:dyDescent="0.25">
      <c r="D520" s="98"/>
      <c r="E520" s="98"/>
      <c r="F520" s="99" t="s">
        <v>1020</v>
      </c>
      <c r="G520" s="196"/>
      <c r="H520" s="196" t="s">
        <v>147</v>
      </c>
      <c r="I520" s="196"/>
      <c r="J520" s="450">
        <v>5.6139999999999999</v>
      </c>
      <c r="K520" s="450">
        <v>0.627</v>
      </c>
      <c r="L520" s="450">
        <v>7.8E-2</v>
      </c>
      <c r="M520" s="451">
        <v>65.05</v>
      </c>
      <c r="N520" s="451">
        <v>5</v>
      </c>
      <c r="O520" s="451">
        <v>8.7100000000000009</v>
      </c>
      <c r="P520" s="450">
        <v>0.19800000000000001</v>
      </c>
    </row>
    <row r="521" spans="4:16" s="293" customFormat="1" x14ac:dyDescent="0.25">
      <c r="D521" s="98"/>
      <c r="E521" s="98"/>
      <c r="F521" s="99" t="s">
        <v>1021</v>
      </c>
      <c r="G521" s="196"/>
      <c r="H521" s="196" t="s">
        <v>147</v>
      </c>
      <c r="I521" s="196"/>
      <c r="J521" s="450">
        <v>5.6139999999999999</v>
      </c>
      <c r="K521" s="450">
        <v>0.627</v>
      </c>
      <c r="L521" s="450">
        <v>7.8E-2</v>
      </c>
      <c r="M521" s="451">
        <v>1134.23</v>
      </c>
      <c r="N521" s="451">
        <v>5</v>
      </c>
      <c r="O521" s="451">
        <v>8.7100000000000009</v>
      </c>
      <c r="P521" s="450">
        <v>0.19800000000000001</v>
      </c>
    </row>
    <row r="522" spans="4:16" s="293" customFormat="1" x14ac:dyDescent="0.25">
      <c r="D522" s="98"/>
      <c r="E522" s="98"/>
      <c r="F522" s="99" t="s">
        <v>1022</v>
      </c>
      <c r="G522" s="196"/>
      <c r="H522" s="196" t="s">
        <v>147</v>
      </c>
      <c r="I522" s="196"/>
      <c r="J522" s="450">
        <v>5.6139999999999999</v>
      </c>
      <c r="K522" s="450">
        <v>0.627</v>
      </c>
      <c r="L522" s="450">
        <v>7.8E-2</v>
      </c>
      <c r="M522" s="451">
        <v>4042.12</v>
      </c>
      <c r="N522" s="451">
        <v>5</v>
      </c>
      <c r="O522" s="451">
        <v>8.7100000000000009</v>
      </c>
      <c r="P522" s="450">
        <v>0.19800000000000001</v>
      </c>
    </row>
    <row r="523" spans="4:16" s="293" customFormat="1" x14ac:dyDescent="0.25">
      <c r="D523" s="98"/>
      <c r="E523" s="98"/>
      <c r="F523" s="99" t="s">
        <v>1023</v>
      </c>
      <c r="G523" s="196"/>
      <c r="H523" s="196" t="s">
        <v>147</v>
      </c>
      <c r="I523" s="196"/>
      <c r="J523" s="450">
        <v>5.6139999999999999</v>
      </c>
      <c r="K523" s="450">
        <v>0.627</v>
      </c>
      <c r="L523" s="450">
        <v>7.8E-2</v>
      </c>
      <c r="M523" s="451">
        <v>8119.93</v>
      </c>
      <c r="N523" s="451">
        <v>5</v>
      </c>
      <c r="O523" s="451">
        <v>8.7100000000000009</v>
      </c>
      <c r="P523" s="450">
        <v>0.19800000000000001</v>
      </c>
    </row>
    <row r="524" spans="4:16" s="293" customFormat="1" x14ac:dyDescent="0.25">
      <c r="D524" s="98"/>
      <c r="E524" s="98"/>
      <c r="F524" s="99" t="s">
        <v>1024</v>
      </c>
      <c r="G524" s="196"/>
      <c r="H524" s="196" t="s">
        <v>147</v>
      </c>
      <c r="I524" s="196"/>
      <c r="J524" s="450">
        <v>5.6139999999999999</v>
      </c>
      <c r="K524" s="450">
        <v>0.627</v>
      </c>
      <c r="L524" s="450">
        <v>7.8E-2</v>
      </c>
      <c r="M524" s="451">
        <v>15200.74</v>
      </c>
      <c r="N524" s="451">
        <v>5</v>
      </c>
      <c r="O524" s="451">
        <v>8.7100000000000009</v>
      </c>
      <c r="P524" s="450">
        <v>0.19800000000000001</v>
      </c>
    </row>
    <row r="525" spans="4:16" s="293" customFormat="1" x14ac:dyDescent="0.25">
      <c r="D525" s="98"/>
      <c r="E525" s="98"/>
      <c r="F525" s="99" t="s">
        <v>935</v>
      </c>
      <c r="G525" s="196"/>
      <c r="H525" s="196" t="s">
        <v>147</v>
      </c>
      <c r="I525" s="196"/>
      <c r="J525" s="450">
        <v>11.715999999999999</v>
      </c>
      <c r="K525" s="450">
        <v>2.0550000000000002</v>
      </c>
      <c r="L525" s="450">
        <v>0.68500000000000005</v>
      </c>
      <c r="M525" s="451">
        <v>0</v>
      </c>
      <c r="N525" s="451">
        <v>0</v>
      </c>
      <c r="O525" s="451">
        <v>0</v>
      </c>
      <c r="P525" s="450">
        <v>0</v>
      </c>
    </row>
    <row r="526" spans="4:16" s="293" customFormat="1" x14ac:dyDescent="0.25">
      <c r="D526" s="98"/>
      <c r="E526" s="98"/>
      <c r="F526" s="99" t="s">
        <v>936</v>
      </c>
      <c r="G526" s="196"/>
      <c r="H526" s="196" t="s">
        <v>147</v>
      </c>
      <c r="I526" s="196"/>
      <c r="J526" s="450">
        <v>-10.731999999999999</v>
      </c>
      <c r="K526" s="450">
        <v>-1.921</v>
      </c>
      <c r="L526" s="450">
        <v>-0.20399999999999999</v>
      </c>
      <c r="M526" s="451">
        <v>0</v>
      </c>
      <c r="N526" s="451">
        <v>0</v>
      </c>
      <c r="O526" s="451">
        <v>0</v>
      </c>
      <c r="P526" s="450">
        <v>0</v>
      </c>
    </row>
    <row r="527" spans="4:16" s="293" customFormat="1" x14ac:dyDescent="0.25">
      <c r="D527" s="98"/>
      <c r="E527" s="98"/>
      <c r="F527" s="99" t="s">
        <v>937</v>
      </c>
      <c r="G527" s="196"/>
      <c r="H527" s="196" t="s">
        <v>147</v>
      </c>
      <c r="I527" s="196"/>
      <c r="J527" s="450">
        <v>-9.6790000000000003</v>
      </c>
      <c r="K527" s="450">
        <v>-1.655</v>
      </c>
      <c r="L527" s="450">
        <v>-0.17899999999999999</v>
      </c>
      <c r="M527" s="451">
        <v>0</v>
      </c>
      <c r="N527" s="451">
        <v>0</v>
      </c>
      <c r="O527" s="451">
        <v>0</v>
      </c>
      <c r="P527" s="450">
        <v>0</v>
      </c>
    </row>
    <row r="528" spans="4:16" s="293" customFormat="1" x14ac:dyDescent="0.25">
      <c r="D528" s="98"/>
      <c r="E528" s="98"/>
      <c r="F528" s="99" t="s">
        <v>938</v>
      </c>
      <c r="G528" s="196"/>
      <c r="H528" s="196" t="s">
        <v>147</v>
      </c>
      <c r="I528" s="196"/>
      <c r="J528" s="450">
        <v>-10.731999999999999</v>
      </c>
      <c r="K528" s="450">
        <v>-1.921</v>
      </c>
      <c r="L528" s="450">
        <v>-0.20399999999999999</v>
      </c>
      <c r="M528" s="451">
        <v>0</v>
      </c>
      <c r="N528" s="451">
        <v>0</v>
      </c>
      <c r="O528" s="451">
        <v>0</v>
      </c>
      <c r="P528" s="450">
        <v>0.49099999999999999</v>
      </c>
    </row>
    <row r="529" spans="3:19" x14ac:dyDescent="0.25">
      <c r="F529" s="99" t="s">
        <v>939</v>
      </c>
      <c r="G529" s="196"/>
      <c r="H529" s="196" t="s">
        <v>147</v>
      </c>
      <c r="I529" s="196"/>
      <c r="J529" s="452">
        <v>0</v>
      </c>
      <c r="K529" s="452">
        <v>0</v>
      </c>
      <c r="L529" s="452">
        <v>0</v>
      </c>
      <c r="M529" s="453">
        <v>0</v>
      </c>
      <c r="N529" s="453">
        <v>0</v>
      </c>
      <c r="O529" s="453">
        <v>0</v>
      </c>
      <c r="P529" s="452">
        <v>0</v>
      </c>
    </row>
    <row r="530" spans="3:19" x14ac:dyDescent="0.25">
      <c r="F530" s="99" t="s">
        <v>940</v>
      </c>
      <c r="G530" s="196"/>
      <c r="H530" s="196" t="s">
        <v>147</v>
      </c>
      <c r="I530" s="196"/>
      <c r="J530" s="450">
        <v>-9.6790000000000003</v>
      </c>
      <c r="K530" s="450">
        <v>-1.655</v>
      </c>
      <c r="L530" s="450">
        <v>-0.17899999999999999</v>
      </c>
      <c r="M530" s="451">
        <v>0</v>
      </c>
      <c r="N530" s="451">
        <v>0</v>
      </c>
      <c r="O530" s="451">
        <v>0</v>
      </c>
      <c r="P530" s="450">
        <v>0.45200000000000001</v>
      </c>
    </row>
    <row r="531" spans="3:19" x14ac:dyDescent="0.25">
      <c r="F531" s="99" t="s">
        <v>941</v>
      </c>
      <c r="G531" s="196"/>
      <c r="H531" s="196" t="s">
        <v>147</v>
      </c>
      <c r="I531" s="196"/>
      <c r="J531" s="452">
        <v>0</v>
      </c>
      <c r="K531" s="452">
        <v>0</v>
      </c>
      <c r="L531" s="452">
        <v>0</v>
      </c>
      <c r="M531" s="453">
        <v>0</v>
      </c>
      <c r="N531" s="453">
        <v>0</v>
      </c>
      <c r="O531" s="453">
        <v>0</v>
      </c>
      <c r="P531" s="452">
        <v>0</v>
      </c>
    </row>
    <row r="532" spans="3:19" x14ac:dyDescent="0.25">
      <c r="F532" s="99" t="s">
        <v>942</v>
      </c>
      <c r="G532" s="196"/>
      <c r="H532" s="196" t="s">
        <v>147</v>
      </c>
      <c r="I532" s="196"/>
      <c r="J532" s="450">
        <v>-6.9729999999999999</v>
      </c>
      <c r="K532" s="450">
        <v>-0.86499999999999999</v>
      </c>
      <c r="L532" s="450">
        <v>-0.105</v>
      </c>
      <c r="M532" s="451">
        <v>0</v>
      </c>
      <c r="N532" s="451">
        <v>0</v>
      </c>
      <c r="O532" s="451">
        <v>0</v>
      </c>
      <c r="P532" s="450">
        <v>0.33800000000000002</v>
      </c>
    </row>
    <row r="533" spans="3:19" x14ac:dyDescent="0.25">
      <c r="F533" s="100" t="s">
        <v>943</v>
      </c>
      <c r="G533" s="93"/>
      <c r="H533" s="93" t="s">
        <v>147</v>
      </c>
      <c r="I533" s="93"/>
      <c r="J533" s="437">
        <v>0</v>
      </c>
      <c r="K533" s="437">
        <v>0</v>
      </c>
      <c r="L533" s="437">
        <v>0</v>
      </c>
      <c r="M533" s="343">
        <v>0</v>
      </c>
      <c r="N533" s="343">
        <v>0</v>
      </c>
      <c r="O533" s="343">
        <v>0</v>
      </c>
      <c r="P533" s="437">
        <v>0</v>
      </c>
    </row>
    <row r="534" spans="3:19" x14ac:dyDescent="0.25">
      <c r="D534" s="96"/>
      <c r="E534" s="96"/>
      <c r="F534" s="96"/>
      <c r="G534" s="96"/>
      <c r="H534" s="96"/>
      <c r="I534" s="96"/>
      <c r="J534" s="438"/>
      <c r="K534" s="438"/>
      <c r="L534" s="438"/>
      <c r="M534" s="215"/>
      <c r="N534" s="215"/>
      <c r="O534" s="215"/>
      <c r="P534" s="438"/>
      <c r="Q534" s="96"/>
      <c r="R534" s="96"/>
      <c r="S534" s="96"/>
    </row>
    <row r="535" spans="3:19" s="195" customFormat="1" x14ac:dyDescent="0.25">
      <c r="C535" s="7" t="str">
        <f ca="1">INDEX('Version control'!$H$34:$H$60,MATCH($A$1,'Version control'!$F$34:$F$60,0),1)&amp;"-F: Tariff results for charging year " &amp; 'ARP_User control'!G35</f>
        <v>Output 501-F: Tariff results for charging year 2026/27</v>
      </c>
      <c r="D535" s="7"/>
      <c r="E535" s="7"/>
      <c r="F535" s="7"/>
      <c r="G535" s="7"/>
      <c r="H535" s="7"/>
      <c r="I535" s="7"/>
      <c r="J535" s="439"/>
      <c r="K535" s="439"/>
      <c r="L535" s="439"/>
      <c r="M535" s="7"/>
      <c r="N535" s="7"/>
      <c r="O535" s="7"/>
      <c r="P535" s="439"/>
      <c r="Q535" s="7"/>
      <c r="R535" s="7"/>
    </row>
    <row r="536" spans="3:19" x14ac:dyDescent="0.25">
      <c r="D536" s="85"/>
      <c r="E536" s="195"/>
      <c r="F536" s="195"/>
      <c r="J536" s="440"/>
      <c r="K536" s="440"/>
      <c r="L536" s="440"/>
      <c r="M536" s="213"/>
      <c r="N536" s="213"/>
      <c r="O536" s="213"/>
      <c r="P536" s="440"/>
    </row>
    <row r="537" spans="3:19" x14ac:dyDescent="0.25">
      <c r="D537" s="96"/>
      <c r="E537" s="96" t="str">
        <f>"All the way tariff forecast "&amp; 'ARP_User control'!G35</f>
        <v>All the way tariff forecast 2026/27</v>
      </c>
      <c r="F537" s="195"/>
      <c r="J537" s="440"/>
      <c r="K537" s="440"/>
      <c r="L537" s="440"/>
      <c r="M537" s="213"/>
      <c r="N537" s="213"/>
      <c r="O537" s="213"/>
      <c r="P537" s="440"/>
    </row>
    <row r="538" spans="3:19" x14ac:dyDescent="0.25">
      <c r="C538" s="86"/>
      <c r="F538" s="103" t="s">
        <v>1004</v>
      </c>
      <c r="G538" s="91"/>
      <c r="H538" s="91" t="s">
        <v>261</v>
      </c>
      <c r="I538" s="91"/>
      <c r="J538" s="434">
        <v>16.984000000000002</v>
      </c>
      <c r="K538" s="434">
        <v>3.032</v>
      </c>
      <c r="L538" s="434">
        <v>0.316</v>
      </c>
      <c r="M538" s="339">
        <v>8.49</v>
      </c>
      <c r="N538" s="339">
        <v>0</v>
      </c>
      <c r="O538" s="339">
        <v>0</v>
      </c>
      <c r="P538" s="434">
        <v>0</v>
      </c>
    </row>
    <row r="539" spans="3:19" x14ac:dyDescent="0.25">
      <c r="C539" s="86"/>
      <c r="F539" s="99" t="s">
        <v>929</v>
      </c>
      <c r="G539" s="196"/>
      <c r="H539" s="196" t="s">
        <v>261</v>
      </c>
      <c r="I539" s="196"/>
      <c r="J539" s="450">
        <v>16.984000000000002</v>
      </c>
      <c r="K539" s="450">
        <v>3.032</v>
      </c>
      <c r="L539" s="450">
        <v>0.316</v>
      </c>
      <c r="M539" s="451">
        <v>0</v>
      </c>
      <c r="N539" s="451">
        <v>0</v>
      </c>
      <c r="O539" s="451">
        <v>0</v>
      </c>
      <c r="P539" s="450">
        <v>0</v>
      </c>
    </row>
    <row r="540" spans="3:19" x14ac:dyDescent="0.25">
      <c r="C540" s="86"/>
      <c r="F540" s="99" t="s">
        <v>1005</v>
      </c>
      <c r="G540" s="196"/>
      <c r="H540" s="196" t="s">
        <v>261</v>
      </c>
      <c r="I540" s="196"/>
      <c r="J540" s="450">
        <v>20.712</v>
      </c>
      <c r="K540" s="450">
        <v>3.6970000000000001</v>
      </c>
      <c r="L540" s="450">
        <v>0.38600000000000001</v>
      </c>
      <c r="M540" s="451">
        <v>3.63</v>
      </c>
      <c r="N540" s="451">
        <v>0</v>
      </c>
      <c r="O540" s="451">
        <v>0</v>
      </c>
      <c r="P540" s="450">
        <v>0</v>
      </c>
    </row>
    <row r="541" spans="3:19" x14ac:dyDescent="0.25">
      <c r="C541" s="86"/>
      <c r="F541" s="99" t="s">
        <v>1006</v>
      </c>
      <c r="G541" s="196"/>
      <c r="H541" s="196" t="s">
        <v>261</v>
      </c>
      <c r="I541" s="196"/>
      <c r="J541" s="450">
        <v>20.712</v>
      </c>
      <c r="K541" s="450">
        <v>3.6970000000000001</v>
      </c>
      <c r="L541" s="450">
        <v>0.38600000000000001</v>
      </c>
      <c r="M541" s="451">
        <v>5.59</v>
      </c>
      <c r="N541" s="451">
        <v>0</v>
      </c>
      <c r="O541" s="451">
        <v>0</v>
      </c>
      <c r="P541" s="450">
        <v>0</v>
      </c>
    </row>
    <row r="542" spans="3:19" x14ac:dyDescent="0.25">
      <c r="C542" s="86"/>
      <c r="F542" s="99" t="s">
        <v>1007</v>
      </c>
      <c r="G542" s="196"/>
      <c r="H542" s="196" t="s">
        <v>261</v>
      </c>
      <c r="I542" s="196"/>
      <c r="J542" s="450">
        <v>20.712</v>
      </c>
      <c r="K542" s="450">
        <v>3.6970000000000001</v>
      </c>
      <c r="L542" s="450">
        <v>0.38600000000000001</v>
      </c>
      <c r="M542" s="451">
        <v>14.26</v>
      </c>
      <c r="N542" s="451">
        <v>0</v>
      </c>
      <c r="O542" s="451">
        <v>0</v>
      </c>
      <c r="P542" s="450">
        <v>0</v>
      </c>
    </row>
    <row r="543" spans="3:19" x14ac:dyDescent="0.25">
      <c r="C543" s="86"/>
      <c r="F543" s="99" t="s">
        <v>1008</v>
      </c>
      <c r="G543" s="196"/>
      <c r="H543" s="196" t="s">
        <v>261</v>
      </c>
      <c r="I543" s="196"/>
      <c r="J543" s="450">
        <v>20.712</v>
      </c>
      <c r="K543" s="450">
        <v>3.6970000000000001</v>
      </c>
      <c r="L543" s="450">
        <v>0.38600000000000001</v>
      </c>
      <c r="M543" s="451">
        <v>29.96</v>
      </c>
      <c r="N543" s="451">
        <v>0</v>
      </c>
      <c r="O543" s="451">
        <v>0</v>
      </c>
      <c r="P543" s="450">
        <v>0</v>
      </c>
    </row>
    <row r="544" spans="3:19" x14ac:dyDescent="0.25">
      <c r="C544" s="86"/>
      <c r="F544" s="99" t="s">
        <v>1009</v>
      </c>
      <c r="G544" s="196"/>
      <c r="H544" s="196" t="s">
        <v>261</v>
      </c>
      <c r="I544" s="196"/>
      <c r="J544" s="450">
        <v>20.712</v>
      </c>
      <c r="K544" s="450">
        <v>3.6970000000000001</v>
      </c>
      <c r="L544" s="450">
        <v>0.38600000000000001</v>
      </c>
      <c r="M544" s="451">
        <v>88.55</v>
      </c>
      <c r="N544" s="451">
        <v>0</v>
      </c>
      <c r="O544" s="451">
        <v>0</v>
      </c>
      <c r="P544" s="450">
        <v>0</v>
      </c>
    </row>
    <row r="545" spans="3:16" s="293" customFormat="1" x14ac:dyDescent="0.25">
      <c r="C545" s="86"/>
      <c r="D545" s="98"/>
      <c r="E545" s="98"/>
      <c r="F545" s="99" t="s">
        <v>931</v>
      </c>
      <c r="G545" s="196"/>
      <c r="H545" s="196" t="s">
        <v>261</v>
      </c>
      <c r="I545" s="196"/>
      <c r="J545" s="450">
        <v>20.712</v>
      </c>
      <c r="K545" s="450">
        <v>3.6970000000000001</v>
      </c>
      <c r="L545" s="450">
        <v>0.38600000000000001</v>
      </c>
      <c r="M545" s="451">
        <v>0</v>
      </c>
      <c r="N545" s="451">
        <v>0</v>
      </c>
      <c r="O545" s="451">
        <v>0</v>
      </c>
      <c r="P545" s="450">
        <v>0</v>
      </c>
    </row>
    <row r="546" spans="3:16" s="293" customFormat="1" x14ac:dyDescent="0.25">
      <c r="C546" s="86"/>
      <c r="D546" s="98"/>
      <c r="E546" s="98"/>
      <c r="F546" s="99" t="s">
        <v>1010</v>
      </c>
      <c r="G546" s="196"/>
      <c r="H546" s="196" t="s">
        <v>261</v>
      </c>
      <c r="I546" s="196"/>
      <c r="J546" s="450">
        <v>13.544</v>
      </c>
      <c r="K546" s="450">
        <v>2.2109999999999999</v>
      </c>
      <c r="L546" s="450">
        <v>0.23899999999999999</v>
      </c>
      <c r="M546" s="451">
        <v>11.81</v>
      </c>
      <c r="N546" s="451">
        <v>4.87</v>
      </c>
      <c r="O546" s="451">
        <v>9.7100000000000009</v>
      </c>
      <c r="P546" s="450">
        <v>0.66600000000000004</v>
      </c>
    </row>
    <row r="547" spans="3:16" s="293" customFormat="1" x14ac:dyDescent="0.25">
      <c r="C547" s="86"/>
      <c r="D547" s="98"/>
      <c r="E547" s="98"/>
      <c r="F547" s="99" t="s">
        <v>1011</v>
      </c>
      <c r="G547" s="196"/>
      <c r="H547" s="196" t="s">
        <v>261</v>
      </c>
      <c r="I547" s="196"/>
      <c r="J547" s="450">
        <v>13.544</v>
      </c>
      <c r="K547" s="450">
        <v>2.2109999999999999</v>
      </c>
      <c r="L547" s="450">
        <v>0.23899999999999999</v>
      </c>
      <c r="M547" s="451">
        <v>140.07</v>
      </c>
      <c r="N547" s="451">
        <v>4.87</v>
      </c>
      <c r="O547" s="451">
        <v>9.7100000000000009</v>
      </c>
      <c r="P547" s="450">
        <v>0.66600000000000004</v>
      </c>
    </row>
    <row r="548" spans="3:16" x14ac:dyDescent="0.25">
      <c r="C548" s="86"/>
      <c r="F548" s="99" t="s">
        <v>1012</v>
      </c>
      <c r="G548" s="196"/>
      <c r="H548" s="196" t="s">
        <v>261</v>
      </c>
      <c r="I548" s="196"/>
      <c r="J548" s="450">
        <v>13.544</v>
      </c>
      <c r="K548" s="450">
        <v>2.2109999999999999</v>
      </c>
      <c r="L548" s="450">
        <v>0.23899999999999999</v>
      </c>
      <c r="M548" s="451">
        <v>306.87</v>
      </c>
      <c r="N548" s="451">
        <v>4.87</v>
      </c>
      <c r="O548" s="451">
        <v>9.7100000000000009</v>
      </c>
      <c r="P548" s="450">
        <v>0.66600000000000004</v>
      </c>
    </row>
    <row r="549" spans="3:16" x14ac:dyDescent="0.25">
      <c r="C549" s="86"/>
      <c r="F549" s="99" t="s">
        <v>1013</v>
      </c>
      <c r="G549" s="196"/>
      <c r="H549" s="196" t="s">
        <v>261</v>
      </c>
      <c r="I549" s="196"/>
      <c r="J549" s="450">
        <v>13.544</v>
      </c>
      <c r="K549" s="450">
        <v>2.2109999999999999</v>
      </c>
      <c r="L549" s="450">
        <v>0.23899999999999999</v>
      </c>
      <c r="M549" s="451">
        <v>508.82</v>
      </c>
      <c r="N549" s="451">
        <v>4.87</v>
      </c>
      <c r="O549" s="451">
        <v>9.7100000000000009</v>
      </c>
      <c r="P549" s="450">
        <v>0.66600000000000004</v>
      </c>
    </row>
    <row r="550" spans="3:16" x14ac:dyDescent="0.25">
      <c r="C550" s="86"/>
      <c r="F550" s="99" t="s">
        <v>1014</v>
      </c>
      <c r="G550" s="196"/>
      <c r="H550" s="196" t="s">
        <v>261</v>
      </c>
      <c r="I550" s="196"/>
      <c r="J550" s="450">
        <v>13.544</v>
      </c>
      <c r="K550" s="450">
        <v>2.2109999999999999</v>
      </c>
      <c r="L550" s="450">
        <v>0.23899999999999999</v>
      </c>
      <c r="M550" s="451">
        <v>1094.71</v>
      </c>
      <c r="N550" s="451">
        <v>4.87</v>
      </c>
      <c r="O550" s="451">
        <v>9.7100000000000009</v>
      </c>
      <c r="P550" s="450">
        <v>0.66600000000000004</v>
      </c>
    </row>
    <row r="551" spans="3:16" x14ac:dyDescent="0.25">
      <c r="C551" s="86"/>
      <c r="F551" s="99" t="s">
        <v>1015</v>
      </c>
      <c r="G551" s="196"/>
      <c r="H551" s="196" t="s">
        <v>261</v>
      </c>
      <c r="I551" s="196"/>
      <c r="J551" s="450">
        <v>10.429</v>
      </c>
      <c r="K551" s="450">
        <v>1.3049999999999999</v>
      </c>
      <c r="L551" s="450">
        <v>0.158</v>
      </c>
      <c r="M551" s="451">
        <v>4.17</v>
      </c>
      <c r="N551" s="451">
        <v>10.44</v>
      </c>
      <c r="O551" s="451">
        <v>15.25</v>
      </c>
      <c r="P551" s="450">
        <v>0.41</v>
      </c>
    </row>
    <row r="552" spans="3:16" s="293" customFormat="1" x14ac:dyDescent="0.25">
      <c r="C552" s="86"/>
      <c r="D552" s="98"/>
      <c r="E552" s="98"/>
      <c r="F552" s="99" t="s">
        <v>1016</v>
      </c>
      <c r="G552" s="196"/>
      <c r="H552" s="196" t="s">
        <v>261</v>
      </c>
      <c r="I552" s="196"/>
      <c r="J552" s="450">
        <v>10.429</v>
      </c>
      <c r="K552" s="450">
        <v>1.3049999999999999</v>
      </c>
      <c r="L552" s="450">
        <v>0.158</v>
      </c>
      <c r="M552" s="451">
        <v>132.44</v>
      </c>
      <c r="N552" s="451">
        <v>10.44</v>
      </c>
      <c r="O552" s="451">
        <v>15.25</v>
      </c>
      <c r="P552" s="450">
        <v>0.41</v>
      </c>
    </row>
    <row r="553" spans="3:16" s="293" customFormat="1" x14ac:dyDescent="0.25">
      <c r="C553" s="86"/>
      <c r="D553" s="98"/>
      <c r="E553" s="98"/>
      <c r="F553" s="99" t="s">
        <v>1017</v>
      </c>
      <c r="G553" s="196"/>
      <c r="H553" s="196" t="s">
        <v>261</v>
      </c>
      <c r="I553" s="196"/>
      <c r="J553" s="450">
        <v>10.429</v>
      </c>
      <c r="K553" s="450">
        <v>1.3049999999999999</v>
      </c>
      <c r="L553" s="450">
        <v>0.158</v>
      </c>
      <c r="M553" s="451">
        <v>299.23</v>
      </c>
      <c r="N553" s="451">
        <v>10.44</v>
      </c>
      <c r="O553" s="451">
        <v>15.25</v>
      </c>
      <c r="P553" s="450">
        <v>0.41</v>
      </c>
    </row>
    <row r="554" spans="3:16" s="293" customFormat="1" x14ac:dyDescent="0.25">
      <c r="C554" s="86"/>
      <c r="D554" s="98"/>
      <c r="E554" s="98"/>
      <c r="F554" s="99" t="s">
        <v>1018</v>
      </c>
      <c r="G554" s="196"/>
      <c r="H554" s="196" t="s">
        <v>261</v>
      </c>
      <c r="I554" s="196"/>
      <c r="J554" s="450">
        <v>10.429</v>
      </c>
      <c r="K554" s="450">
        <v>1.3049999999999999</v>
      </c>
      <c r="L554" s="450">
        <v>0.158</v>
      </c>
      <c r="M554" s="451">
        <v>501.19</v>
      </c>
      <c r="N554" s="451">
        <v>10.44</v>
      </c>
      <c r="O554" s="451">
        <v>15.25</v>
      </c>
      <c r="P554" s="450">
        <v>0.41</v>
      </c>
    </row>
    <row r="555" spans="3:16" s="293" customFormat="1" x14ac:dyDescent="0.25">
      <c r="C555" s="86"/>
      <c r="D555" s="98"/>
      <c r="E555" s="98"/>
      <c r="F555" s="99" t="s">
        <v>1019</v>
      </c>
      <c r="G555" s="196"/>
      <c r="H555" s="196" t="s">
        <v>261</v>
      </c>
      <c r="I555" s="196"/>
      <c r="J555" s="450">
        <v>10.429</v>
      </c>
      <c r="K555" s="450">
        <v>1.3049999999999999</v>
      </c>
      <c r="L555" s="450">
        <v>0.158</v>
      </c>
      <c r="M555" s="451">
        <v>1087.07</v>
      </c>
      <c r="N555" s="451">
        <v>10.44</v>
      </c>
      <c r="O555" s="451">
        <v>15.25</v>
      </c>
      <c r="P555" s="450">
        <v>0.41</v>
      </c>
    </row>
    <row r="556" spans="3:16" s="293" customFormat="1" x14ac:dyDescent="0.25">
      <c r="C556" s="86"/>
      <c r="D556" s="98"/>
      <c r="E556" s="98"/>
      <c r="F556" s="99" t="s">
        <v>1020</v>
      </c>
      <c r="G556" s="196"/>
      <c r="H556" s="196" t="s">
        <v>261</v>
      </c>
      <c r="I556" s="196"/>
      <c r="J556" s="450">
        <v>8.0500000000000007</v>
      </c>
      <c r="K556" s="450">
        <v>0.872</v>
      </c>
      <c r="L556" s="450">
        <v>0.106</v>
      </c>
      <c r="M556" s="451">
        <v>63.09</v>
      </c>
      <c r="N556" s="451">
        <v>7.09</v>
      </c>
      <c r="O556" s="451">
        <v>13.16</v>
      </c>
      <c r="P556" s="450">
        <v>0.27900000000000003</v>
      </c>
    </row>
    <row r="557" spans="3:16" s="293" customFormat="1" x14ac:dyDescent="0.25">
      <c r="C557" s="86"/>
      <c r="D557" s="98"/>
      <c r="E557" s="98"/>
      <c r="F557" s="99" t="s">
        <v>1021</v>
      </c>
      <c r="G557" s="196"/>
      <c r="H557" s="196" t="s">
        <v>261</v>
      </c>
      <c r="I557" s="196"/>
      <c r="J557" s="450">
        <v>8.0500000000000007</v>
      </c>
      <c r="K557" s="450">
        <v>0.872</v>
      </c>
      <c r="L557" s="450">
        <v>0.106</v>
      </c>
      <c r="M557" s="451">
        <v>796.15</v>
      </c>
      <c r="N557" s="451">
        <v>7.09</v>
      </c>
      <c r="O557" s="451">
        <v>13.16</v>
      </c>
      <c r="P557" s="450">
        <v>0.27900000000000003</v>
      </c>
    </row>
    <row r="558" spans="3:16" s="293" customFormat="1" x14ac:dyDescent="0.25">
      <c r="C558" s="86"/>
      <c r="D558" s="98"/>
      <c r="E558" s="98"/>
      <c r="F558" s="99" t="s">
        <v>1022</v>
      </c>
      <c r="G558" s="196"/>
      <c r="H558" s="196" t="s">
        <v>261</v>
      </c>
      <c r="I558" s="196"/>
      <c r="J558" s="450">
        <v>8.0500000000000007</v>
      </c>
      <c r="K558" s="450">
        <v>0.872</v>
      </c>
      <c r="L558" s="450">
        <v>0.106</v>
      </c>
      <c r="M558" s="451">
        <v>2789.87</v>
      </c>
      <c r="N558" s="451">
        <v>7.09</v>
      </c>
      <c r="O558" s="451">
        <v>13.16</v>
      </c>
      <c r="P558" s="450">
        <v>0.27900000000000003</v>
      </c>
    </row>
    <row r="559" spans="3:16" s="293" customFormat="1" x14ac:dyDescent="0.25">
      <c r="C559" s="86"/>
      <c r="D559" s="98"/>
      <c r="E559" s="98"/>
      <c r="F559" s="99" t="s">
        <v>1023</v>
      </c>
      <c r="G559" s="196"/>
      <c r="H559" s="196" t="s">
        <v>261</v>
      </c>
      <c r="I559" s="196"/>
      <c r="J559" s="450">
        <v>8.0500000000000007</v>
      </c>
      <c r="K559" s="450">
        <v>0.872</v>
      </c>
      <c r="L559" s="450">
        <v>0.106</v>
      </c>
      <c r="M559" s="451">
        <v>5585.71</v>
      </c>
      <c r="N559" s="451">
        <v>7.09</v>
      </c>
      <c r="O559" s="451">
        <v>13.16</v>
      </c>
      <c r="P559" s="450">
        <v>0.27900000000000003</v>
      </c>
    </row>
    <row r="560" spans="3:16" s="293" customFormat="1" x14ac:dyDescent="0.25">
      <c r="C560" s="86"/>
      <c r="D560" s="98"/>
      <c r="E560" s="98"/>
      <c r="F560" s="99" t="s">
        <v>1024</v>
      </c>
      <c r="G560" s="196"/>
      <c r="H560" s="196" t="s">
        <v>261</v>
      </c>
      <c r="I560" s="196"/>
      <c r="J560" s="450">
        <v>8.0500000000000007</v>
      </c>
      <c r="K560" s="450">
        <v>0.872</v>
      </c>
      <c r="L560" s="450">
        <v>0.106</v>
      </c>
      <c r="M560" s="451">
        <v>10440.5</v>
      </c>
      <c r="N560" s="451">
        <v>7.09</v>
      </c>
      <c r="O560" s="451">
        <v>13.16</v>
      </c>
      <c r="P560" s="450">
        <v>0.27900000000000003</v>
      </c>
    </row>
    <row r="561" spans="3:16" s="293" customFormat="1" x14ac:dyDescent="0.25">
      <c r="C561" s="86"/>
      <c r="D561" s="98"/>
      <c r="E561" s="98"/>
      <c r="F561" s="99" t="s">
        <v>935</v>
      </c>
      <c r="G561" s="196"/>
      <c r="H561" s="196" t="s">
        <v>261</v>
      </c>
      <c r="I561" s="196"/>
      <c r="J561" s="450">
        <v>30.276</v>
      </c>
      <c r="K561" s="450">
        <v>4.6660000000000004</v>
      </c>
      <c r="L561" s="450">
        <v>1.0780000000000001</v>
      </c>
      <c r="M561" s="451">
        <v>0</v>
      </c>
      <c r="N561" s="451">
        <v>0</v>
      </c>
      <c r="O561" s="451">
        <v>0</v>
      </c>
      <c r="P561" s="450">
        <v>0</v>
      </c>
    </row>
    <row r="562" spans="3:16" s="293" customFormat="1" x14ac:dyDescent="0.25">
      <c r="C562" s="86"/>
      <c r="D562" s="98"/>
      <c r="E562" s="98"/>
      <c r="F562" s="99" t="s">
        <v>936</v>
      </c>
      <c r="G562" s="196"/>
      <c r="H562" s="196" t="s">
        <v>261</v>
      </c>
      <c r="I562" s="196"/>
      <c r="J562" s="450">
        <v>-12.746</v>
      </c>
      <c r="K562" s="450">
        <v>-2.2749999999999999</v>
      </c>
      <c r="L562" s="450">
        <v>-0.23699999999999999</v>
      </c>
      <c r="M562" s="451">
        <v>0</v>
      </c>
      <c r="N562" s="451">
        <v>0</v>
      </c>
      <c r="O562" s="451">
        <v>0</v>
      </c>
      <c r="P562" s="450">
        <v>0</v>
      </c>
    </row>
    <row r="563" spans="3:16" s="293" customFormat="1" x14ac:dyDescent="0.25">
      <c r="C563" s="86"/>
      <c r="D563" s="98"/>
      <c r="E563" s="98"/>
      <c r="F563" s="99" t="s">
        <v>937</v>
      </c>
      <c r="G563" s="196"/>
      <c r="H563" s="196" t="s">
        <v>261</v>
      </c>
      <c r="I563" s="196"/>
      <c r="J563" s="450">
        <v>-11.494999999999999</v>
      </c>
      <c r="K563" s="450">
        <v>-1.9590000000000001</v>
      </c>
      <c r="L563" s="450">
        <v>-0.20799999999999999</v>
      </c>
      <c r="M563" s="451">
        <v>0</v>
      </c>
      <c r="N563" s="451">
        <v>0</v>
      </c>
      <c r="O563" s="451">
        <v>0</v>
      </c>
      <c r="P563" s="450">
        <v>0</v>
      </c>
    </row>
    <row r="564" spans="3:16" s="293" customFormat="1" x14ac:dyDescent="0.25">
      <c r="C564" s="86"/>
      <c r="D564" s="98"/>
      <c r="E564" s="98"/>
      <c r="F564" s="99" t="s">
        <v>938</v>
      </c>
      <c r="G564" s="196"/>
      <c r="H564" s="196" t="s">
        <v>261</v>
      </c>
      <c r="I564" s="196"/>
      <c r="J564" s="450">
        <v>-12.746</v>
      </c>
      <c r="K564" s="450">
        <v>-2.2749999999999999</v>
      </c>
      <c r="L564" s="450">
        <v>-0.23699999999999999</v>
      </c>
      <c r="M564" s="451">
        <v>0</v>
      </c>
      <c r="N564" s="451">
        <v>0</v>
      </c>
      <c r="O564" s="451">
        <v>0</v>
      </c>
      <c r="P564" s="450">
        <v>0.57899999999999996</v>
      </c>
    </row>
    <row r="565" spans="3:16" x14ac:dyDescent="0.25">
      <c r="C565" s="86"/>
      <c r="F565" s="99" t="s">
        <v>939</v>
      </c>
      <c r="G565" s="196"/>
      <c r="H565" s="196" t="s">
        <v>261</v>
      </c>
      <c r="I565" s="196"/>
      <c r="J565" s="450">
        <v>-12.746</v>
      </c>
      <c r="K565" s="450">
        <v>-2.2749999999999999</v>
      </c>
      <c r="L565" s="450">
        <v>-0.23699999999999999</v>
      </c>
      <c r="M565" s="451">
        <v>0</v>
      </c>
      <c r="N565" s="451">
        <v>0</v>
      </c>
      <c r="O565" s="451">
        <v>0</v>
      </c>
      <c r="P565" s="450">
        <v>0</v>
      </c>
    </row>
    <row r="566" spans="3:16" x14ac:dyDescent="0.25">
      <c r="C566" s="86"/>
      <c r="F566" s="99" t="s">
        <v>940</v>
      </c>
      <c r="G566" s="196"/>
      <c r="H566" s="196" t="s">
        <v>261</v>
      </c>
      <c r="I566" s="196"/>
      <c r="J566" s="450">
        <v>-11.494999999999999</v>
      </c>
      <c r="K566" s="450">
        <v>-1.9590000000000001</v>
      </c>
      <c r="L566" s="450">
        <v>-0.20799999999999999</v>
      </c>
      <c r="M566" s="451">
        <v>0</v>
      </c>
      <c r="N566" s="451">
        <v>0</v>
      </c>
      <c r="O566" s="451">
        <v>0</v>
      </c>
      <c r="P566" s="450">
        <v>0.53500000000000003</v>
      </c>
    </row>
    <row r="567" spans="3:16" x14ac:dyDescent="0.25">
      <c r="C567" s="86"/>
      <c r="F567" s="99" t="s">
        <v>941</v>
      </c>
      <c r="G567" s="196"/>
      <c r="H567" s="196" t="s">
        <v>261</v>
      </c>
      <c r="I567" s="196"/>
      <c r="J567" s="450">
        <v>-11.494999999999999</v>
      </c>
      <c r="K567" s="450">
        <v>-1.9590000000000001</v>
      </c>
      <c r="L567" s="450">
        <v>-0.20799999999999999</v>
      </c>
      <c r="M567" s="451">
        <v>0</v>
      </c>
      <c r="N567" s="451">
        <v>0</v>
      </c>
      <c r="O567" s="451">
        <v>0</v>
      </c>
      <c r="P567" s="450">
        <v>0</v>
      </c>
    </row>
    <row r="568" spans="3:16" x14ac:dyDescent="0.25">
      <c r="C568" s="86"/>
      <c r="F568" s="99" t="s">
        <v>942</v>
      </c>
      <c r="G568" s="196"/>
      <c r="H568" s="196" t="s">
        <v>261</v>
      </c>
      <c r="I568" s="196"/>
      <c r="J568" s="450">
        <v>-8.1999999999999993</v>
      </c>
      <c r="K568" s="450">
        <v>-0.99099999999999999</v>
      </c>
      <c r="L568" s="450">
        <v>-0.11799999999999999</v>
      </c>
      <c r="M568" s="451">
        <v>46.07</v>
      </c>
      <c r="N568" s="451">
        <v>0</v>
      </c>
      <c r="O568" s="451">
        <v>0</v>
      </c>
      <c r="P568" s="450">
        <v>0.39300000000000002</v>
      </c>
    </row>
    <row r="569" spans="3:16" x14ac:dyDescent="0.25">
      <c r="C569" s="86"/>
      <c r="F569" s="100" t="s">
        <v>943</v>
      </c>
      <c r="G569" s="93"/>
      <c r="H569" s="93" t="s">
        <v>261</v>
      </c>
      <c r="I569" s="93"/>
      <c r="J569" s="435">
        <v>-8.1999999999999993</v>
      </c>
      <c r="K569" s="435">
        <v>-0.99099999999999999</v>
      </c>
      <c r="L569" s="435">
        <v>-0.11799999999999999</v>
      </c>
      <c r="M569" s="341">
        <v>46.07</v>
      </c>
      <c r="N569" s="341">
        <v>0</v>
      </c>
      <c r="O569" s="341">
        <v>0</v>
      </c>
      <c r="P569" s="435">
        <v>0</v>
      </c>
    </row>
    <row r="570" spans="3:16" x14ac:dyDescent="0.25">
      <c r="F570" s="98"/>
      <c r="G570" s="293"/>
      <c r="H570" s="293"/>
      <c r="I570" s="293"/>
      <c r="J570" s="342"/>
      <c r="K570" s="342"/>
      <c r="L570" s="342"/>
      <c r="M570" s="342"/>
      <c r="N570" s="342"/>
      <c r="O570" s="342"/>
      <c r="P570" s="436"/>
    </row>
    <row r="571" spans="3:16" x14ac:dyDescent="0.25">
      <c r="D571" s="96"/>
      <c r="E571" s="96" t="str">
        <f>"LDNO LV tariff forecast "&amp; 'ARP_User control'!G35</f>
        <v>LDNO LV tariff forecast 2026/27</v>
      </c>
      <c r="F571" s="98"/>
      <c r="G571" s="293"/>
      <c r="H571" s="293"/>
      <c r="I571" s="293"/>
      <c r="J571" s="342"/>
      <c r="K571" s="342"/>
      <c r="L571" s="342"/>
      <c r="M571" s="342"/>
      <c r="N571" s="342"/>
      <c r="O571" s="342"/>
      <c r="P571" s="436"/>
    </row>
    <row r="572" spans="3:16" x14ac:dyDescent="0.25">
      <c r="C572" s="86"/>
      <c r="F572" s="103" t="s">
        <v>1004</v>
      </c>
      <c r="G572" s="91"/>
      <c r="H572" s="91" t="s">
        <v>146</v>
      </c>
      <c r="I572" s="91"/>
      <c r="J572" s="434">
        <v>10.536</v>
      </c>
      <c r="K572" s="434">
        <v>1.881</v>
      </c>
      <c r="L572" s="434">
        <v>0.19600000000000001</v>
      </c>
      <c r="M572" s="339">
        <v>5.27</v>
      </c>
      <c r="N572" s="339">
        <v>0</v>
      </c>
      <c r="O572" s="339">
        <v>0</v>
      </c>
      <c r="P572" s="434">
        <v>0</v>
      </c>
    </row>
    <row r="573" spans="3:16" x14ac:dyDescent="0.25">
      <c r="C573" s="86"/>
      <c r="F573" s="99" t="s">
        <v>929</v>
      </c>
      <c r="G573" s="196"/>
      <c r="H573" s="196" t="s">
        <v>146</v>
      </c>
      <c r="I573" s="196"/>
      <c r="J573" s="450">
        <v>10.536</v>
      </c>
      <c r="K573" s="450">
        <v>1.881</v>
      </c>
      <c r="L573" s="450">
        <v>0.19600000000000001</v>
      </c>
      <c r="M573" s="451">
        <v>0</v>
      </c>
      <c r="N573" s="451">
        <v>0</v>
      </c>
      <c r="O573" s="451">
        <v>0</v>
      </c>
      <c r="P573" s="450">
        <v>0</v>
      </c>
    </row>
    <row r="574" spans="3:16" x14ac:dyDescent="0.25">
      <c r="C574" s="86"/>
      <c r="F574" s="99" t="s">
        <v>1005</v>
      </c>
      <c r="G574" s="196"/>
      <c r="H574" s="196" t="s">
        <v>146</v>
      </c>
      <c r="I574" s="196"/>
      <c r="J574" s="450">
        <v>12.849</v>
      </c>
      <c r="K574" s="450">
        <v>2.294</v>
      </c>
      <c r="L574" s="450">
        <v>0.23899999999999999</v>
      </c>
      <c r="M574" s="451">
        <v>2.25</v>
      </c>
      <c r="N574" s="451">
        <v>0</v>
      </c>
      <c r="O574" s="451">
        <v>0</v>
      </c>
      <c r="P574" s="450">
        <v>0</v>
      </c>
    </row>
    <row r="575" spans="3:16" x14ac:dyDescent="0.25">
      <c r="C575" s="86"/>
      <c r="F575" s="99" t="s">
        <v>1006</v>
      </c>
      <c r="G575" s="196"/>
      <c r="H575" s="196" t="s">
        <v>146</v>
      </c>
      <c r="I575" s="196"/>
      <c r="J575" s="450">
        <v>12.849</v>
      </c>
      <c r="K575" s="450">
        <v>2.294</v>
      </c>
      <c r="L575" s="450">
        <v>0.23899999999999999</v>
      </c>
      <c r="M575" s="451">
        <v>3.47</v>
      </c>
      <c r="N575" s="451">
        <v>0</v>
      </c>
      <c r="O575" s="451">
        <v>0</v>
      </c>
      <c r="P575" s="450">
        <v>0</v>
      </c>
    </row>
    <row r="576" spans="3:16" x14ac:dyDescent="0.25">
      <c r="C576" s="86"/>
      <c r="F576" s="99" t="s">
        <v>1007</v>
      </c>
      <c r="G576" s="196"/>
      <c r="H576" s="196" t="s">
        <v>146</v>
      </c>
      <c r="I576" s="196"/>
      <c r="J576" s="450">
        <v>12.849</v>
      </c>
      <c r="K576" s="450">
        <v>2.294</v>
      </c>
      <c r="L576" s="450">
        <v>0.23899999999999999</v>
      </c>
      <c r="M576" s="451">
        <v>8.84</v>
      </c>
      <c r="N576" s="451">
        <v>0</v>
      </c>
      <c r="O576" s="451">
        <v>0</v>
      </c>
      <c r="P576" s="450">
        <v>0</v>
      </c>
    </row>
    <row r="577" spans="3:16" x14ac:dyDescent="0.25">
      <c r="C577" s="86"/>
      <c r="F577" s="99" t="s">
        <v>1008</v>
      </c>
      <c r="G577" s="196"/>
      <c r="H577" s="196" t="s">
        <v>146</v>
      </c>
      <c r="I577" s="196"/>
      <c r="J577" s="450">
        <v>12.849</v>
      </c>
      <c r="K577" s="450">
        <v>2.294</v>
      </c>
      <c r="L577" s="450">
        <v>0.23899999999999999</v>
      </c>
      <c r="M577" s="451">
        <v>18.579999999999998</v>
      </c>
      <c r="N577" s="451">
        <v>0</v>
      </c>
      <c r="O577" s="451">
        <v>0</v>
      </c>
      <c r="P577" s="450">
        <v>0</v>
      </c>
    </row>
    <row r="578" spans="3:16" x14ac:dyDescent="0.25">
      <c r="C578" s="86"/>
      <c r="F578" s="99" t="s">
        <v>1009</v>
      </c>
      <c r="G578" s="196"/>
      <c r="H578" s="196" t="s">
        <v>146</v>
      </c>
      <c r="I578" s="196"/>
      <c r="J578" s="450">
        <v>12.849</v>
      </c>
      <c r="K578" s="450">
        <v>2.294</v>
      </c>
      <c r="L578" s="450">
        <v>0.23899999999999999</v>
      </c>
      <c r="M578" s="451">
        <v>54.93</v>
      </c>
      <c r="N578" s="451">
        <v>0</v>
      </c>
      <c r="O578" s="451">
        <v>0</v>
      </c>
      <c r="P578" s="450">
        <v>0</v>
      </c>
    </row>
    <row r="579" spans="3:16" s="293" customFormat="1" x14ac:dyDescent="0.25">
      <c r="C579" s="86"/>
      <c r="D579" s="98"/>
      <c r="E579" s="98"/>
      <c r="F579" s="99" t="s">
        <v>931</v>
      </c>
      <c r="G579" s="196"/>
      <c r="H579" s="196" t="s">
        <v>146</v>
      </c>
      <c r="I579" s="196"/>
      <c r="J579" s="450">
        <v>12.849</v>
      </c>
      <c r="K579" s="450">
        <v>2.294</v>
      </c>
      <c r="L579" s="450">
        <v>0.23899999999999999</v>
      </c>
      <c r="M579" s="451">
        <v>0</v>
      </c>
      <c r="N579" s="451">
        <v>0</v>
      </c>
      <c r="O579" s="451">
        <v>0</v>
      </c>
      <c r="P579" s="450">
        <v>0</v>
      </c>
    </row>
    <row r="580" spans="3:16" s="293" customFormat="1" x14ac:dyDescent="0.25">
      <c r="C580" s="86"/>
      <c r="D580" s="98"/>
      <c r="E580" s="98"/>
      <c r="F580" s="99" t="s">
        <v>1010</v>
      </c>
      <c r="G580" s="196"/>
      <c r="H580" s="196" t="s">
        <v>146</v>
      </c>
      <c r="I580" s="196"/>
      <c r="J580" s="450">
        <v>8.4019999999999992</v>
      </c>
      <c r="K580" s="450">
        <v>1.3720000000000001</v>
      </c>
      <c r="L580" s="450">
        <v>0.14799999999999999</v>
      </c>
      <c r="M580" s="451">
        <v>7.32</v>
      </c>
      <c r="N580" s="451">
        <v>3.02</v>
      </c>
      <c r="O580" s="451">
        <v>6.02</v>
      </c>
      <c r="P580" s="450">
        <v>0.41299999999999998</v>
      </c>
    </row>
    <row r="581" spans="3:16" s="293" customFormat="1" x14ac:dyDescent="0.25">
      <c r="C581" s="86"/>
      <c r="D581" s="98"/>
      <c r="E581" s="98"/>
      <c r="F581" s="99" t="s">
        <v>1011</v>
      </c>
      <c r="G581" s="196"/>
      <c r="H581" s="196" t="s">
        <v>146</v>
      </c>
      <c r="I581" s="196"/>
      <c r="J581" s="450">
        <v>8.4019999999999992</v>
      </c>
      <c r="K581" s="450">
        <v>1.3720000000000001</v>
      </c>
      <c r="L581" s="450">
        <v>0.14799999999999999</v>
      </c>
      <c r="M581" s="451">
        <v>86.89</v>
      </c>
      <c r="N581" s="451">
        <v>3.02</v>
      </c>
      <c r="O581" s="451">
        <v>6.02</v>
      </c>
      <c r="P581" s="450">
        <v>0.41299999999999998</v>
      </c>
    </row>
    <row r="582" spans="3:16" x14ac:dyDescent="0.25">
      <c r="C582" s="86"/>
      <c r="F582" s="99" t="s">
        <v>1012</v>
      </c>
      <c r="G582" s="196"/>
      <c r="H582" s="196" t="s">
        <v>146</v>
      </c>
      <c r="I582" s="196"/>
      <c r="J582" s="450">
        <v>8.4019999999999992</v>
      </c>
      <c r="K582" s="450">
        <v>1.3720000000000001</v>
      </c>
      <c r="L582" s="450">
        <v>0.14799999999999999</v>
      </c>
      <c r="M582" s="451">
        <v>190.36</v>
      </c>
      <c r="N582" s="451">
        <v>3.02</v>
      </c>
      <c r="O582" s="451">
        <v>6.02</v>
      </c>
      <c r="P582" s="450">
        <v>0.41299999999999998</v>
      </c>
    </row>
    <row r="583" spans="3:16" x14ac:dyDescent="0.25">
      <c r="C583" s="86"/>
      <c r="F583" s="99" t="s">
        <v>1013</v>
      </c>
      <c r="G583" s="196"/>
      <c r="H583" s="196" t="s">
        <v>146</v>
      </c>
      <c r="I583" s="196"/>
      <c r="J583" s="450">
        <v>8.4019999999999992</v>
      </c>
      <c r="K583" s="450">
        <v>1.3720000000000001</v>
      </c>
      <c r="L583" s="450">
        <v>0.14799999999999999</v>
      </c>
      <c r="M583" s="451">
        <v>315.64999999999998</v>
      </c>
      <c r="N583" s="451">
        <v>3.02</v>
      </c>
      <c r="O583" s="451">
        <v>6.02</v>
      </c>
      <c r="P583" s="450">
        <v>0.41299999999999998</v>
      </c>
    </row>
    <row r="584" spans="3:16" x14ac:dyDescent="0.25">
      <c r="C584" s="86"/>
      <c r="F584" s="99" t="s">
        <v>1014</v>
      </c>
      <c r="G584" s="196"/>
      <c r="H584" s="196" t="s">
        <v>146</v>
      </c>
      <c r="I584" s="196"/>
      <c r="J584" s="450">
        <v>8.4019999999999992</v>
      </c>
      <c r="K584" s="450">
        <v>1.3720000000000001</v>
      </c>
      <c r="L584" s="450">
        <v>0.14799999999999999</v>
      </c>
      <c r="M584" s="451">
        <v>679.1</v>
      </c>
      <c r="N584" s="451">
        <v>3.02</v>
      </c>
      <c r="O584" s="451">
        <v>6.02</v>
      </c>
      <c r="P584" s="450">
        <v>0.41299999999999998</v>
      </c>
    </row>
    <row r="585" spans="3:16" x14ac:dyDescent="0.25">
      <c r="C585" s="86"/>
      <c r="F585" s="99" t="s">
        <v>1015</v>
      </c>
      <c r="G585" s="196"/>
      <c r="H585" s="196" t="s">
        <v>146</v>
      </c>
      <c r="I585" s="196"/>
      <c r="J585" s="452">
        <v>0</v>
      </c>
      <c r="K585" s="452">
        <v>0</v>
      </c>
      <c r="L585" s="452">
        <v>0</v>
      </c>
      <c r="M585" s="453">
        <v>0</v>
      </c>
      <c r="N585" s="453">
        <v>0</v>
      </c>
      <c r="O585" s="453">
        <v>0</v>
      </c>
      <c r="P585" s="452">
        <v>0</v>
      </c>
    </row>
    <row r="586" spans="3:16" s="293" customFormat="1" x14ac:dyDescent="0.25">
      <c r="C586" s="86"/>
      <c r="D586" s="98"/>
      <c r="E586" s="98"/>
      <c r="F586" s="99" t="s">
        <v>1016</v>
      </c>
      <c r="G586" s="196"/>
      <c r="H586" s="196" t="s">
        <v>146</v>
      </c>
      <c r="I586" s="196"/>
      <c r="J586" s="452">
        <v>0</v>
      </c>
      <c r="K586" s="452">
        <v>0</v>
      </c>
      <c r="L586" s="452">
        <v>0</v>
      </c>
      <c r="M586" s="453">
        <v>0</v>
      </c>
      <c r="N586" s="453">
        <v>0</v>
      </c>
      <c r="O586" s="453">
        <v>0</v>
      </c>
      <c r="P586" s="452">
        <v>0</v>
      </c>
    </row>
    <row r="587" spans="3:16" s="293" customFormat="1" x14ac:dyDescent="0.25">
      <c r="C587" s="86"/>
      <c r="D587" s="98"/>
      <c r="E587" s="98"/>
      <c r="F587" s="99" t="s">
        <v>1017</v>
      </c>
      <c r="G587" s="196"/>
      <c r="H587" s="196" t="s">
        <v>146</v>
      </c>
      <c r="I587" s="196"/>
      <c r="J587" s="452">
        <v>0</v>
      </c>
      <c r="K587" s="452">
        <v>0</v>
      </c>
      <c r="L587" s="452">
        <v>0</v>
      </c>
      <c r="M587" s="453">
        <v>0</v>
      </c>
      <c r="N587" s="453">
        <v>0</v>
      </c>
      <c r="O587" s="453">
        <v>0</v>
      </c>
      <c r="P587" s="452">
        <v>0</v>
      </c>
    </row>
    <row r="588" spans="3:16" s="293" customFormat="1" x14ac:dyDescent="0.25">
      <c r="C588" s="86"/>
      <c r="D588" s="98"/>
      <c r="E588" s="98"/>
      <c r="F588" s="99" t="s">
        <v>1018</v>
      </c>
      <c r="G588" s="196"/>
      <c r="H588" s="196" t="s">
        <v>146</v>
      </c>
      <c r="I588" s="196"/>
      <c r="J588" s="452">
        <v>0</v>
      </c>
      <c r="K588" s="452">
        <v>0</v>
      </c>
      <c r="L588" s="452">
        <v>0</v>
      </c>
      <c r="M588" s="453">
        <v>0</v>
      </c>
      <c r="N588" s="453">
        <v>0</v>
      </c>
      <c r="O588" s="453">
        <v>0</v>
      </c>
      <c r="P588" s="452">
        <v>0</v>
      </c>
    </row>
    <row r="589" spans="3:16" s="293" customFormat="1" x14ac:dyDescent="0.25">
      <c r="C589" s="86"/>
      <c r="D589" s="98"/>
      <c r="E589" s="98"/>
      <c r="F589" s="99" t="s">
        <v>1019</v>
      </c>
      <c r="G589" s="196"/>
      <c r="H589" s="196" t="s">
        <v>146</v>
      </c>
      <c r="I589" s="196"/>
      <c r="J589" s="452">
        <v>0</v>
      </c>
      <c r="K589" s="452">
        <v>0</v>
      </c>
      <c r="L589" s="452">
        <v>0</v>
      </c>
      <c r="M589" s="453">
        <v>0</v>
      </c>
      <c r="N589" s="453">
        <v>0</v>
      </c>
      <c r="O589" s="453">
        <v>0</v>
      </c>
      <c r="P589" s="452">
        <v>0</v>
      </c>
    </row>
    <row r="590" spans="3:16" s="293" customFormat="1" x14ac:dyDescent="0.25">
      <c r="C590" s="86"/>
      <c r="D590" s="98"/>
      <c r="E590" s="98"/>
      <c r="F590" s="99" t="s">
        <v>1020</v>
      </c>
      <c r="G590" s="196"/>
      <c r="H590" s="196" t="s">
        <v>146</v>
      </c>
      <c r="I590" s="196"/>
      <c r="J590" s="452">
        <v>0</v>
      </c>
      <c r="K590" s="452">
        <v>0</v>
      </c>
      <c r="L590" s="452">
        <v>0</v>
      </c>
      <c r="M590" s="453">
        <v>0</v>
      </c>
      <c r="N590" s="453">
        <v>0</v>
      </c>
      <c r="O590" s="453">
        <v>0</v>
      </c>
      <c r="P590" s="452">
        <v>0</v>
      </c>
    </row>
    <row r="591" spans="3:16" s="293" customFormat="1" x14ac:dyDescent="0.25">
      <c r="C591" s="86"/>
      <c r="D591" s="98"/>
      <c r="E591" s="98"/>
      <c r="F591" s="99" t="s">
        <v>1021</v>
      </c>
      <c r="G591" s="196"/>
      <c r="H591" s="196" t="s">
        <v>146</v>
      </c>
      <c r="I591" s="196"/>
      <c r="J591" s="452">
        <v>0</v>
      </c>
      <c r="K591" s="452">
        <v>0</v>
      </c>
      <c r="L591" s="452">
        <v>0</v>
      </c>
      <c r="M591" s="453">
        <v>0</v>
      </c>
      <c r="N591" s="453">
        <v>0</v>
      </c>
      <c r="O591" s="453">
        <v>0</v>
      </c>
      <c r="P591" s="452">
        <v>0</v>
      </c>
    </row>
    <row r="592" spans="3:16" s="293" customFormat="1" x14ac:dyDescent="0.25">
      <c r="C592" s="86"/>
      <c r="D592" s="98"/>
      <c r="E592" s="98"/>
      <c r="F592" s="99" t="s">
        <v>1022</v>
      </c>
      <c r="G592" s="196"/>
      <c r="H592" s="196" t="s">
        <v>146</v>
      </c>
      <c r="I592" s="196"/>
      <c r="J592" s="452">
        <v>0</v>
      </c>
      <c r="K592" s="452">
        <v>0</v>
      </c>
      <c r="L592" s="452">
        <v>0</v>
      </c>
      <c r="M592" s="453">
        <v>0</v>
      </c>
      <c r="N592" s="453">
        <v>0</v>
      </c>
      <c r="O592" s="453">
        <v>0</v>
      </c>
      <c r="P592" s="452">
        <v>0</v>
      </c>
    </row>
    <row r="593" spans="3:19" s="293" customFormat="1" x14ac:dyDescent="0.25">
      <c r="C593" s="86"/>
      <c r="D593" s="98"/>
      <c r="E593" s="98"/>
      <c r="F593" s="99" t="s">
        <v>1023</v>
      </c>
      <c r="G593" s="196"/>
      <c r="H593" s="196" t="s">
        <v>146</v>
      </c>
      <c r="I593" s="196"/>
      <c r="J593" s="452">
        <v>0</v>
      </c>
      <c r="K593" s="452">
        <v>0</v>
      </c>
      <c r="L593" s="452">
        <v>0</v>
      </c>
      <c r="M593" s="453">
        <v>0</v>
      </c>
      <c r="N593" s="453">
        <v>0</v>
      </c>
      <c r="O593" s="453">
        <v>0</v>
      </c>
      <c r="P593" s="452">
        <v>0</v>
      </c>
    </row>
    <row r="594" spans="3:19" s="293" customFormat="1" x14ac:dyDescent="0.25">
      <c r="C594" s="86"/>
      <c r="D594" s="98"/>
      <c r="E594" s="98"/>
      <c r="F594" s="99" t="s">
        <v>1024</v>
      </c>
      <c r="G594" s="196"/>
      <c r="H594" s="196" t="s">
        <v>146</v>
      </c>
      <c r="I594" s="196"/>
      <c r="J594" s="452">
        <v>0</v>
      </c>
      <c r="K594" s="452">
        <v>0</v>
      </c>
      <c r="L594" s="452">
        <v>0</v>
      </c>
      <c r="M594" s="453">
        <v>0</v>
      </c>
      <c r="N594" s="453">
        <v>0</v>
      </c>
      <c r="O594" s="453">
        <v>0</v>
      </c>
      <c r="P594" s="452">
        <v>0</v>
      </c>
    </row>
    <row r="595" spans="3:19" s="293" customFormat="1" x14ac:dyDescent="0.25">
      <c r="C595" s="86"/>
      <c r="D595" s="98"/>
      <c r="E595" s="98"/>
      <c r="F595" s="99" t="s">
        <v>935</v>
      </c>
      <c r="G595" s="196"/>
      <c r="H595" s="196" t="s">
        <v>146</v>
      </c>
      <c r="I595" s="196"/>
      <c r="J595" s="450">
        <v>18.782</v>
      </c>
      <c r="K595" s="450">
        <v>2.895</v>
      </c>
      <c r="L595" s="450">
        <v>0.66900000000000004</v>
      </c>
      <c r="M595" s="451">
        <v>0</v>
      </c>
      <c r="N595" s="451">
        <v>0</v>
      </c>
      <c r="O595" s="451">
        <v>0</v>
      </c>
      <c r="P595" s="450">
        <v>0</v>
      </c>
    </row>
    <row r="596" spans="3:19" s="293" customFormat="1" x14ac:dyDescent="0.25">
      <c r="C596" s="86"/>
      <c r="D596" s="98"/>
      <c r="E596" s="98"/>
      <c r="F596" s="99" t="s">
        <v>936</v>
      </c>
      <c r="G596" s="196"/>
      <c r="H596" s="196" t="s">
        <v>146</v>
      </c>
      <c r="I596" s="196"/>
      <c r="J596" s="450">
        <v>-12.746</v>
      </c>
      <c r="K596" s="450">
        <v>-2.2749999999999999</v>
      </c>
      <c r="L596" s="450">
        <v>-0.23699999999999999</v>
      </c>
      <c r="M596" s="451">
        <v>0</v>
      </c>
      <c r="N596" s="451">
        <v>0</v>
      </c>
      <c r="O596" s="451">
        <v>0</v>
      </c>
      <c r="P596" s="450">
        <v>0</v>
      </c>
    </row>
    <row r="597" spans="3:19" s="293" customFormat="1" x14ac:dyDescent="0.25">
      <c r="C597" s="86"/>
      <c r="D597" s="98"/>
      <c r="E597" s="98"/>
      <c r="F597" s="99" t="s">
        <v>937</v>
      </c>
      <c r="G597" s="196"/>
      <c r="H597" s="196" t="s">
        <v>146</v>
      </c>
      <c r="I597" s="196"/>
      <c r="J597" s="452">
        <v>0</v>
      </c>
      <c r="K597" s="452">
        <v>0</v>
      </c>
      <c r="L597" s="452">
        <v>0</v>
      </c>
      <c r="M597" s="453">
        <v>0</v>
      </c>
      <c r="N597" s="453">
        <v>0</v>
      </c>
      <c r="O597" s="453">
        <v>0</v>
      </c>
      <c r="P597" s="452">
        <v>0</v>
      </c>
    </row>
    <row r="598" spans="3:19" s="293" customFormat="1" x14ac:dyDescent="0.25">
      <c r="C598" s="86"/>
      <c r="D598" s="98"/>
      <c r="E598" s="98"/>
      <c r="F598" s="99" t="s">
        <v>938</v>
      </c>
      <c r="G598" s="196"/>
      <c r="H598" s="196" t="s">
        <v>146</v>
      </c>
      <c r="I598" s="196"/>
      <c r="J598" s="450">
        <v>-12.746</v>
      </c>
      <c r="K598" s="450">
        <v>-2.2749999999999999</v>
      </c>
      <c r="L598" s="450">
        <v>-0.23699999999999999</v>
      </c>
      <c r="M598" s="451">
        <v>0</v>
      </c>
      <c r="N598" s="451">
        <v>0</v>
      </c>
      <c r="O598" s="451">
        <v>0</v>
      </c>
      <c r="P598" s="450">
        <v>0.57899999999999996</v>
      </c>
    </row>
    <row r="599" spans="3:19" x14ac:dyDescent="0.25">
      <c r="C599" s="86"/>
      <c r="F599" s="99" t="s">
        <v>939</v>
      </c>
      <c r="G599" s="196"/>
      <c r="H599" s="196" t="s">
        <v>146</v>
      </c>
      <c r="I599" s="196"/>
      <c r="J599" s="452">
        <v>0</v>
      </c>
      <c r="K599" s="452">
        <v>0</v>
      </c>
      <c r="L599" s="452">
        <v>0</v>
      </c>
      <c r="M599" s="453">
        <v>0</v>
      </c>
      <c r="N599" s="453">
        <v>0</v>
      </c>
      <c r="O599" s="453">
        <v>0</v>
      </c>
      <c r="P599" s="452">
        <v>0</v>
      </c>
    </row>
    <row r="600" spans="3:19" x14ac:dyDescent="0.25">
      <c r="C600" s="86"/>
      <c r="F600" s="99" t="s">
        <v>940</v>
      </c>
      <c r="G600" s="196"/>
      <c r="H600" s="196" t="s">
        <v>146</v>
      </c>
      <c r="I600" s="196"/>
      <c r="J600" s="452">
        <v>0</v>
      </c>
      <c r="K600" s="452">
        <v>0</v>
      </c>
      <c r="L600" s="452">
        <v>0</v>
      </c>
      <c r="M600" s="453">
        <v>0</v>
      </c>
      <c r="N600" s="453">
        <v>0</v>
      </c>
      <c r="O600" s="453">
        <v>0</v>
      </c>
      <c r="P600" s="452">
        <v>0</v>
      </c>
    </row>
    <row r="601" spans="3:19" x14ac:dyDescent="0.25">
      <c r="C601" s="86"/>
      <c r="F601" s="99" t="s">
        <v>941</v>
      </c>
      <c r="G601" s="196"/>
      <c r="H601" s="196" t="s">
        <v>146</v>
      </c>
      <c r="I601" s="196"/>
      <c r="J601" s="452">
        <v>0</v>
      </c>
      <c r="K601" s="452">
        <v>0</v>
      </c>
      <c r="L601" s="452">
        <v>0</v>
      </c>
      <c r="M601" s="453">
        <v>0</v>
      </c>
      <c r="N601" s="453">
        <v>0</v>
      </c>
      <c r="O601" s="453">
        <v>0</v>
      </c>
      <c r="P601" s="452">
        <v>0</v>
      </c>
    </row>
    <row r="602" spans="3:19" x14ac:dyDescent="0.25">
      <c r="C602" s="86"/>
      <c r="F602" s="99" t="s">
        <v>942</v>
      </c>
      <c r="G602" s="196"/>
      <c r="H602" s="196" t="s">
        <v>146</v>
      </c>
      <c r="I602" s="196"/>
      <c r="J602" s="452">
        <v>0</v>
      </c>
      <c r="K602" s="452">
        <v>0</v>
      </c>
      <c r="L602" s="452">
        <v>0</v>
      </c>
      <c r="M602" s="453">
        <v>0</v>
      </c>
      <c r="N602" s="453">
        <v>0</v>
      </c>
      <c r="O602" s="453">
        <v>0</v>
      </c>
      <c r="P602" s="452">
        <v>0</v>
      </c>
    </row>
    <row r="603" spans="3:19" x14ac:dyDescent="0.25">
      <c r="C603" s="86"/>
      <c r="F603" s="100" t="s">
        <v>943</v>
      </c>
      <c r="G603" s="93"/>
      <c r="H603" s="93" t="s">
        <v>146</v>
      </c>
      <c r="I603" s="93"/>
      <c r="J603" s="437">
        <v>0</v>
      </c>
      <c r="K603" s="437">
        <v>0</v>
      </c>
      <c r="L603" s="437">
        <v>0</v>
      </c>
      <c r="M603" s="343">
        <v>0</v>
      </c>
      <c r="N603" s="343">
        <v>0</v>
      </c>
      <c r="O603" s="343">
        <v>0</v>
      </c>
      <c r="P603" s="437">
        <v>0</v>
      </c>
    </row>
    <row r="604" spans="3:19" x14ac:dyDescent="0.25">
      <c r="C604" s="96"/>
      <c r="D604" s="96"/>
      <c r="E604" s="96"/>
      <c r="F604" s="293"/>
      <c r="G604" s="293"/>
      <c r="H604" s="293"/>
      <c r="I604" s="293"/>
      <c r="J604" s="436"/>
      <c r="K604" s="436"/>
      <c r="L604" s="436"/>
      <c r="M604" s="342"/>
      <c r="N604" s="342"/>
      <c r="O604" s="342"/>
      <c r="P604" s="436"/>
      <c r="Q604" s="96"/>
      <c r="R604" s="96"/>
      <c r="S604" s="96"/>
    </row>
    <row r="605" spans="3:19" x14ac:dyDescent="0.25">
      <c r="C605" s="96"/>
      <c r="D605" s="96"/>
      <c r="E605" s="96" t="str">
        <f>"LDNO HV tariff forecast "&amp; 'ARP_User control'!G35</f>
        <v>LDNO HV tariff forecast 2026/27</v>
      </c>
      <c r="F605" s="293"/>
      <c r="G605" s="293"/>
      <c r="H605" s="293"/>
      <c r="I605" s="293"/>
      <c r="J605" s="436"/>
      <c r="K605" s="436"/>
      <c r="L605" s="436"/>
      <c r="M605" s="342"/>
      <c r="N605" s="342"/>
      <c r="O605" s="342"/>
      <c r="P605" s="436"/>
      <c r="Q605" s="96"/>
      <c r="R605" s="96"/>
      <c r="S605" s="96"/>
    </row>
    <row r="606" spans="3:19" x14ac:dyDescent="0.25">
      <c r="C606" s="86"/>
      <c r="F606" s="103" t="s">
        <v>1004</v>
      </c>
      <c r="G606" s="91"/>
      <c r="H606" s="91" t="s">
        <v>147</v>
      </c>
      <c r="I606" s="91"/>
      <c r="J606" s="434">
        <v>7.66</v>
      </c>
      <c r="K606" s="434">
        <v>1.367</v>
      </c>
      <c r="L606" s="434">
        <v>0.14299999999999999</v>
      </c>
      <c r="M606" s="339">
        <v>3.83</v>
      </c>
      <c r="N606" s="339">
        <v>0</v>
      </c>
      <c r="O606" s="339">
        <v>0</v>
      </c>
      <c r="P606" s="434">
        <v>0</v>
      </c>
    </row>
    <row r="607" spans="3:19" x14ac:dyDescent="0.25">
      <c r="C607" s="86"/>
      <c r="F607" s="99" t="s">
        <v>929</v>
      </c>
      <c r="G607" s="196"/>
      <c r="H607" s="196" t="s">
        <v>147</v>
      </c>
      <c r="I607" s="196"/>
      <c r="J607" s="450">
        <v>7.66</v>
      </c>
      <c r="K607" s="450">
        <v>1.367</v>
      </c>
      <c r="L607" s="450">
        <v>0.14299999999999999</v>
      </c>
      <c r="M607" s="451">
        <v>0</v>
      </c>
      <c r="N607" s="451">
        <v>0</v>
      </c>
      <c r="O607" s="451">
        <v>0</v>
      </c>
      <c r="P607" s="450">
        <v>0</v>
      </c>
    </row>
    <row r="608" spans="3:19" x14ac:dyDescent="0.25">
      <c r="C608" s="86"/>
      <c r="F608" s="99" t="s">
        <v>1005</v>
      </c>
      <c r="G608" s="196"/>
      <c r="H608" s="196" t="s">
        <v>147</v>
      </c>
      <c r="I608" s="196"/>
      <c r="J608" s="450">
        <v>9.3420000000000005</v>
      </c>
      <c r="K608" s="450">
        <v>1.6679999999999999</v>
      </c>
      <c r="L608" s="450">
        <v>0.17399999999999999</v>
      </c>
      <c r="M608" s="451">
        <v>1.64</v>
      </c>
      <c r="N608" s="451">
        <v>0</v>
      </c>
      <c r="O608" s="451">
        <v>0</v>
      </c>
      <c r="P608" s="450">
        <v>0</v>
      </c>
    </row>
    <row r="609" spans="3:16" x14ac:dyDescent="0.25">
      <c r="C609" s="86"/>
      <c r="F609" s="99" t="s">
        <v>1006</v>
      </c>
      <c r="G609" s="196"/>
      <c r="H609" s="196" t="s">
        <v>147</v>
      </c>
      <c r="I609" s="196"/>
      <c r="J609" s="450">
        <v>9.3420000000000005</v>
      </c>
      <c r="K609" s="450">
        <v>1.6679999999999999</v>
      </c>
      <c r="L609" s="450">
        <v>0.17399999999999999</v>
      </c>
      <c r="M609" s="451">
        <v>2.52</v>
      </c>
      <c r="N609" s="451">
        <v>0</v>
      </c>
      <c r="O609" s="451">
        <v>0</v>
      </c>
      <c r="P609" s="450">
        <v>0</v>
      </c>
    </row>
    <row r="610" spans="3:16" x14ac:dyDescent="0.25">
      <c r="C610" s="86"/>
      <c r="F610" s="99" t="s">
        <v>1007</v>
      </c>
      <c r="G610" s="196"/>
      <c r="H610" s="196" t="s">
        <v>147</v>
      </c>
      <c r="I610" s="196"/>
      <c r="J610" s="450">
        <v>9.3420000000000005</v>
      </c>
      <c r="K610" s="450">
        <v>1.6679999999999999</v>
      </c>
      <c r="L610" s="450">
        <v>0.17399999999999999</v>
      </c>
      <c r="M610" s="451">
        <v>6.43</v>
      </c>
      <c r="N610" s="451">
        <v>0</v>
      </c>
      <c r="O610" s="451">
        <v>0</v>
      </c>
      <c r="P610" s="450">
        <v>0</v>
      </c>
    </row>
    <row r="611" spans="3:16" x14ac:dyDescent="0.25">
      <c r="C611" s="86"/>
      <c r="F611" s="99" t="s">
        <v>1008</v>
      </c>
      <c r="G611" s="196"/>
      <c r="H611" s="196" t="s">
        <v>147</v>
      </c>
      <c r="I611" s="196"/>
      <c r="J611" s="450">
        <v>9.3420000000000005</v>
      </c>
      <c r="K611" s="450">
        <v>1.6679999999999999</v>
      </c>
      <c r="L611" s="450">
        <v>0.17399999999999999</v>
      </c>
      <c r="M611" s="451">
        <v>13.51</v>
      </c>
      <c r="N611" s="451">
        <v>0</v>
      </c>
      <c r="O611" s="451">
        <v>0</v>
      </c>
      <c r="P611" s="450">
        <v>0</v>
      </c>
    </row>
    <row r="612" spans="3:16" x14ac:dyDescent="0.25">
      <c r="C612" s="86"/>
      <c r="F612" s="99" t="s">
        <v>1009</v>
      </c>
      <c r="G612" s="196"/>
      <c r="H612" s="196" t="s">
        <v>147</v>
      </c>
      <c r="I612" s="196"/>
      <c r="J612" s="450">
        <v>9.3420000000000005</v>
      </c>
      <c r="K612" s="450">
        <v>1.6679999999999999</v>
      </c>
      <c r="L612" s="450">
        <v>0.17399999999999999</v>
      </c>
      <c r="M612" s="451">
        <v>39.94</v>
      </c>
      <c r="N612" s="451">
        <v>0</v>
      </c>
      <c r="O612" s="451">
        <v>0</v>
      </c>
      <c r="P612" s="450">
        <v>0</v>
      </c>
    </row>
    <row r="613" spans="3:16" s="293" customFormat="1" x14ac:dyDescent="0.25">
      <c r="C613" s="86"/>
      <c r="D613" s="98"/>
      <c r="E613" s="98"/>
      <c r="F613" s="99" t="s">
        <v>931</v>
      </c>
      <c r="G613" s="196"/>
      <c r="H613" s="196" t="s">
        <v>147</v>
      </c>
      <c r="I613" s="196"/>
      <c r="J613" s="450">
        <v>9.3420000000000005</v>
      </c>
      <c r="K613" s="450">
        <v>1.6679999999999999</v>
      </c>
      <c r="L613" s="450">
        <v>0.17399999999999999</v>
      </c>
      <c r="M613" s="451">
        <v>0</v>
      </c>
      <c r="N613" s="451">
        <v>0</v>
      </c>
      <c r="O613" s="451">
        <v>0</v>
      </c>
      <c r="P613" s="450">
        <v>0</v>
      </c>
    </row>
    <row r="614" spans="3:16" s="293" customFormat="1" x14ac:dyDescent="0.25">
      <c r="C614" s="86"/>
      <c r="D614" s="98"/>
      <c r="E614" s="98"/>
      <c r="F614" s="99" t="s">
        <v>1010</v>
      </c>
      <c r="G614" s="196"/>
      <c r="H614" s="196" t="s">
        <v>147</v>
      </c>
      <c r="I614" s="196"/>
      <c r="J614" s="450">
        <v>6.109</v>
      </c>
      <c r="K614" s="450">
        <v>0.997</v>
      </c>
      <c r="L614" s="450">
        <v>0.108</v>
      </c>
      <c r="M614" s="451">
        <v>5.32</v>
      </c>
      <c r="N614" s="451">
        <v>2.2000000000000002</v>
      </c>
      <c r="O614" s="451">
        <v>4.38</v>
      </c>
      <c r="P614" s="450">
        <v>0.3</v>
      </c>
    </row>
    <row r="615" spans="3:16" s="293" customFormat="1" x14ac:dyDescent="0.25">
      <c r="C615" s="86"/>
      <c r="D615" s="98"/>
      <c r="E615" s="98"/>
      <c r="F615" s="99" t="s">
        <v>1011</v>
      </c>
      <c r="G615" s="196"/>
      <c r="H615" s="196" t="s">
        <v>147</v>
      </c>
      <c r="I615" s="196"/>
      <c r="J615" s="450">
        <v>6.109</v>
      </c>
      <c r="K615" s="450">
        <v>0.997</v>
      </c>
      <c r="L615" s="450">
        <v>0.108</v>
      </c>
      <c r="M615" s="451">
        <v>63.18</v>
      </c>
      <c r="N615" s="451">
        <v>2.2000000000000002</v>
      </c>
      <c r="O615" s="451">
        <v>4.38</v>
      </c>
      <c r="P615" s="450">
        <v>0.3</v>
      </c>
    </row>
    <row r="616" spans="3:16" x14ac:dyDescent="0.25">
      <c r="C616" s="86"/>
      <c r="F616" s="99" t="s">
        <v>1012</v>
      </c>
      <c r="G616" s="196"/>
      <c r="H616" s="196" t="s">
        <v>147</v>
      </c>
      <c r="I616" s="196"/>
      <c r="J616" s="450">
        <v>6.109</v>
      </c>
      <c r="K616" s="450">
        <v>0.997</v>
      </c>
      <c r="L616" s="450">
        <v>0.108</v>
      </c>
      <c r="M616" s="451">
        <v>138.41</v>
      </c>
      <c r="N616" s="451">
        <v>2.2000000000000002</v>
      </c>
      <c r="O616" s="451">
        <v>4.38</v>
      </c>
      <c r="P616" s="450">
        <v>0.3</v>
      </c>
    </row>
    <row r="617" spans="3:16" x14ac:dyDescent="0.25">
      <c r="C617" s="86"/>
      <c r="F617" s="99" t="s">
        <v>1013</v>
      </c>
      <c r="G617" s="196"/>
      <c r="H617" s="196" t="s">
        <v>147</v>
      </c>
      <c r="I617" s="196"/>
      <c r="J617" s="450">
        <v>6.109</v>
      </c>
      <c r="K617" s="450">
        <v>0.997</v>
      </c>
      <c r="L617" s="450">
        <v>0.108</v>
      </c>
      <c r="M617" s="451">
        <v>229.5</v>
      </c>
      <c r="N617" s="451">
        <v>2.2000000000000002</v>
      </c>
      <c r="O617" s="451">
        <v>4.38</v>
      </c>
      <c r="P617" s="450">
        <v>0.3</v>
      </c>
    </row>
    <row r="618" spans="3:16" x14ac:dyDescent="0.25">
      <c r="C618" s="86"/>
      <c r="F618" s="99" t="s">
        <v>1014</v>
      </c>
      <c r="G618" s="196"/>
      <c r="H618" s="196" t="s">
        <v>147</v>
      </c>
      <c r="I618" s="196"/>
      <c r="J618" s="450">
        <v>6.109</v>
      </c>
      <c r="K618" s="450">
        <v>0.997</v>
      </c>
      <c r="L618" s="450">
        <v>0.108</v>
      </c>
      <c r="M618" s="451">
        <v>493.75</v>
      </c>
      <c r="N618" s="451">
        <v>2.2000000000000002</v>
      </c>
      <c r="O618" s="451">
        <v>4.38</v>
      </c>
      <c r="P618" s="450">
        <v>0.3</v>
      </c>
    </row>
    <row r="619" spans="3:16" x14ac:dyDescent="0.25">
      <c r="C619" s="86"/>
      <c r="F619" s="99" t="s">
        <v>1015</v>
      </c>
      <c r="G619" s="196"/>
      <c r="H619" s="196" t="s">
        <v>147</v>
      </c>
      <c r="I619" s="196"/>
      <c r="J619" s="450">
        <v>7.6</v>
      </c>
      <c r="K619" s="450">
        <v>0.95099999999999996</v>
      </c>
      <c r="L619" s="450">
        <v>0.115</v>
      </c>
      <c r="M619" s="451">
        <v>3.04</v>
      </c>
      <c r="N619" s="451">
        <v>7.61</v>
      </c>
      <c r="O619" s="451">
        <v>11.12</v>
      </c>
      <c r="P619" s="450">
        <v>0.29899999999999999</v>
      </c>
    </row>
    <row r="620" spans="3:16" s="293" customFormat="1" x14ac:dyDescent="0.25">
      <c r="C620" s="86"/>
      <c r="D620" s="98"/>
      <c r="E620" s="98"/>
      <c r="F620" s="99" t="s">
        <v>1016</v>
      </c>
      <c r="G620" s="196"/>
      <c r="H620" s="196" t="s">
        <v>147</v>
      </c>
      <c r="I620" s="196"/>
      <c r="J620" s="450">
        <v>7.6</v>
      </c>
      <c r="K620" s="450">
        <v>0.95099999999999996</v>
      </c>
      <c r="L620" s="450">
        <v>0.115</v>
      </c>
      <c r="M620" s="451">
        <v>96.51</v>
      </c>
      <c r="N620" s="451">
        <v>7.61</v>
      </c>
      <c r="O620" s="451">
        <v>11.12</v>
      </c>
      <c r="P620" s="450">
        <v>0.29899999999999999</v>
      </c>
    </row>
    <row r="621" spans="3:16" s="293" customFormat="1" x14ac:dyDescent="0.25">
      <c r="C621" s="86"/>
      <c r="D621" s="98"/>
      <c r="E621" s="98"/>
      <c r="F621" s="99" t="s">
        <v>1017</v>
      </c>
      <c r="G621" s="196"/>
      <c r="H621" s="196" t="s">
        <v>147</v>
      </c>
      <c r="I621" s="196"/>
      <c r="J621" s="450">
        <v>7.6</v>
      </c>
      <c r="K621" s="450">
        <v>0.95099999999999996</v>
      </c>
      <c r="L621" s="450">
        <v>0.115</v>
      </c>
      <c r="M621" s="451">
        <v>218.05</v>
      </c>
      <c r="N621" s="451">
        <v>7.61</v>
      </c>
      <c r="O621" s="451">
        <v>11.12</v>
      </c>
      <c r="P621" s="450">
        <v>0.29899999999999999</v>
      </c>
    </row>
    <row r="622" spans="3:16" s="293" customFormat="1" x14ac:dyDescent="0.25">
      <c r="C622" s="86"/>
      <c r="D622" s="98"/>
      <c r="E622" s="98"/>
      <c r="F622" s="99" t="s">
        <v>1018</v>
      </c>
      <c r="G622" s="196"/>
      <c r="H622" s="196" t="s">
        <v>147</v>
      </c>
      <c r="I622" s="196"/>
      <c r="J622" s="450">
        <v>7.6</v>
      </c>
      <c r="K622" s="450">
        <v>0.95099999999999996</v>
      </c>
      <c r="L622" s="450">
        <v>0.115</v>
      </c>
      <c r="M622" s="451">
        <v>365.22</v>
      </c>
      <c r="N622" s="451">
        <v>7.61</v>
      </c>
      <c r="O622" s="451">
        <v>11.12</v>
      </c>
      <c r="P622" s="450">
        <v>0.29899999999999999</v>
      </c>
    </row>
    <row r="623" spans="3:16" s="293" customFormat="1" x14ac:dyDescent="0.25">
      <c r="C623" s="86"/>
      <c r="D623" s="98"/>
      <c r="E623" s="98"/>
      <c r="F623" s="99" t="s">
        <v>1019</v>
      </c>
      <c r="G623" s="196"/>
      <c r="H623" s="196" t="s">
        <v>147</v>
      </c>
      <c r="I623" s="196"/>
      <c r="J623" s="450">
        <v>7.6</v>
      </c>
      <c r="K623" s="450">
        <v>0.95099999999999996</v>
      </c>
      <c r="L623" s="450">
        <v>0.115</v>
      </c>
      <c r="M623" s="451">
        <v>792.16</v>
      </c>
      <c r="N623" s="451">
        <v>7.61</v>
      </c>
      <c r="O623" s="451">
        <v>11.12</v>
      </c>
      <c r="P623" s="450">
        <v>0.29899999999999999</v>
      </c>
    </row>
    <row r="624" spans="3:16" s="293" customFormat="1" x14ac:dyDescent="0.25">
      <c r="C624" s="86"/>
      <c r="D624" s="98"/>
      <c r="E624" s="98"/>
      <c r="F624" s="99" t="s">
        <v>1020</v>
      </c>
      <c r="G624" s="196"/>
      <c r="H624" s="196" t="s">
        <v>147</v>
      </c>
      <c r="I624" s="196"/>
      <c r="J624" s="450">
        <v>6.6269999999999998</v>
      </c>
      <c r="K624" s="450">
        <v>0.71799999999999997</v>
      </c>
      <c r="L624" s="450">
        <v>8.7999999999999995E-2</v>
      </c>
      <c r="M624" s="451">
        <v>51.94</v>
      </c>
      <c r="N624" s="451">
        <v>5.84</v>
      </c>
      <c r="O624" s="451">
        <v>10.83</v>
      </c>
      <c r="P624" s="450">
        <v>0.22900000000000001</v>
      </c>
    </row>
    <row r="625" spans="2:19" s="293" customFormat="1" x14ac:dyDescent="0.25">
      <c r="C625" s="86"/>
      <c r="D625" s="98"/>
      <c r="E625" s="98"/>
      <c r="F625" s="99" t="s">
        <v>1021</v>
      </c>
      <c r="G625" s="196"/>
      <c r="H625" s="196" t="s">
        <v>147</v>
      </c>
      <c r="I625" s="196"/>
      <c r="J625" s="450">
        <v>6.6269999999999998</v>
      </c>
      <c r="K625" s="450">
        <v>0.71799999999999997</v>
      </c>
      <c r="L625" s="450">
        <v>8.7999999999999995E-2</v>
      </c>
      <c r="M625" s="451">
        <v>655.43</v>
      </c>
      <c r="N625" s="451">
        <v>5.84</v>
      </c>
      <c r="O625" s="451">
        <v>10.83</v>
      </c>
      <c r="P625" s="450">
        <v>0.22900000000000001</v>
      </c>
    </row>
    <row r="626" spans="2:19" s="293" customFormat="1" x14ac:dyDescent="0.25">
      <c r="C626" s="86"/>
      <c r="D626" s="98"/>
      <c r="E626" s="98"/>
      <c r="F626" s="99" t="s">
        <v>1022</v>
      </c>
      <c r="G626" s="196"/>
      <c r="H626" s="196" t="s">
        <v>147</v>
      </c>
      <c r="I626" s="196"/>
      <c r="J626" s="450">
        <v>6.6269999999999998</v>
      </c>
      <c r="K626" s="450">
        <v>0.71799999999999997</v>
      </c>
      <c r="L626" s="450">
        <v>8.7999999999999995E-2</v>
      </c>
      <c r="M626" s="451">
        <v>2296.77</v>
      </c>
      <c r="N626" s="451">
        <v>5.84</v>
      </c>
      <c r="O626" s="451">
        <v>10.83</v>
      </c>
      <c r="P626" s="450">
        <v>0.22900000000000001</v>
      </c>
    </row>
    <row r="627" spans="2:19" s="293" customFormat="1" x14ac:dyDescent="0.25">
      <c r="C627" s="86"/>
      <c r="D627" s="98"/>
      <c r="E627" s="98"/>
      <c r="F627" s="99" t="s">
        <v>1023</v>
      </c>
      <c r="G627" s="196"/>
      <c r="H627" s="196" t="s">
        <v>147</v>
      </c>
      <c r="I627" s="196"/>
      <c r="J627" s="450">
        <v>6.6269999999999998</v>
      </c>
      <c r="K627" s="450">
        <v>0.71799999999999997</v>
      </c>
      <c r="L627" s="450">
        <v>8.7999999999999995E-2</v>
      </c>
      <c r="M627" s="451">
        <v>4598.45</v>
      </c>
      <c r="N627" s="451">
        <v>5.84</v>
      </c>
      <c r="O627" s="451">
        <v>10.83</v>
      </c>
      <c r="P627" s="450">
        <v>0.22900000000000001</v>
      </c>
    </row>
    <row r="628" spans="2:19" s="293" customFormat="1" x14ac:dyDescent="0.25">
      <c r="C628" s="86"/>
      <c r="D628" s="98"/>
      <c r="E628" s="98"/>
      <c r="F628" s="99" t="s">
        <v>1024</v>
      </c>
      <c r="G628" s="196"/>
      <c r="H628" s="196" t="s">
        <v>147</v>
      </c>
      <c r="I628" s="196"/>
      <c r="J628" s="450">
        <v>6.6269999999999998</v>
      </c>
      <c r="K628" s="450">
        <v>0.71799999999999997</v>
      </c>
      <c r="L628" s="450">
        <v>8.7999999999999995E-2</v>
      </c>
      <c r="M628" s="451">
        <v>8595.16</v>
      </c>
      <c r="N628" s="451">
        <v>5.84</v>
      </c>
      <c r="O628" s="451">
        <v>10.83</v>
      </c>
      <c r="P628" s="450">
        <v>0.22900000000000001</v>
      </c>
    </row>
    <row r="629" spans="2:19" s="293" customFormat="1" x14ac:dyDescent="0.25">
      <c r="C629" s="86"/>
      <c r="D629" s="98"/>
      <c r="E629" s="98"/>
      <c r="F629" s="99" t="s">
        <v>935</v>
      </c>
      <c r="G629" s="196"/>
      <c r="H629" s="196" t="s">
        <v>147</v>
      </c>
      <c r="I629" s="196"/>
      <c r="J629" s="450">
        <v>13.656000000000001</v>
      </c>
      <c r="K629" s="450">
        <v>2.105</v>
      </c>
      <c r="L629" s="450">
        <v>0.48599999999999999</v>
      </c>
      <c r="M629" s="451">
        <v>0</v>
      </c>
      <c r="N629" s="451">
        <v>0</v>
      </c>
      <c r="O629" s="451">
        <v>0</v>
      </c>
      <c r="P629" s="450">
        <v>0</v>
      </c>
    </row>
    <row r="630" spans="2:19" s="293" customFormat="1" x14ac:dyDescent="0.25">
      <c r="C630" s="86"/>
      <c r="D630" s="98"/>
      <c r="E630" s="98"/>
      <c r="F630" s="99" t="s">
        <v>936</v>
      </c>
      <c r="G630" s="196"/>
      <c r="H630" s="196" t="s">
        <v>147</v>
      </c>
      <c r="I630" s="196"/>
      <c r="J630" s="450">
        <v>-12.746</v>
      </c>
      <c r="K630" s="450">
        <v>-2.2749999999999999</v>
      </c>
      <c r="L630" s="450">
        <v>-0.23699999999999999</v>
      </c>
      <c r="M630" s="451">
        <v>0</v>
      </c>
      <c r="N630" s="451">
        <v>0</v>
      </c>
      <c r="O630" s="451">
        <v>0</v>
      </c>
      <c r="P630" s="450">
        <v>0</v>
      </c>
    </row>
    <row r="631" spans="2:19" s="293" customFormat="1" x14ac:dyDescent="0.25">
      <c r="C631" s="86"/>
      <c r="D631" s="98"/>
      <c r="E631" s="98"/>
      <c r="F631" s="99" t="s">
        <v>937</v>
      </c>
      <c r="G631" s="196"/>
      <c r="H631" s="196" t="s">
        <v>147</v>
      </c>
      <c r="I631" s="196"/>
      <c r="J631" s="450">
        <v>-11.494999999999999</v>
      </c>
      <c r="K631" s="450">
        <v>-1.9590000000000001</v>
      </c>
      <c r="L631" s="450">
        <v>-0.20799999999999999</v>
      </c>
      <c r="M631" s="451">
        <v>0</v>
      </c>
      <c r="N631" s="451">
        <v>0</v>
      </c>
      <c r="O631" s="451">
        <v>0</v>
      </c>
      <c r="P631" s="450">
        <v>0</v>
      </c>
    </row>
    <row r="632" spans="2:19" s="293" customFormat="1" x14ac:dyDescent="0.25">
      <c r="C632" s="86"/>
      <c r="D632" s="98"/>
      <c r="E632" s="98"/>
      <c r="F632" s="99" t="s">
        <v>938</v>
      </c>
      <c r="G632" s="196"/>
      <c r="H632" s="196" t="s">
        <v>147</v>
      </c>
      <c r="I632" s="196"/>
      <c r="J632" s="450">
        <v>-12.746</v>
      </c>
      <c r="K632" s="450">
        <v>-2.2749999999999999</v>
      </c>
      <c r="L632" s="450">
        <v>-0.23699999999999999</v>
      </c>
      <c r="M632" s="451">
        <v>0</v>
      </c>
      <c r="N632" s="451">
        <v>0</v>
      </c>
      <c r="O632" s="451">
        <v>0</v>
      </c>
      <c r="P632" s="450">
        <v>0.57899999999999996</v>
      </c>
    </row>
    <row r="633" spans="2:19" x14ac:dyDescent="0.25">
      <c r="C633" s="86"/>
      <c r="F633" s="99" t="s">
        <v>939</v>
      </c>
      <c r="G633" s="196"/>
      <c r="H633" s="196" t="s">
        <v>147</v>
      </c>
      <c r="I633" s="196"/>
      <c r="J633" s="452">
        <v>0</v>
      </c>
      <c r="K633" s="452">
        <v>0</v>
      </c>
      <c r="L633" s="452">
        <v>0</v>
      </c>
      <c r="M633" s="453">
        <v>0</v>
      </c>
      <c r="N633" s="453">
        <v>0</v>
      </c>
      <c r="O633" s="453">
        <v>0</v>
      </c>
      <c r="P633" s="452">
        <v>0</v>
      </c>
    </row>
    <row r="634" spans="2:19" x14ac:dyDescent="0.25">
      <c r="C634" s="86"/>
      <c r="F634" s="99" t="s">
        <v>940</v>
      </c>
      <c r="G634" s="196"/>
      <c r="H634" s="196" t="s">
        <v>147</v>
      </c>
      <c r="I634" s="196"/>
      <c r="J634" s="450">
        <v>-11.494999999999999</v>
      </c>
      <c r="K634" s="450">
        <v>-1.9590000000000001</v>
      </c>
      <c r="L634" s="450">
        <v>-0.20799999999999999</v>
      </c>
      <c r="M634" s="451">
        <v>0</v>
      </c>
      <c r="N634" s="451">
        <v>0</v>
      </c>
      <c r="O634" s="451">
        <v>0</v>
      </c>
      <c r="P634" s="450">
        <v>0.53500000000000003</v>
      </c>
    </row>
    <row r="635" spans="2:19" x14ac:dyDescent="0.25">
      <c r="C635" s="86"/>
      <c r="F635" s="99" t="s">
        <v>941</v>
      </c>
      <c r="G635" s="196"/>
      <c r="H635" s="196" t="s">
        <v>147</v>
      </c>
      <c r="I635" s="196"/>
      <c r="J635" s="452">
        <v>0</v>
      </c>
      <c r="K635" s="452">
        <v>0</v>
      </c>
      <c r="L635" s="452">
        <v>0</v>
      </c>
      <c r="M635" s="453">
        <v>0</v>
      </c>
      <c r="N635" s="453">
        <v>0</v>
      </c>
      <c r="O635" s="453">
        <v>0</v>
      </c>
      <c r="P635" s="452">
        <v>0</v>
      </c>
    </row>
    <row r="636" spans="2:19" x14ac:dyDescent="0.25">
      <c r="C636" s="86"/>
      <c r="F636" s="99" t="s">
        <v>942</v>
      </c>
      <c r="G636" s="196"/>
      <c r="H636" s="196" t="s">
        <v>147</v>
      </c>
      <c r="I636" s="196"/>
      <c r="J636" s="450">
        <v>-8.1999999999999993</v>
      </c>
      <c r="K636" s="450">
        <v>-0.99099999999999999</v>
      </c>
      <c r="L636" s="450">
        <v>-0.11799999999999999</v>
      </c>
      <c r="M636" s="451">
        <v>0</v>
      </c>
      <c r="N636" s="451">
        <v>0</v>
      </c>
      <c r="O636" s="451">
        <v>0</v>
      </c>
      <c r="P636" s="450">
        <v>0.39300000000000002</v>
      </c>
    </row>
    <row r="637" spans="2:19" x14ac:dyDescent="0.25">
      <c r="C637" s="86"/>
      <c r="F637" s="100" t="s">
        <v>943</v>
      </c>
      <c r="G637" s="93"/>
      <c r="H637" s="93" t="s">
        <v>147</v>
      </c>
      <c r="I637" s="93"/>
      <c r="J637" s="437">
        <v>0</v>
      </c>
      <c r="K637" s="437">
        <v>0</v>
      </c>
      <c r="L637" s="437">
        <v>0</v>
      </c>
      <c r="M637" s="343">
        <v>0</v>
      </c>
      <c r="N637" s="343">
        <v>0</v>
      </c>
      <c r="O637" s="343">
        <v>0</v>
      </c>
      <c r="P637" s="437">
        <v>0</v>
      </c>
    </row>
    <row r="638" spans="2:19" x14ac:dyDescent="0.2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2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25">
      <c r="M640" s="214"/>
      <c r="N640" s="214"/>
      <c r="O640" s="214"/>
    </row>
    <row r="641" spans="2:18" x14ac:dyDescent="0.25">
      <c r="D641" s="85"/>
      <c r="E641" s="85" t="s">
        <v>416</v>
      </c>
      <c r="G641" s="60" t="s">
        <v>589</v>
      </c>
      <c r="H641" s="310">
        <f t="array" ref="H641">SUM(IF(ISERROR(J18:P117), 1))</f>
        <v>0</v>
      </c>
      <c r="M641" s="214"/>
      <c r="N641" s="214"/>
      <c r="O641" s="214"/>
    </row>
    <row r="642" spans="2:18" x14ac:dyDescent="0.25">
      <c r="M642" s="214"/>
      <c r="N642" s="214"/>
      <c r="O642" s="214"/>
    </row>
    <row r="643" spans="2:18" x14ac:dyDescent="0.2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  <row r="644" spans="2:18" x14ac:dyDescent="0.25">
      <c r="M644" s="214"/>
      <c r="N644" s="214"/>
      <c r="O644" s="214"/>
    </row>
    <row r="645" spans="2:18" x14ac:dyDescent="0.25">
      <c r="D645" s="85"/>
    </row>
  </sheetData>
  <sheetProtection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1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2">
    <tabColor theme="9" tint="0.39997558519241921"/>
    <pageSetUpPr fitToPage="1"/>
  </sheetPr>
  <dimension ref="A1:XFD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R31" sqref="R31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0" width="17" style="85" customWidth="1"/>
    <col min="11" max="11" width="2.42578125" style="85" customWidth="1"/>
    <col min="12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7109375" style="85" hidden="1"/>
  </cols>
  <sheetData>
    <row r="1" spans="1:16384" s="10" customFormat="1" x14ac:dyDescent="0.25">
      <c r="A1" s="10" t="str">
        <f ca="1">MID(CELL("filename",A1),FIND("]",CELL("filename",A1))+1,255)</f>
        <v>Typical bills</v>
      </c>
    </row>
    <row r="2" spans="1:16384" s="10" customFormat="1" x14ac:dyDescent="0.25">
      <c r="A2" s="10" t="str">
        <f>Cover!D21&amp;" - "&amp;Cover!D23</f>
        <v>SP Manweb - One</v>
      </c>
    </row>
    <row r="3" spans="1:16384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16384" s="195" customFormat="1" x14ac:dyDescent="0.2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16384" ht="30" x14ac:dyDescent="0.25">
      <c r="B5" s="134" t="s">
        <v>452</v>
      </c>
      <c r="C5" s="9"/>
      <c r="D5" s="9"/>
      <c r="E5" s="9"/>
      <c r="F5" s="9"/>
      <c r="G5" s="1" t="s">
        <v>91</v>
      </c>
      <c r="H5" s="1" t="s">
        <v>535</v>
      </c>
      <c r="J5" s="154" t="str">
        <f>"Live results (" &amp; charging_year_selected &amp; ")"</f>
        <v>Live results (2022/23)</v>
      </c>
      <c r="L5" s="154" t="str">
        <f t="array" ref="L5:P5">TRANSPOSE('ARP_User control'!G31:G35)</f>
        <v>2022/23</v>
      </c>
      <c r="M5" s="154" t="str">
        <v>2023/24</v>
      </c>
      <c r="N5" s="154" t="str">
        <v>2024/25</v>
      </c>
      <c r="O5" s="154" t="str">
        <v>2025/26</v>
      </c>
      <c r="P5" s="154" t="str">
        <v>2026/27</v>
      </c>
      <c r="R5" s="1" t="s">
        <v>93</v>
      </c>
    </row>
    <row r="7" spans="1:1638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25">
      <c r="C9" s="82" t="s">
        <v>488</v>
      </c>
    </row>
    <row r="10" spans="1:16384" x14ac:dyDescent="0.25">
      <c r="C10" s="82" t="s">
        <v>489</v>
      </c>
    </row>
    <row r="11" spans="1:16384" x14ac:dyDescent="0.25">
      <c r="A11" s="75"/>
      <c r="B11" s="75"/>
      <c r="C11" s="82" t="s">
        <v>509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25">
      <c r="B13" s="95" t="s">
        <v>484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25">
      <c r="D14" s="98"/>
      <c r="E14" s="98"/>
    </row>
    <row r="15" spans="1:16384" x14ac:dyDescent="0.25">
      <c r="C15" s="7" t="str">
        <f ca="1">INDEX('Version control'!$H$34:$H$60,MATCH($A$1,'Version control'!$F$34:$F$60,0),1)&amp;"-A: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25">
      <c r="D16" s="85"/>
      <c r="E16" s="85"/>
    </row>
    <row r="17" spans="3:18" x14ac:dyDescent="0.25">
      <c r="E17" s="96" t="s">
        <v>485</v>
      </c>
      <c r="F17" s="96"/>
      <c r="I17" s="85" t="s">
        <v>359</v>
      </c>
      <c r="R17" s="85" t="s">
        <v>756</v>
      </c>
    </row>
    <row r="18" spans="3:18" x14ac:dyDescent="0.25">
      <c r="C18" s="98"/>
      <c r="F18" s="103" t="s">
        <v>1004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142.02590963338795</v>
      </c>
      <c r="K18" s="288"/>
      <c r="L18" s="339">
        <v>142.02590963338795</v>
      </c>
      <c r="M18" s="339">
        <v>158.93807110573519</v>
      </c>
      <c r="N18" s="339">
        <v>162.37566815869707</v>
      </c>
      <c r="O18" s="339">
        <v>160.1694210018552</v>
      </c>
      <c r="P18" s="339">
        <v>164.17756597738176</v>
      </c>
    </row>
    <row r="19" spans="3:18" x14ac:dyDescent="0.25">
      <c r="C19" s="98"/>
      <c r="F19" s="99" t="s">
        <v>929</v>
      </c>
      <c r="G19" s="92" t="s">
        <v>107</v>
      </c>
      <c r="H19" s="92" t="s">
        <v>261</v>
      </c>
      <c r="I19" s="92"/>
      <c r="J19" s="454">
        <v>15.148330864867519</v>
      </c>
      <c r="K19" s="289"/>
      <c r="L19" s="340">
        <v>15.148330864867519</v>
      </c>
      <c r="M19" s="340">
        <v>15.164108289600849</v>
      </c>
      <c r="N19" s="340">
        <v>17.108339885419266</v>
      </c>
      <c r="O19" s="340">
        <v>19.57335904686521</v>
      </c>
      <c r="P19" s="340">
        <v>22.9598213100093</v>
      </c>
    </row>
    <row r="20" spans="3:18" x14ac:dyDescent="0.25">
      <c r="C20" s="98"/>
      <c r="F20" s="99" t="s">
        <v>1005</v>
      </c>
      <c r="G20" s="92" t="s">
        <v>107</v>
      </c>
      <c r="H20" s="92" t="s">
        <v>261</v>
      </c>
      <c r="I20" s="92"/>
      <c r="J20" s="454">
        <v>0</v>
      </c>
      <c r="K20" s="289"/>
      <c r="L20" s="340">
        <v>0</v>
      </c>
      <c r="M20" s="340">
        <v>0</v>
      </c>
      <c r="N20" s="340">
        <v>0</v>
      </c>
      <c r="O20" s="340">
        <v>0</v>
      </c>
      <c r="P20" s="340">
        <v>0</v>
      </c>
    </row>
    <row r="21" spans="3:18" x14ac:dyDescent="0.25">
      <c r="C21" s="98"/>
      <c r="F21" s="99" t="s">
        <v>1006</v>
      </c>
      <c r="G21" s="92" t="s">
        <v>107</v>
      </c>
      <c r="H21" s="92" t="s">
        <v>261</v>
      </c>
      <c r="I21" s="92"/>
      <c r="J21" s="454">
        <v>64.638301564708087</v>
      </c>
      <c r="K21" s="289"/>
      <c r="L21" s="340">
        <v>64.638301564708087</v>
      </c>
      <c r="M21" s="340">
        <v>70.933614458787133</v>
      </c>
      <c r="N21" s="340">
        <v>70.52351681177025</v>
      </c>
      <c r="O21" s="340">
        <v>68.1747572690185</v>
      </c>
      <c r="P21" s="340">
        <v>68.18247919020466</v>
      </c>
    </row>
    <row r="22" spans="3:18" x14ac:dyDescent="0.25">
      <c r="C22" s="98"/>
      <c r="F22" s="99" t="s">
        <v>1007</v>
      </c>
      <c r="G22" s="92" t="s">
        <v>107</v>
      </c>
      <c r="H22" s="92" t="s">
        <v>261</v>
      </c>
      <c r="I22" s="92"/>
      <c r="J22" s="454">
        <v>265.02954106856305</v>
      </c>
      <c r="K22" s="289"/>
      <c r="L22" s="340">
        <v>265.02954106856305</v>
      </c>
      <c r="M22" s="340">
        <v>298.1674723526192</v>
      </c>
      <c r="N22" s="340">
        <v>305.74942846891378</v>
      </c>
      <c r="O22" s="340">
        <v>302.41279562231455</v>
      </c>
      <c r="P22" s="340">
        <v>310.97895949651206</v>
      </c>
    </row>
    <row r="23" spans="3:18" x14ac:dyDescent="0.25">
      <c r="C23" s="98"/>
      <c r="F23" s="99" t="s">
        <v>1008</v>
      </c>
      <c r="G23" s="92" t="s">
        <v>107</v>
      </c>
      <c r="H23" s="92" t="s">
        <v>261</v>
      </c>
      <c r="I23" s="92"/>
      <c r="J23" s="454">
        <v>629.78734920138822</v>
      </c>
      <c r="K23" s="289"/>
      <c r="L23" s="340">
        <v>629.78734920138822</v>
      </c>
      <c r="M23" s="340">
        <v>711.63530159420486</v>
      </c>
      <c r="N23" s="340">
        <v>733.91706386179749</v>
      </c>
      <c r="O23" s="340">
        <v>729.02131151235699</v>
      </c>
      <c r="P23" s="340">
        <v>753.4345963678611</v>
      </c>
    </row>
    <row r="24" spans="3:18" x14ac:dyDescent="0.25">
      <c r="C24" s="98"/>
      <c r="F24" s="99" t="s">
        <v>1009</v>
      </c>
      <c r="G24" s="92" t="s">
        <v>107</v>
      </c>
      <c r="H24" s="92" t="s">
        <v>261</v>
      </c>
      <c r="I24" s="92"/>
      <c r="J24" s="454">
        <v>2007.8731784014224</v>
      </c>
      <c r="K24" s="289"/>
      <c r="L24" s="340">
        <v>2007.8731784014224</v>
      </c>
      <c r="M24" s="340">
        <v>2271.5038553893173</v>
      </c>
      <c r="N24" s="340">
        <v>2351.0268381279029</v>
      </c>
      <c r="O24" s="340">
        <v>2343.2845433038292</v>
      </c>
      <c r="P24" s="340">
        <v>2431.0314550204894</v>
      </c>
    </row>
    <row r="25" spans="3:18" s="293" customFormat="1" x14ac:dyDescent="0.25">
      <c r="C25" s="98"/>
      <c r="D25" s="98"/>
      <c r="E25" s="98"/>
      <c r="F25" s="99" t="s">
        <v>931</v>
      </c>
      <c r="G25" s="196" t="s">
        <v>107</v>
      </c>
      <c r="H25" s="196" t="s">
        <v>261</v>
      </c>
      <c r="I25" s="196"/>
      <c r="J25" s="454">
        <v>18.341627120007459</v>
      </c>
      <c r="K25" s="289"/>
      <c r="L25" s="340">
        <v>18.341627120007459</v>
      </c>
      <c r="M25" s="340">
        <v>18.361919729352575</v>
      </c>
      <c r="N25" s="340">
        <v>20.725928342459131</v>
      </c>
      <c r="O25" s="340">
        <v>23.695476141638739</v>
      </c>
      <c r="P25" s="340">
        <v>27.789301529540722</v>
      </c>
    </row>
    <row r="26" spans="3:18" s="293" customFormat="1" x14ac:dyDescent="0.25">
      <c r="C26" s="98"/>
      <c r="D26" s="98"/>
      <c r="E26" s="98"/>
      <c r="F26" s="99" t="s">
        <v>1010</v>
      </c>
      <c r="G26" s="196" t="s">
        <v>107</v>
      </c>
      <c r="H26" s="196" t="s">
        <v>261</v>
      </c>
      <c r="I26" s="196"/>
      <c r="J26" s="454">
        <v>0</v>
      </c>
      <c r="K26" s="289"/>
      <c r="L26" s="340">
        <v>0</v>
      </c>
      <c r="M26" s="340">
        <v>0</v>
      </c>
      <c r="N26" s="340">
        <v>0</v>
      </c>
      <c r="O26" s="340">
        <v>0</v>
      </c>
      <c r="P26" s="340">
        <v>0</v>
      </c>
    </row>
    <row r="27" spans="3:18" s="293" customFormat="1" x14ac:dyDescent="0.25">
      <c r="C27" s="98"/>
      <c r="D27" s="98"/>
      <c r="E27" s="98"/>
      <c r="F27" s="99" t="s">
        <v>1011</v>
      </c>
      <c r="G27" s="196" t="s">
        <v>107</v>
      </c>
      <c r="H27" s="196" t="s">
        <v>261</v>
      </c>
      <c r="I27" s="196"/>
      <c r="J27" s="454">
        <v>2925.5302682677584</v>
      </c>
      <c r="K27" s="289"/>
      <c r="L27" s="340">
        <v>2925.5302682677584</v>
      </c>
      <c r="M27" s="340">
        <v>3328.7192981712833</v>
      </c>
      <c r="N27" s="340">
        <v>3429.0973270204513</v>
      </c>
      <c r="O27" s="340">
        <v>3393.3060945182674</v>
      </c>
      <c r="P27" s="340">
        <v>3487.5284390442848</v>
      </c>
    </row>
    <row r="28" spans="3:18" x14ac:dyDescent="0.25">
      <c r="C28" s="98"/>
      <c r="F28" s="99" t="s">
        <v>1012</v>
      </c>
      <c r="G28" s="92" t="s">
        <v>107</v>
      </c>
      <c r="H28" s="92" t="s">
        <v>261</v>
      </c>
      <c r="I28" s="92"/>
      <c r="J28" s="454">
        <v>6595.1387766038697</v>
      </c>
      <c r="K28" s="289"/>
      <c r="L28" s="340">
        <v>6595.1387766038697</v>
      </c>
      <c r="M28" s="340">
        <v>7520.1542708651141</v>
      </c>
      <c r="N28" s="340">
        <v>7761.6888305237344</v>
      </c>
      <c r="O28" s="340">
        <v>7687.9751228308232</v>
      </c>
      <c r="P28" s="340">
        <v>7910.040526662282</v>
      </c>
    </row>
    <row r="29" spans="3:18" x14ac:dyDescent="0.25">
      <c r="C29" s="98"/>
      <c r="F29" s="99" t="s">
        <v>1013</v>
      </c>
      <c r="G29" s="92" t="s">
        <v>107</v>
      </c>
      <c r="H29" s="92" t="s">
        <v>261</v>
      </c>
      <c r="I29" s="92"/>
      <c r="J29" s="454">
        <v>10885.971441448708</v>
      </c>
      <c r="K29" s="289"/>
      <c r="L29" s="340">
        <v>10885.971441448708</v>
      </c>
      <c r="M29" s="340">
        <v>12441.304709052607</v>
      </c>
      <c r="N29" s="340">
        <v>12832.210249556061</v>
      </c>
      <c r="O29" s="340">
        <v>12684.495655994993</v>
      </c>
      <c r="P29" s="340">
        <v>13023.467535546384</v>
      </c>
    </row>
    <row r="30" spans="3:18" x14ac:dyDescent="0.25">
      <c r="C30" s="98"/>
      <c r="F30" s="99" t="s">
        <v>1014</v>
      </c>
      <c r="G30" s="92" t="s">
        <v>107</v>
      </c>
      <c r="H30" s="92" t="s">
        <v>261</v>
      </c>
      <c r="I30" s="92"/>
      <c r="J30" s="454">
        <v>22419.187968812246</v>
      </c>
      <c r="K30" s="289"/>
      <c r="L30" s="340">
        <v>22419.187968812246</v>
      </c>
      <c r="M30" s="340">
        <v>25793.484859198146</v>
      </c>
      <c r="N30" s="340">
        <v>26488.416650655079</v>
      </c>
      <c r="O30" s="340">
        <v>25957.658567081809</v>
      </c>
      <c r="P30" s="340">
        <v>26408.827281451588</v>
      </c>
    </row>
    <row r="31" spans="3:18" x14ac:dyDescent="0.25">
      <c r="C31" s="98"/>
      <c r="F31" s="99" t="s">
        <v>1015</v>
      </c>
      <c r="G31" s="92" t="s">
        <v>107</v>
      </c>
      <c r="H31" s="92" t="s">
        <v>261</v>
      </c>
      <c r="I31" s="92"/>
      <c r="J31" s="454">
        <v>0</v>
      </c>
      <c r="K31" s="289"/>
      <c r="L31" s="340">
        <v>0</v>
      </c>
      <c r="M31" s="340">
        <v>0</v>
      </c>
      <c r="N31" s="340">
        <v>0</v>
      </c>
      <c r="O31" s="340">
        <v>0</v>
      </c>
      <c r="P31" s="340">
        <v>0</v>
      </c>
    </row>
    <row r="32" spans="3:18" x14ac:dyDescent="0.25">
      <c r="C32" s="98"/>
      <c r="F32" s="99" t="s">
        <v>1016</v>
      </c>
      <c r="G32" s="92" t="s">
        <v>107</v>
      </c>
      <c r="H32" s="92" t="s">
        <v>261</v>
      </c>
      <c r="I32" s="92"/>
      <c r="J32" s="454">
        <v>3456.9086757923405</v>
      </c>
      <c r="K32" s="289"/>
      <c r="L32" s="340">
        <v>3456.9086757923405</v>
      </c>
      <c r="M32" s="340">
        <v>3864.8881233216989</v>
      </c>
      <c r="N32" s="340">
        <v>4076.7935999459428</v>
      </c>
      <c r="O32" s="340">
        <v>4190.6695870003568</v>
      </c>
      <c r="P32" s="340">
        <v>4489.098970052185</v>
      </c>
    </row>
    <row r="33" spans="3:16" x14ac:dyDescent="0.25">
      <c r="C33" s="98"/>
      <c r="F33" s="99" t="s">
        <v>1017</v>
      </c>
      <c r="G33" s="92" t="s">
        <v>107</v>
      </c>
      <c r="H33" s="92" t="s">
        <v>261</v>
      </c>
      <c r="I33" s="92"/>
      <c r="J33" s="454">
        <v>7770.4096863662526</v>
      </c>
      <c r="K33" s="289"/>
      <c r="L33" s="340">
        <v>7770.4096863662526</v>
      </c>
      <c r="M33" s="340">
        <v>8707.0109441251225</v>
      </c>
      <c r="N33" s="340">
        <v>9176.4088819129211</v>
      </c>
      <c r="O33" s="340">
        <v>9412.3582589148482</v>
      </c>
      <c r="P33" s="340">
        <v>10060.724088005716</v>
      </c>
    </row>
    <row r="34" spans="3:16" x14ac:dyDescent="0.25">
      <c r="C34" s="98"/>
      <c r="F34" s="99" t="s">
        <v>1018</v>
      </c>
      <c r="G34" s="92" t="s">
        <v>107</v>
      </c>
      <c r="H34" s="92" t="s">
        <v>261</v>
      </c>
      <c r="I34" s="92"/>
      <c r="J34" s="454">
        <v>12472.275200728565</v>
      </c>
      <c r="K34" s="289"/>
      <c r="L34" s="340">
        <v>12472.275200728565</v>
      </c>
      <c r="M34" s="340">
        <v>14044.11586104195</v>
      </c>
      <c r="N34" s="340">
        <v>14741.99456101238</v>
      </c>
      <c r="O34" s="340">
        <v>15015.018597952521</v>
      </c>
      <c r="P34" s="340">
        <v>15935.126135476197</v>
      </c>
    </row>
    <row r="35" spans="3:16" x14ac:dyDescent="0.25">
      <c r="C35" s="98"/>
      <c r="F35" s="99" t="s">
        <v>1019</v>
      </c>
      <c r="G35" s="92" t="s">
        <v>107</v>
      </c>
      <c r="H35" s="92" t="s">
        <v>261</v>
      </c>
      <c r="I35" s="92"/>
      <c r="J35" s="454">
        <v>26025.466876593036</v>
      </c>
      <c r="K35" s="289"/>
      <c r="L35" s="340">
        <v>26025.466876593036</v>
      </c>
      <c r="M35" s="340">
        <v>29438.687777094769</v>
      </c>
      <c r="N35" s="340">
        <v>30790.536807384964</v>
      </c>
      <c r="O35" s="340">
        <v>31159.925739285125</v>
      </c>
      <c r="P35" s="340">
        <v>32854.352671961176</v>
      </c>
    </row>
    <row r="36" spans="3:16" s="293" customFormat="1" x14ac:dyDescent="0.25">
      <c r="C36" s="98"/>
      <c r="D36" s="98"/>
      <c r="E36" s="98"/>
      <c r="F36" s="99" t="s">
        <v>1020</v>
      </c>
      <c r="G36" s="196" t="s">
        <v>107</v>
      </c>
      <c r="H36" s="196" t="s">
        <v>261</v>
      </c>
      <c r="I36" s="196"/>
      <c r="J36" s="454">
        <v>0</v>
      </c>
      <c r="K36" s="289"/>
      <c r="L36" s="340">
        <v>0</v>
      </c>
      <c r="M36" s="340">
        <v>0</v>
      </c>
      <c r="N36" s="340">
        <v>0</v>
      </c>
      <c r="O36" s="340">
        <v>0</v>
      </c>
      <c r="P36" s="340">
        <v>0</v>
      </c>
    </row>
    <row r="37" spans="3:16" s="293" customFormat="1" x14ac:dyDescent="0.25">
      <c r="C37" s="98"/>
      <c r="D37" s="98"/>
      <c r="E37" s="98"/>
      <c r="F37" s="99" t="s">
        <v>1021</v>
      </c>
      <c r="G37" s="196" t="s">
        <v>107</v>
      </c>
      <c r="H37" s="196" t="s">
        <v>261</v>
      </c>
      <c r="I37" s="196"/>
      <c r="J37" s="454">
        <v>13105.11599591855</v>
      </c>
      <c r="K37" s="289"/>
      <c r="L37" s="340">
        <v>13105.11599591855</v>
      </c>
      <c r="M37" s="340">
        <v>15383.139556193231</v>
      </c>
      <c r="N37" s="340">
        <v>15309.742020585436</v>
      </c>
      <c r="O37" s="340">
        <v>14277.313528305333</v>
      </c>
      <c r="P37" s="340">
        <v>13706.680623057891</v>
      </c>
    </row>
    <row r="38" spans="3:16" s="293" customFormat="1" x14ac:dyDescent="0.25">
      <c r="C38" s="98"/>
      <c r="D38" s="98"/>
      <c r="E38" s="98"/>
      <c r="F38" s="99" t="s">
        <v>1022</v>
      </c>
      <c r="G38" s="196" t="s">
        <v>107</v>
      </c>
      <c r="H38" s="196" t="s">
        <v>261</v>
      </c>
      <c r="I38" s="196"/>
      <c r="J38" s="454">
        <v>47892.652417873491</v>
      </c>
      <c r="K38" s="289"/>
      <c r="L38" s="340">
        <v>47892.652417873491</v>
      </c>
      <c r="M38" s="340">
        <v>56343.046854044187</v>
      </c>
      <c r="N38" s="340">
        <v>56275.271904892026</v>
      </c>
      <c r="O38" s="340">
        <v>52643.807205795725</v>
      </c>
      <c r="P38" s="340">
        <v>50732.922185344629</v>
      </c>
    </row>
    <row r="39" spans="3:16" s="293" customFormat="1" x14ac:dyDescent="0.25">
      <c r="C39" s="98"/>
      <c r="D39" s="98"/>
      <c r="E39" s="98"/>
      <c r="F39" s="99" t="s">
        <v>1023</v>
      </c>
      <c r="G39" s="196" t="s">
        <v>107</v>
      </c>
      <c r="H39" s="196" t="s">
        <v>261</v>
      </c>
      <c r="I39" s="196"/>
      <c r="J39" s="454">
        <v>96500.513917742064</v>
      </c>
      <c r="K39" s="289"/>
      <c r="L39" s="340">
        <v>96500.513917742064</v>
      </c>
      <c r="M39" s="340">
        <v>113604.44628288259</v>
      </c>
      <c r="N39" s="340">
        <v>113523.34860341818</v>
      </c>
      <c r="O39" s="340">
        <v>106219.06488523936</v>
      </c>
      <c r="P39" s="340">
        <v>102390.66960862816</v>
      </c>
    </row>
    <row r="40" spans="3:16" s="293" customFormat="1" x14ac:dyDescent="0.25">
      <c r="C40" s="98"/>
      <c r="D40" s="98"/>
      <c r="E40" s="98"/>
      <c r="F40" s="99" t="s">
        <v>1024</v>
      </c>
      <c r="G40" s="196" t="s">
        <v>107</v>
      </c>
      <c r="H40" s="196" t="s">
        <v>261</v>
      </c>
      <c r="I40" s="196"/>
      <c r="J40" s="454">
        <v>180925.42467796846</v>
      </c>
      <c r="K40" s="289"/>
      <c r="L40" s="340">
        <v>180925.42467796846</v>
      </c>
      <c r="M40" s="340">
        <v>213055.92797501941</v>
      </c>
      <c r="N40" s="340">
        <v>212954.17978275471</v>
      </c>
      <c r="O40" s="340">
        <v>199275.67537492359</v>
      </c>
      <c r="P40" s="340">
        <v>192122.25939375936</v>
      </c>
    </row>
    <row r="41" spans="3:16" s="293" customFormat="1" x14ac:dyDescent="0.25">
      <c r="C41" s="98"/>
      <c r="D41" s="98"/>
      <c r="E41" s="98"/>
      <c r="F41" s="99" t="s">
        <v>935</v>
      </c>
      <c r="G41" s="196" t="s">
        <v>107</v>
      </c>
      <c r="H41" s="196" t="s">
        <v>261</v>
      </c>
      <c r="I41" s="196"/>
      <c r="J41" s="454">
        <v>8666.6687449182082</v>
      </c>
      <c r="K41" s="289"/>
      <c r="L41" s="340">
        <v>8666.6687449182082</v>
      </c>
      <c r="M41" s="340">
        <v>9936.9728844963629</v>
      </c>
      <c r="N41" s="340">
        <v>9917.3099847841149</v>
      </c>
      <c r="O41" s="340">
        <v>9440.8445262861842</v>
      </c>
      <c r="P41" s="340">
        <v>9343.3560241720534</v>
      </c>
    </row>
    <row r="42" spans="3:16" s="293" customFormat="1" x14ac:dyDescent="0.25">
      <c r="C42" s="98"/>
      <c r="D42" s="98"/>
      <c r="E42" s="98"/>
      <c r="F42" s="99" t="s">
        <v>936</v>
      </c>
      <c r="G42" s="196" t="s">
        <v>107</v>
      </c>
      <c r="H42" s="196" t="s">
        <v>261</v>
      </c>
      <c r="I42" s="196"/>
      <c r="J42" s="454">
        <v>-78.36062069633951</v>
      </c>
      <c r="K42" s="289"/>
      <c r="L42" s="340">
        <v>-78.36062069633951</v>
      </c>
      <c r="M42" s="340">
        <v>-79.513434372410543</v>
      </c>
      <c r="N42" s="340">
        <v>-89.619286503386519</v>
      </c>
      <c r="O42" s="340">
        <v>-103.55439205937344</v>
      </c>
      <c r="P42" s="340">
        <v>-122.69543093928252</v>
      </c>
    </row>
    <row r="43" spans="3:16" s="293" customFormat="1" x14ac:dyDescent="0.25">
      <c r="C43" s="98"/>
      <c r="D43" s="98"/>
      <c r="E43" s="98"/>
      <c r="F43" s="99" t="s">
        <v>937</v>
      </c>
      <c r="G43" s="196" t="s">
        <v>107</v>
      </c>
      <c r="H43" s="196" t="s">
        <v>261</v>
      </c>
      <c r="I43" s="196"/>
      <c r="J43" s="454">
        <v>-109.3801554753836</v>
      </c>
      <c r="K43" s="289"/>
      <c r="L43" s="340">
        <v>-109.3801554753836</v>
      </c>
      <c r="M43" s="340">
        <v>-110.94140999380392</v>
      </c>
      <c r="N43" s="340">
        <v>-124.81464702588094</v>
      </c>
      <c r="O43" s="340">
        <v>-144.00395021532432</v>
      </c>
      <c r="P43" s="340">
        <v>-170.583663358248</v>
      </c>
    </row>
    <row r="44" spans="3:16" s="293" customFormat="1" x14ac:dyDescent="0.25">
      <c r="C44" s="98"/>
      <c r="D44" s="98"/>
      <c r="E44" s="98"/>
      <c r="F44" s="99" t="s">
        <v>938</v>
      </c>
      <c r="G44" s="196" t="s">
        <v>107</v>
      </c>
      <c r="H44" s="196" t="s">
        <v>261</v>
      </c>
      <c r="I44" s="196"/>
      <c r="J44" s="454">
        <v>-2281.3367810790505</v>
      </c>
      <c r="K44" s="289"/>
      <c r="L44" s="340">
        <v>-2281.3367810790505</v>
      </c>
      <c r="M44" s="340">
        <v>-2315.0433256370825</v>
      </c>
      <c r="N44" s="340">
        <v>-2608.9966076767882</v>
      </c>
      <c r="O44" s="340">
        <v>-3014.6569048382044</v>
      </c>
      <c r="P44" s="340">
        <v>-3572.0459136948407</v>
      </c>
    </row>
    <row r="45" spans="3:16" s="293" customFormat="1" x14ac:dyDescent="0.25">
      <c r="C45" s="98"/>
      <c r="D45" s="98"/>
      <c r="E45" s="98"/>
      <c r="F45" s="99" t="s">
        <v>939</v>
      </c>
      <c r="G45" s="196" t="s">
        <v>107</v>
      </c>
      <c r="H45" s="196" t="s">
        <v>261</v>
      </c>
      <c r="I45" s="196"/>
      <c r="J45" s="454">
        <v>0</v>
      </c>
      <c r="K45" s="289"/>
      <c r="L45" s="340">
        <v>0</v>
      </c>
      <c r="M45" s="340">
        <v>0</v>
      </c>
      <c r="N45" s="340">
        <v>0</v>
      </c>
      <c r="O45" s="340">
        <v>0</v>
      </c>
      <c r="P45" s="340">
        <v>0</v>
      </c>
    </row>
    <row r="46" spans="3:16" s="293" customFormat="1" x14ac:dyDescent="0.25">
      <c r="C46" s="98"/>
      <c r="D46" s="98"/>
      <c r="E46" s="98"/>
      <c r="F46" s="99" t="s">
        <v>940</v>
      </c>
      <c r="G46" s="196" t="s">
        <v>107</v>
      </c>
      <c r="H46" s="196" t="s">
        <v>261</v>
      </c>
      <c r="I46" s="196"/>
      <c r="J46" s="454">
        <v>-4420.26985275061</v>
      </c>
      <c r="K46" s="289"/>
      <c r="L46" s="340">
        <v>-4420.26985275061</v>
      </c>
      <c r="M46" s="340">
        <v>-4483.4401941262786</v>
      </c>
      <c r="N46" s="340">
        <v>-5044.0243684443021</v>
      </c>
      <c r="O46" s="340">
        <v>-5819.5073840785535</v>
      </c>
      <c r="P46" s="340">
        <v>-6893.6599273867978</v>
      </c>
    </row>
    <row r="47" spans="3:16" s="293" customFormat="1" x14ac:dyDescent="0.25">
      <c r="C47" s="98"/>
      <c r="D47" s="98"/>
      <c r="E47" s="98"/>
      <c r="F47" s="99" t="s">
        <v>941</v>
      </c>
      <c r="G47" s="196" t="s">
        <v>107</v>
      </c>
      <c r="H47" s="196" t="s">
        <v>261</v>
      </c>
      <c r="I47" s="196"/>
      <c r="J47" s="454">
        <v>0</v>
      </c>
      <c r="K47" s="289"/>
      <c r="L47" s="340">
        <v>0</v>
      </c>
      <c r="M47" s="340">
        <v>0</v>
      </c>
      <c r="N47" s="340">
        <v>0</v>
      </c>
      <c r="O47" s="340">
        <v>0</v>
      </c>
      <c r="P47" s="340">
        <v>0</v>
      </c>
    </row>
    <row r="48" spans="3:16" s="293" customFormat="1" x14ac:dyDescent="0.25">
      <c r="C48" s="98"/>
      <c r="D48" s="98"/>
      <c r="E48" s="98"/>
      <c r="F48" s="99" t="s">
        <v>942</v>
      </c>
      <c r="G48" s="196" t="s">
        <v>107</v>
      </c>
      <c r="H48" s="196" t="s">
        <v>261</v>
      </c>
      <c r="I48" s="196"/>
      <c r="J48" s="454">
        <v>-25980.615220702384</v>
      </c>
      <c r="K48" s="289"/>
      <c r="L48" s="340">
        <v>-25980.615220702384</v>
      </c>
      <c r="M48" s="340">
        <v>-26377.284891756688</v>
      </c>
      <c r="N48" s="340">
        <v>-29114.832016091721</v>
      </c>
      <c r="O48" s="340">
        <v>-33003.878586079438</v>
      </c>
      <c r="P48" s="340">
        <v>-38500.311620616863</v>
      </c>
    </row>
    <row r="49" spans="3:18" x14ac:dyDescent="0.25">
      <c r="C49" s="98"/>
      <c r="F49" s="100" t="s">
        <v>943</v>
      </c>
      <c r="G49" s="93" t="s">
        <v>107</v>
      </c>
      <c r="H49" s="93" t="s">
        <v>261</v>
      </c>
      <c r="I49" s="93"/>
      <c r="J49" s="290">
        <v>0</v>
      </c>
      <c r="K49" s="291"/>
      <c r="L49" s="341">
        <v>0</v>
      </c>
      <c r="M49" s="341">
        <v>0</v>
      </c>
      <c r="N49" s="341">
        <v>0</v>
      </c>
      <c r="O49" s="341">
        <v>0</v>
      </c>
      <c r="P49" s="341">
        <v>0</v>
      </c>
    </row>
    <row r="50" spans="3:18" x14ac:dyDescent="0.25">
      <c r="D50" s="85"/>
      <c r="E50" s="85"/>
      <c r="J50" s="292"/>
      <c r="K50" s="292"/>
      <c r="L50" s="342"/>
      <c r="M50" s="342"/>
      <c r="N50" s="342"/>
      <c r="O50" s="342"/>
      <c r="P50" s="342"/>
    </row>
    <row r="51" spans="3:18" x14ac:dyDescent="0.25">
      <c r="E51" s="96" t="s">
        <v>486</v>
      </c>
      <c r="F51" s="96"/>
      <c r="I51" s="85" t="s">
        <v>359</v>
      </c>
      <c r="J51" s="292"/>
      <c r="K51" s="292"/>
      <c r="L51" s="342"/>
      <c r="M51" s="342"/>
      <c r="N51" s="342"/>
      <c r="O51" s="342"/>
      <c r="P51" s="342"/>
      <c r="R51" s="293" t="s">
        <v>756</v>
      </c>
    </row>
    <row r="52" spans="3:18" x14ac:dyDescent="0.25">
      <c r="C52" s="86"/>
      <c r="F52" s="103" t="s">
        <v>1004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76.528787267535179</v>
      </c>
      <c r="K52" s="288"/>
      <c r="L52" s="339">
        <v>76.528787267535179</v>
      </c>
      <c r="M52" s="339">
        <v>86.737452633611767</v>
      </c>
      <c r="N52" s="339">
        <v>87.254799340033557</v>
      </c>
      <c r="O52" s="339">
        <v>83.793179790066574</v>
      </c>
      <c r="P52" s="339">
        <v>83.386391205306822</v>
      </c>
    </row>
    <row r="53" spans="3:18" x14ac:dyDescent="0.25">
      <c r="C53" s="86"/>
      <c r="F53" s="99" t="s">
        <v>929</v>
      </c>
      <c r="G53" s="92" t="s">
        <v>107</v>
      </c>
      <c r="H53" s="92" t="s">
        <v>146</v>
      </c>
      <c r="I53" s="92"/>
      <c r="J53" s="454">
        <v>0</v>
      </c>
      <c r="K53" s="289"/>
      <c r="L53" s="451">
        <v>0</v>
      </c>
      <c r="M53" s="451">
        <v>0</v>
      </c>
      <c r="N53" s="451">
        <v>0</v>
      </c>
      <c r="O53" s="451">
        <v>0</v>
      </c>
      <c r="P53" s="451">
        <v>0</v>
      </c>
    </row>
    <row r="54" spans="3:18" x14ac:dyDescent="0.25">
      <c r="C54" s="86"/>
      <c r="F54" s="99" t="s">
        <v>1005</v>
      </c>
      <c r="G54" s="92" t="s">
        <v>107</v>
      </c>
      <c r="H54" s="92" t="s">
        <v>146</v>
      </c>
      <c r="I54" s="92"/>
      <c r="J54" s="454">
        <v>0</v>
      </c>
      <c r="K54" s="289"/>
      <c r="L54" s="451">
        <v>0</v>
      </c>
      <c r="M54" s="451">
        <v>0</v>
      </c>
      <c r="N54" s="451">
        <v>0</v>
      </c>
      <c r="O54" s="451">
        <v>0</v>
      </c>
      <c r="P54" s="451">
        <v>0</v>
      </c>
    </row>
    <row r="55" spans="3:18" x14ac:dyDescent="0.25">
      <c r="C55" s="86"/>
      <c r="F55" s="99" t="s">
        <v>1006</v>
      </c>
      <c r="G55" s="92" t="s">
        <v>107</v>
      </c>
      <c r="H55" s="92" t="s">
        <v>146</v>
      </c>
      <c r="I55" s="92"/>
      <c r="J55" s="454">
        <v>121.95142595719392</v>
      </c>
      <c r="K55" s="289"/>
      <c r="L55" s="451">
        <v>121.95142595719392</v>
      </c>
      <c r="M55" s="451">
        <v>126.39660610309572</v>
      </c>
      <c r="N55" s="451">
        <v>137.29996388228935</v>
      </c>
      <c r="O55" s="451">
        <v>150.34603635619979</v>
      </c>
      <c r="P55" s="451">
        <v>170.33918322810698</v>
      </c>
    </row>
    <row r="56" spans="3:18" x14ac:dyDescent="0.25">
      <c r="C56" s="86"/>
      <c r="F56" s="99" t="s">
        <v>1007</v>
      </c>
      <c r="G56" s="92" t="s">
        <v>107</v>
      </c>
      <c r="H56" s="92" t="s">
        <v>146</v>
      </c>
      <c r="I56" s="92"/>
      <c r="J56" s="454">
        <v>158.76893130794741</v>
      </c>
      <c r="K56" s="289"/>
      <c r="L56" s="451">
        <v>158.76893130794741</v>
      </c>
      <c r="M56" s="451">
        <v>179.17936566136038</v>
      </c>
      <c r="N56" s="451">
        <v>183.12653715018456</v>
      </c>
      <c r="O56" s="451">
        <v>180.01319412500965</v>
      </c>
      <c r="P56" s="451">
        <v>183.9199517880638</v>
      </c>
    </row>
    <row r="57" spans="3:18" x14ac:dyDescent="0.25">
      <c r="C57" s="86"/>
      <c r="F57" s="99" t="s">
        <v>1008</v>
      </c>
      <c r="G57" s="92" t="s">
        <v>107</v>
      </c>
      <c r="H57" s="92" t="s">
        <v>146</v>
      </c>
      <c r="I57" s="92"/>
      <c r="J57" s="454">
        <v>233.40815979044535</v>
      </c>
      <c r="K57" s="289"/>
      <c r="L57" s="451">
        <v>233.40815979044535</v>
      </c>
      <c r="M57" s="451">
        <v>282.86881022716619</v>
      </c>
      <c r="N57" s="451">
        <v>275.31256590000078</v>
      </c>
      <c r="O57" s="451">
        <v>244.2623837705336</v>
      </c>
      <c r="P57" s="451">
        <v>220.9521640699524</v>
      </c>
    </row>
    <row r="58" spans="3:18" x14ac:dyDescent="0.25">
      <c r="C58" s="86"/>
      <c r="F58" s="99" t="s">
        <v>1009</v>
      </c>
      <c r="G58" s="92" t="s">
        <v>107</v>
      </c>
      <c r="H58" s="92" t="s">
        <v>146</v>
      </c>
      <c r="I58" s="92"/>
      <c r="J58" s="454">
        <v>507.90516080878803</v>
      </c>
      <c r="K58" s="289"/>
      <c r="L58" s="451">
        <v>507.90516080878803</v>
      </c>
      <c r="M58" s="451">
        <v>665.6824951574722</v>
      </c>
      <c r="N58" s="451">
        <v>614.5936103514216</v>
      </c>
      <c r="O58" s="451">
        <v>478.62109968519309</v>
      </c>
      <c r="P58" s="451">
        <v>352.79878964700515</v>
      </c>
    </row>
    <row r="59" spans="3:18" s="293" customFormat="1" x14ac:dyDescent="0.25">
      <c r="C59" s="86"/>
      <c r="D59" s="98"/>
      <c r="E59" s="98"/>
      <c r="F59" s="99" t="s">
        <v>931</v>
      </c>
      <c r="G59" s="196" t="s">
        <v>107</v>
      </c>
      <c r="H59" s="196" t="s">
        <v>146</v>
      </c>
      <c r="I59" s="196"/>
      <c r="J59" s="454">
        <v>0</v>
      </c>
      <c r="K59" s="289"/>
      <c r="L59" s="451">
        <v>0</v>
      </c>
      <c r="M59" s="451">
        <v>0</v>
      </c>
      <c r="N59" s="451">
        <v>0</v>
      </c>
      <c r="O59" s="451">
        <v>0</v>
      </c>
      <c r="P59" s="451">
        <v>0</v>
      </c>
    </row>
    <row r="60" spans="3:18" s="293" customFormat="1" x14ac:dyDescent="0.25">
      <c r="C60" s="86"/>
      <c r="D60" s="98"/>
      <c r="E60" s="98"/>
      <c r="F60" s="99" t="s">
        <v>1010</v>
      </c>
      <c r="G60" s="196" t="s">
        <v>107</v>
      </c>
      <c r="H60" s="196" t="s">
        <v>146</v>
      </c>
      <c r="I60" s="196"/>
      <c r="J60" s="454">
        <v>0</v>
      </c>
      <c r="K60" s="289"/>
      <c r="L60" s="451">
        <v>0</v>
      </c>
      <c r="M60" s="451">
        <v>0</v>
      </c>
      <c r="N60" s="451">
        <v>0</v>
      </c>
      <c r="O60" s="451">
        <v>0</v>
      </c>
      <c r="P60" s="451">
        <v>0</v>
      </c>
    </row>
    <row r="61" spans="3:18" s="293" customFormat="1" x14ac:dyDescent="0.25">
      <c r="C61" s="86"/>
      <c r="D61" s="98"/>
      <c r="E61" s="98"/>
      <c r="F61" s="99" t="s">
        <v>1011</v>
      </c>
      <c r="G61" s="196" t="s">
        <v>107</v>
      </c>
      <c r="H61" s="196" t="s">
        <v>146</v>
      </c>
      <c r="I61" s="196"/>
      <c r="J61" s="454">
        <v>1686.5601967947634</v>
      </c>
      <c r="K61" s="289"/>
      <c r="L61" s="451">
        <v>1686.5601967947634</v>
      </c>
      <c r="M61" s="451">
        <v>1936.7882538469585</v>
      </c>
      <c r="N61" s="451">
        <v>1981.7206196330462</v>
      </c>
      <c r="O61" s="451">
        <v>1935.3368906123803</v>
      </c>
      <c r="P61" s="451">
        <v>1961.8631574015503</v>
      </c>
    </row>
    <row r="62" spans="3:18" x14ac:dyDescent="0.25">
      <c r="C62" s="86"/>
      <c r="F62" s="99" t="s">
        <v>1012</v>
      </c>
      <c r="G62" s="92" t="s">
        <v>107</v>
      </c>
      <c r="H62" s="92" t="s">
        <v>146</v>
      </c>
      <c r="I62" s="92"/>
      <c r="J62" s="454">
        <v>3766.4470127965151</v>
      </c>
      <c r="K62" s="289"/>
      <c r="L62" s="451">
        <v>3766.4470127965151</v>
      </c>
      <c r="M62" s="451">
        <v>4340.3214780004419</v>
      </c>
      <c r="N62" s="451">
        <v>4446.0124967532238</v>
      </c>
      <c r="O62" s="451">
        <v>4339.2976915708459</v>
      </c>
      <c r="P62" s="451">
        <v>4396.2345852095159</v>
      </c>
    </row>
    <row r="63" spans="3:18" x14ac:dyDescent="0.25">
      <c r="C63" s="86"/>
      <c r="F63" s="99" t="s">
        <v>1013</v>
      </c>
      <c r="G63" s="92" t="s">
        <v>107</v>
      </c>
      <c r="H63" s="92" t="s">
        <v>146</v>
      </c>
      <c r="I63" s="92"/>
      <c r="J63" s="454">
        <v>6254.9628189918003</v>
      </c>
      <c r="K63" s="289"/>
      <c r="L63" s="451">
        <v>6254.9628189918003</v>
      </c>
      <c r="M63" s="451">
        <v>7220.3426801384958</v>
      </c>
      <c r="N63" s="451">
        <v>7395.3431869814094</v>
      </c>
      <c r="O63" s="451">
        <v>7210.0487561229547</v>
      </c>
      <c r="P63" s="451">
        <v>7296.440041144996</v>
      </c>
    </row>
    <row r="64" spans="3:18" x14ac:dyDescent="0.25">
      <c r="C64" s="86"/>
      <c r="F64" s="99" t="s">
        <v>1014</v>
      </c>
      <c r="G64" s="92" t="s">
        <v>107</v>
      </c>
      <c r="H64" s="92" t="s">
        <v>146</v>
      </c>
      <c r="I64" s="92"/>
      <c r="J64" s="454">
        <v>11146.221378662809</v>
      </c>
      <c r="K64" s="289"/>
      <c r="L64" s="451">
        <v>11146.221378662809</v>
      </c>
      <c r="M64" s="451">
        <v>13219.808713269525</v>
      </c>
      <c r="N64" s="451">
        <v>13265.054879026902</v>
      </c>
      <c r="O64" s="451">
        <v>12424.307416667452</v>
      </c>
      <c r="P64" s="451">
        <v>12018.371511917136</v>
      </c>
    </row>
    <row r="65" spans="3:16" x14ac:dyDescent="0.25">
      <c r="C65" s="86"/>
      <c r="F65" s="99" t="s">
        <v>1015</v>
      </c>
      <c r="G65" s="92" t="s">
        <v>107</v>
      </c>
      <c r="H65" s="92" t="s">
        <v>146</v>
      </c>
      <c r="I65" s="92"/>
      <c r="J65" s="279">
        <v>0</v>
      </c>
      <c r="K65" s="289"/>
      <c r="L65" s="453">
        <v>0</v>
      </c>
      <c r="M65" s="453">
        <v>0</v>
      </c>
      <c r="N65" s="453">
        <v>0</v>
      </c>
      <c r="O65" s="453">
        <v>0</v>
      </c>
      <c r="P65" s="453">
        <v>0</v>
      </c>
    </row>
    <row r="66" spans="3:16" x14ac:dyDescent="0.25">
      <c r="C66" s="86"/>
      <c r="F66" s="99" t="s">
        <v>1016</v>
      </c>
      <c r="G66" s="92" t="s">
        <v>107</v>
      </c>
      <c r="H66" s="92" t="s">
        <v>146</v>
      </c>
      <c r="I66" s="92"/>
      <c r="J66" s="279">
        <v>0</v>
      </c>
      <c r="K66" s="289"/>
      <c r="L66" s="453">
        <v>0</v>
      </c>
      <c r="M66" s="453">
        <v>0</v>
      </c>
      <c r="N66" s="453">
        <v>0</v>
      </c>
      <c r="O66" s="453">
        <v>0</v>
      </c>
      <c r="P66" s="453">
        <v>0</v>
      </c>
    </row>
    <row r="67" spans="3:16" x14ac:dyDescent="0.25">
      <c r="C67" s="86"/>
      <c r="F67" s="99" t="s">
        <v>1017</v>
      </c>
      <c r="G67" s="92" t="s">
        <v>107</v>
      </c>
      <c r="H67" s="92" t="s">
        <v>146</v>
      </c>
      <c r="I67" s="92"/>
      <c r="J67" s="279">
        <v>0</v>
      </c>
      <c r="K67" s="289"/>
      <c r="L67" s="453">
        <v>0</v>
      </c>
      <c r="M67" s="453">
        <v>0</v>
      </c>
      <c r="N67" s="453">
        <v>0</v>
      </c>
      <c r="O67" s="453">
        <v>0</v>
      </c>
      <c r="P67" s="453">
        <v>0</v>
      </c>
    </row>
    <row r="68" spans="3:16" x14ac:dyDescent="0.25">
      <c r="C68" s="86"/>
      <c r="F68" s="99" t="s">
        <v>1018</v>
      </c>
      <c r="G68" s="92" t="s">
        <v>107</v>
      </c>
      <c r="H68" s="92" t="s">
        <v>146</v>
      </c>
      <c r="I68" s="92"/>
      <c r="J68" s="279">
        <v>0</v>
      </c>
      <c r="K68" s="289"/>
      <c r="L68" s="453">
        <v>0</v>
      </c>
      <c r="M68" s="453">
        <v>0</v>
      </c>
      <c r="N68" s="453">
        <v>0</v>
      </c>
      <c r="O68" s="453">
        <v>0</v>
      </c>
      <c r="P68" s="453">
        <v>0</v>
      </c>
    </row>
    <row r="69" spans="3:16" x14ac:dyDescent="0.25">
      <c r="C69" s="86"/>
      <c r="F69" s="99" t="s">
        <v>1019</v>
      </c>
      <c r="G69" s="92" t="s">
        <v>107</v>
      </c>
      <c r="H69" s="92" t="s">
        <v>146</v>
      </c>
      <c r="I69" s="92"/>
      <c r="J69" s="279">
        <v>0</v>
      </c>
      <c r="K69" s="289"/>
      <c r="L69" s="453">
        <v>0</v>
      </c>
      <c r="M69" s="453">
        <v>0</v>
      </c>
      <c r="N69" s="453">
        <v>0</v>
      </c>
      <c r="O69" s="453">
        <v>0</v>
      </c>
      <c r="P69" s="453">
        <v>0</v>
      </c>
    </row>
    <row r="70" spans="3:16" s="293" customFormat="1" x14ac:dyDescent="0.25">
      <c r="C70" s="86"/>
      <c r="D70" s="98"/>
      <c r="E70" s="98"/>
      <c r="F70" s="99" t="s">
        <v>1020</v>
      </c>
      <c r="G70" s="196" t="s">
        <v>107</v>
      </c>
      <c r="H70" s="196" t="s">
        <v>146</v>
      </c>
      <c r="I70" s="196"/>
      <c r="J70" s="279">
        <v>0</v>
      </c>
      <c r="K70" s="289"/>
      <c r="L70" s="453">
        <v>0</v>
      </c>
      <c r="M70" s="453">
        <v>0</v>
      </c>
      <c r="N70" s="453">
        <v>0</v>
      </c>
      <c r="O70" s="453">
        <v>0</v>
      </c>
      <c r="P70" s="453">
        <v>0</v>
      </c>
    </row>
    <row r="71" spans="3:16" s="293" customFormat="1" x14ac:dyDescent="0.25">
      <c r="C71" s="86"/>
      <c r="D71" s="98"/>
      <c r="E71" s="98"/>
      <c r="F71" s="99" t="s">
        <v>1021</v>
      </c>
      <c r="G71" s="196" t="s">
        <v>107</v>
      </c>
      <c r="H71" s="196" t="s">
        <v>146</v>
      </c>
      <c r="I71" s="196"/>
      <c r="J71" s="279">
        <v>0</v>
      </c>
      <c r="K71" s="289"/>
      <c r="L71" s="453">
        <v>0</v>
      </c>
      <c r="M71" s="453">
        <v>0</v>
      </c>
      <c r="N71" s="453">
        <v>0</v>
      </c>
      <c r="O71" s="453">
        <v>0</v>
      </c>
      <c r="P71" s="453">
        <v>0</v>
      </c>
    </row>
    <row r="72" spans="3:16" s="293" customFormat="1" x14ac:dyDescent="0.25">
      <c r="C72" s="86"/>
      <c r="D72" s="98"/>
      <c r="E72" s="98"/>
      <c r="F72" s="99" t="s">
        <v>1022</v>
      </c>
      <c r="G72" s="196" t="s">
        <v>107</v>
      </c>
      <c r="H72" s="196" t="s">
        <v>146</v>
      </c>
      <c r="I72" s="196"/>
      <c r="J72" s="279">
        <v>0</v>
      </c>
      <c r="K72" s="289"/>
      <c r="L72" s="453">
        <v>0</v>
      </c>
      <c r="M72" s="453">
        <v>0</v>
      </c>
      <c r="N72" s="453">
        <v>0</v>
      </c>
      <c r="O72" s="453">
        <v>0</v>
      </c>
      <c r="P72" s="453">
        <v>0</v>
      </c>
    </row>
    <row r="73" spans="3:16" s="293" customFormat="1" x14ac:dyDescent="0.25">
      <c r="C73" s="86"/>
      <c r="D73" s="98"/>
      <c r="E73" s="98"/>
      <c r="F73" s="99" t="s">
        <v>1023</v>
      </c>
      <c r="G73" s="196" t="s">
        <v>107</v>
      </c>
      <c r="H73" s="196" t="s">
        <v>146</v>
      </c>
      <c r="I73" s="196"/>
      <c r="J73" s="279">
        <v>0</v>
      </c>
      <c r="K73" s="289"/>
      <c r="L73" s="453">
        <v>0</v>
      </c>
      <c r="M73" s="453">
        <v>0</v>
      </c>
      <c r="N73" s="453">
        <v>0</v>
      </c>
      <c r="O73" s="453">
        <v>0</v>
      </c>
      <c r="P73" s="453">
        <v>0</v>
      </c>
    </row>
    <row r="74" spans="3:16" s="293" customFormat="1" x14ac:dyDescent="0.25">
      <c r="C74" s="86"/>
      <c r="D74" s="98"/>
      <c r="E74" s="98"/>
      <c r="F74" s="99" t="s">
        <v>1024</v>
      </c>
      <c r="G74" s="196" t="s">
        <v>107</v>
      </c>
      <c r="H74" s="196" t="s">
        <v>146</v>
      </c>
      <c r="I74" s="196"/>
      <c r="J74" s="279">
        <v>0</v>
      </c>
      <c r="K74" s="289"/>
      <c r="L74" s="453">
        <v>0</v>
      </c>
      <c r="M74" s="453">
        <v>0</v>
      </c>
      <c r="N74" s="453">
        <v>0</v>
      </c>
      <c r="O74" s="453">
        <v>0</v>
      </c>
      <c r="P74" s="453">
        <v>0</v>
      </c>
    </row>
    <row r="75" spans="3:16" s="293" customFormat="1" x14ac:dyDescent="0.25">
      <c r="C75" s="86"/>
      <c r="D75" s="98"/>
      <c r="E75" s="98"/>
      <c r="F75" s="99" t="s">
        <v>935</v>
      </c>
      <c r="G75" s="196" t="s">
        <v>107</v>
      </c>
      <c r="H75" s="196" t="s">
        <v>146</v>
      </c>
      <c r="I75" s="196"/>
      <c r="J75" s="454">
        <v>178.4009508832462</v>
      </c>
      <c r="K75" s="289"/>
      <c r="L75" s="451">
        <v>178.4009508832462</v>
      </c>
      <c r="M75" s="451">
        <v>204.30964407264284</v>
      </c>
      <c r="N75" s="451">
        <v>204.0631825487676</v>
      </c>
      <c r="O75" s="451">
        <v>194.61949753875075</v>
      </c>
      <c r="P75" s="451">
        <v>193.16709716667373</v>
      </c>
    </row>
    <row r="76" spans="3:16" s="293" customFormat="1" x14ac:dyDescent="0.25">
      <c r="C76" s="86"/>
      <c r="D76" s="98"/>
      <c r="E76" s="98"/>
      <c r="F76" s="99" t="s">
        <v>936</v>
      </c>
      <c r="G76" s="196" t="s">
        <v>107</v>
      </c>
      <c r="H76" s="196" t="s">
        <v>146</v>
      </c>
      <c r="I76" s="196"/>
      <c r="J76" s="454">
        <v>0</v>
      </c>
      <c r="K76" s="289"/>
      <c r="L76" s="451">
        <v>0</v>
      </c>
      <c r="M76" s="451">
        <v>0</v>
      </c>
      <c r="N76" s="451">
        <v>0</v>
      </c>
      <c r="O76" s="451">
        <v>0</v>
      </c>
      <c r="P76" s="451">
        <v>0</v>
      </c>
    </row>
    <row r="77" spans="3:16" s="293" customFormat="1" x14ac:dyDescent="0.25">
      <c r="C77" s="86"/>
      <c r="D77" s="98"/>
      <c r="E77" s="98"/>
      <c r="F77" s="99" t="s">
        <v>937</v>
      </c>
      <c r="G77" s="196" t="s">
        <v>107</v>
      </c>
      <c r="H77" s="196" t="s">
        <v>146</v>
      </c>
      <c r="I77" s="196"/>
      <c r="J77" s="279">
        <v>0</v>
      </c>
      <c r="K77" s="289"/>
      <c r="L77" s="453">
        <v>0</v>
      </c>
      <c r="M77" s="453">
        <v>0</v>
      </c>
      <c r="N77" s="453">
        <v>0</v>
      </c>
      <c r="O77" s="453">
        <v>0</v>
      </c>
      <c r="P77" s="453">
        <v>0</v>
      </c>
    </row>
    <row r="78" spans="3:16" s="293" customFormat="1" x14ac:dyDescent="0.25">
      <c r="C78" s="86"/>
      <c r="D78" s="98"/>
      <c r="E78" s="98"/>
      <c r="F78" s="99" t="s">
        <v>938</v>
      </c>
      <c r="G78" s="196" t="s">
        <v>107</v>
      </c>
      <c r="H78" s="196" t="s">
        <v>146</v>
      </c>
      <c r="I78" s="196"/>
      <c r="J78" s="454">
        <v>0</v>
      </c>
      <c r="K78" s="289"/>
      <c r="L78" s="451">
        <v>0</v>
      </c>
      <c r="M78" s="451">
        <v>0</v>
      </c>
      <c r="N78" s="451">
        <v>0</v>
      </c>
      <c r="O78" s="451">
        <v>0</v>
      </c>
      <c r="P78" s="451">
        <v>0</v>
      </c>
    </row>
    <row r="79" spans="3:16" s="293" customFormat="1" x14ac:dyDescent="0.25">
      <c r="C79" s="86"/>
      <c r="D79" s="98"/>
      <c r="E79" s="98"/>
      <c r="F79" s="99" t="s">
        <v>939</v>
      </c>
      <c r="G79" s="196" t="s">
        <v>107</v>
      </c>
      <c r="H79" s="196" t="s">
        <v>146</v>
      </c>
      <c r="I79" s="196"/>
      <c r="J79" s="279">
        <v>0</v>
      </c>
      <c r="K79" s="289"/>
      <c r="L79" s="453">
        <v>0</v>
      </c>
      <c r="M79" s="453">
        <v>0</v>
      </c>
      <c r="N79" s="453">
        <v>0</v>
      </c>
      <c r="O79" s="453">
        <v>0</v>
      </c>
      <c r="P79" s="453">
        <v>0</v>
      </c>
    </row>
    <row r="80" spans="3:16" s="293" customFormat="1" x14ac:dyDescent="0.25">
      <c r="C80" s="86"/>
      <c r="D80" s="98"/>
      <c r="E80" s="98"/>
      <c r="F80" s="99" t="s">
        <v>940</v>
      </c>
      <c r="G80" s="196" t="s">
        <v>107</v>
      </c>
      <c r="H80" s="196" t="s">
        <v>146</v>
      </c>
      <c r="I80" s="196"/>
      <c r="J80" s="279">
        <v>0</v>
      </c>
      <c r="K80" s="289"/>
      <c r="L80" s="453">
        <v>0</v>
      </c>
      <c r="M80" s="453">
        <v>0</v>
      </c>
      <c r="N80" s="453">
        <v>0</v>
      </c>
      <c r="O80" s="453">
        <v>0</v>
      </c>
      <c r="P80" s="453">
        <v>0</v>
      </c>
    </row>
    <row r="81" spans="3:18" s="293" customFormat="1" x14ac:dyDescent="0.25">
      <c r="C81" s="86"/>
      <c r="D81" s="98"/>
      <c r="E81" s="98"/>
      <c r="F81" s="99" t="s">
        <v>941</v>
      </c>
      <c r="G81" s="196" t="s">
        <v>107</v>
      </c>
      <c r="H81" s="196" t="s">
        <v>146</v>
      </c>
      <c r="I81" s="196"/>
      <c r="J81" s="279">
        <v>0</v>
      </c>
      <c r="K81" s="289"/>
      <c r="L81" s="453">
        <v>0</v>
      </c>
      <c r="M81" s="453">
        <v>0</v>
      </c>
      <c r="N81" s="453">
        <v>0</v>
      </c>
      <c r="O81" s="453">
        <v>0</v>
      </c>
      <c r="P81" s="453">
        <v>0</v>
      </c>
    </row>
    <row r="82" spans="3:18" s="293" customFormat="1" x14ac:dyDescent="0.25">
      <c r="C82" s="86"/>
      <c r="D82" s="98"/>
      <c r="E82" s="98"/>
      <c r="F82" s="99" t="s">
        <v>942</v>
      </c>
      <c r="G82" s="196" t="s">
        <v>107</v>
      </c>
      <c r="H82" s="196" t="s">
        <v>146</v>
      </c>
      <c r="I82" s="196"/>
      <c r="J82" s="279">
        <v>0</v>
      </c>
      <c r="K82" s="289"/>
      <c r="L82" s="453">
        <v>0</v>
      </c>
      <c r="M82" s="453">
        <v>0</v>
      </c>
      <c r="N82" s="453">
        <v>0</v>
      </c>
      <c r="O82" s="453">
        <v>0</v>
      </c>
      <c r="P82" s="453">
        <v>0</v>
      </c>
    </row>
    <row r="83" spans="3:18" x14ac:dyDescent="0.25">
      <c r="C83" s="86"/>
      <c r="F83" s="100" t="s">
        <v>943</v>
      </c>
      <c r="G83" s="93" t="s">
        <v>107</v>
      </c>
      <c r="H83" s="93" t="s">
        <v>146</v>
      </c>
      <c r="I83" s="93"/>
      <c r="J83" s="240">
        <v>0</v>
      </c>
      <c r="K83" s="291"/>
      <c r="L83" s="343">
        <v>0</v>
      </c>
      <c r="M83" s="343">
        <v>0</v>
      </c>
      <c r="N83" s="343">
        <v>0</v>
      </c>
      <c r="O83" s="343">
        <v>0</v>
      </c>
      <c r="P83" s="343">
        <v>0</v>
      </c>
    </row>
    <row r="84" spans="3:18" x14ac:dyDescent="0.25">
      <c r="E84" s="85"/>
      <c r="H84" s="195"/>
      <c r="J84" s="292"/>
      <c r="K84" s="292"/>
      <c r="L84" s="342"/>
      <c r="M84" s="342"/>
      <c r="N84" s="342"/>
      <c r="O84" s="342"/>
      <c r="P84" s="342"/>
    </row>
    <row r="85" spans="3:18" x14ac:dyDescent="0.25">
      <c r="E85" s="96" t="s">
        <v>487</v>
      </c>
      <c r="F85" s="96"/>
      <c r="I85" s="85" t="s">
        <v>359</v>
      </c>
      <c r="J85" s="292"/>
      <c r="K85" s="292"/>
      <c r="L85" s="342"/>
      <c r="M85" s="342"/>
      <c r="N85" s="342"/>
      <c r="O85" s="342"/>
      <c r="P85" s="342"/>
      <c r="R85" s="293" t="s">
        <v>756</v>
      </c>
    </row>
    <row r="86" spans="3:18" x14ac:dyDescent="0.25">
      <c r="C86" s="86"/>
      <c r="F86" s="103" t="s">
        <v>1004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56.238395605111663</v>
      </c>
      <c r="K86" s="288"/>
      <c r="L86" s="339">
        <v>56.238395605111663</v>
      </c>
      <c r="M86" s="339">
        <v>63.516195827785225</v>
      </c>
      <c r="N86" s="339">
        <v>63.916501776851732</v>
      </c>
      <c r="O86" s="339">
        <v>61.497714225185703</v>
      </c>
      <c r="P86" s="339">
        <v>61.297841769518534</v>
      </c>
    </row>
    <row r="87" spans="3:18" x14ac:dyDescent="0.25">
      <c r="C87" s="86"/>
      <c r="F87" s="99" t="s">
        <v>929</v>
      </c>
      <c r="G87" s="92" t="s">
        <v>107</v>
      </c>
      <c r="H87" s="92" t="s">
        <v>147</v>
      </c>
      <c r="I87" s="92"/>
      <c r="J87" s="454">
        <v>0</v>
      </c>
      <c r="K87" s="289"/>
      <c r="L87" s="340">
        <v>0</v>
      </c>
      <c r="M87" s="340">
        <v>0</v>
      </c>
      <c r="N87" s="340">
        <v>0</v>
      </c>
      <c r="O87" s="340">
        <v>0</v>
      </c>
      <c r="P87" s="340">
        <v>0</v>
      </c>
    </row>
    <row r="88" spans="3:18" x14ac:dyDescent="0.25">
      <c r="C88" s="86"/>
      <c r="F88" s="99" t="s">
        <v>1005</v>
      </c>
      <c r="G88" s="92" t="s">
        <v>107</v>
      </c>
      <c r="H88" s="92" t="s">
        <v>147</v>
      </c>
      <c r="I88" s="92"/>
      <c r="J88" s="454">
        <v>0</v>
      </c>
      <c r="K88" s="289"/>
      <c r="L88" s="340">
        <v>0</v>
      </c>
      <c r="M88" s="340">
        <v>0</v>
      </c>
      <c r="N88" s="340">
        <v>0</v>
      </c>
      <c r="O88" s="340">
        <v>0</v>
      </c>
      <c r="P88" s="340">
        <v>0</v>
      </c>
    </row>
    <row r="89" spans="3:18" x14ac:dyDescent="0.25">
      <c r="C89" s="86"/>
      <c r="F89" s="99" t="s">
        <v>1006</v>
      </c>
      <c r="G89" s="92" t="s">
        <v>107</v>
      </c>
      <c r="H89" s="92" t="s">
        <v>147</v>
      </c>
      <c r="I89" s="92"/>
      <c r="J89" s="454">
        <v>172.00634520016726</v>
      </c>
      <c r="K89" s="289"/>
      <c r="L89" s="340">
        <v>172.00634520016726</v>
      </c>
      <c r="M89" s="340">
        <v>175.79709843182715</v>
      </c>
      <c r="N89" s="340">
        <v>194.99421844220069</v>
      </c>
      <c r="O89" s="340">
        <v>219.34092509753637</v>
      </c>
      <c r="P89" s="340">
        <v>254.22708865419128</v>
      </c>
    </row>
    <row r="90" spans="3:18" x14ac:dyDescent="0.25">
      <c r="C90" s="86"/>
      <c r="F90" s="99" t="s">
        <v>1007</v>
      </c>
      <c r="G90" s="92" t="s">
        <v>107</v>
      </c>
      <c r="H90" s="92" t="s">
        <v>147</v>
      </c>
      <c r="I90" s="92"/>
      <c r="J90" s="454">
        <v>201.50851585835957</v>
      </c>
      <c r="K90" s="289"/>
      <c r="L90" s="340">
        <v>201.50851585835957</v>
      </c>
      <c r="M90" s="340">
        <v>216.9821633196369</v>
      </c>
      <c r="N90" s="340">
        <v>231.50060659163574</v>
      </c>
      <c r="O90" s="340">
        <v>244.56412640549283</v>
      </c>
      <c r="P90" s="340">
        <v>268.45735406325707</v>
      </c>
    </row>
    <row r="91" spans="3:18" x14ac:dyDescent="0.25">
      <c r="C91" s="86"/>
      <c r="F91" s="99" t="s">
        <v>1008</v>
      </c>
      <c r="G91" s="92" t="s">
        <v>107</v>
      </c>
      <c r="H91" s="92" t="s">
        <v>147</v>
      </c>
      <c r="I91" s="92"/>
      <c r="J91" s="454">
        <v>254.9737271060776</v>
      </c>
      <c r="K91" s="289"/>
      <c r="L91" s="340">
        <v>254.9737271060776</v>
      </c>
      <c r="M91" s="340">
        <v>291.52827657746826</v>
      </c>
      <c r="N91" s="340">
        <v>297.57279617044418</v>
      </c>
      <c r="O91" s="340">
        <v>290.16902931349722</v>
      </c>
      <c r="P91" s="340">
        <v>294.05928733309145</v>
      </c>
    </row>
    <row r="92" spans="3:18" x14ac:dyDescent="0.25">
      <c r="C92" s="86"/>
      <c r="F92" s="99" t="s">
        <v>1009</v>
      </c>
      <c r="G92" s="92" t="s">
        <v>107</v>
      </c>
      <c r="H92" s="92" t="s">
        <v>147</v>
      </c>
      <c r="I92" s="92"/>
      <c r="J92" s="454">
        <v>454.98993426635548</v>
      </c>
      <c r="K92" s="289"/>
      <c r="L92" s="340">
        <v>454.98993426635548</v>
      </c>
      <c r="M92" s="340">
        <v>570.30702460898999</v>
      </c>
      <c r="N92" s="340">
        <v>544.79344572471473</v>
      </c>
      <c r="O92" s="340">
        <v>461.15349831698808</v>
      </c>
      <c r="P92" s="340">
        <v>390.63717321545158</v>
      </c>
    </row>
    <row r="93" spans="3:18" s="293" customFormat="1" x14ac:dyDescent="0.25">
      <c r="C93" s="86"/>
      <c r="D93" s="98"/>
      <c r="E93" s="98"/>
      <c r="F93" s="99" t="s">
        <v>931</v>
      </c>
      <c r="G93" s="196" t="s">
        <v>107</v>
      </c>
      <c r="H93" s="196" t="s">
        <v>147</v>
      </c>
      <c r="I93" s="196"/>
      <c r="J93" s="454">
        <v>0</v>
      </c>
      <c r="K93" s="289"/>
      <c r="L93" s="340">
        <v>0</v>
      </c>
      <c r="M93" s="340">
        <v>0</v>
      </c>
      <c r="N93" s="340">
        <v>0</v>
      </c>
      <c r="O93" s="340">
        <v>0</v>
      </c>
      <c r="P93" s="340">
        <v>0</v>
      </c>
    </row>
    <row r="94" spans="3:18" s="293" customFormat="1" x14ac:dyDescent="0.25">
      <c r="C94" s="86"/>
      <c r="D94" s="98"/>
      <c r="E94" s="98"/>
      <c r="F94" s="99" t="s">
        <v>1010</v>
      </c>
      <c r="G94" s="196" t="s">
        <v>107</v>
      </c>
      <c r="H94" s="196" t="s">
        <v>147</v>
      </c>
      <c r="I94" s="196"/>
      <c r="J94" s="454">
        <v>0</v>
      </c>
      <c r="K94" s="289"/>
      <c r="L94" s="340">
        <v>0</v>
      </c>
      <c r="M94" s="340">
        <v>0</v>
      </c>
      <c r="N94" s="340">
        <v>0</v>
      </c>
      <c r="O94" s="340">
        <v>0</v>
      </c>
      <c r="P94" s="340">
        <v>0</v>
      </c>
    </row>
    <row r="95" spans="3:18" s="293" customFormat="1" x14ac:dyDescent="0.25">
      <c r="C95" s="86"/>
      <c r="D95" s="98"/>
      <c r="E95" s="98"/>
      <c r="F95" s="99" t="s">
        <v>1011</v>
      </c>
      <c r="G95" s="196" t="s">
        <v>107</v>
      </c>
      <c r="H95" s="196" t="s">
        <v>147</v>
      </c>
      <c r="I95" s="196"/>
      <c r="J95" s="454">
        <v>2578.1943603162067</v>
      </c>
      <c r="K95" s="289"/>
      <c r="L95" s="340">
        <v>2578.1943603162067</v>
      </c>
      <c r="M95" s="340">
        <v>2775.7806985975394</v>
      </c>
      <c r="N95" s="340">
        <v>3001.2993026120848</v>
      </c>
      <c r="O95" s="340">
        <v>3221.7838664255873</v>
      </c>
      <c r="P95" s="340">
        <v>3582.1755932561923</v>
      </c>
    </row>
    <row r="96" spans="3:18" x14ac:dyDescent="0.25">
      <c r="C96" s="86"/>
      <c r="F96" s="99" t="s">
        <v>1012</v>
      </c>
      <c r="G96" s="92" t="s">
        <v>107</v>
      </c>
      <c r="H96" s="92" t="s">
        <v>147</v>
      </c>
      <c r="I96" s="92"/>
      <c r="J96" s="454">
        <v>8918.8679149628897</v>
      </c>
      <c r="K96" s="289"/>
      <c r="L96" s="340">
        <v>8918.8679149628897</v>
      </c>
      <c r="M96" s="340">
        <v>9408.0999790455353</v>
      </c>
      <c r="N96" s="340">
        <v>10366.090560050445</v>
      </c>
      <c r="O96" s="340">
        <v>11445.470242462483</v>
      </c>
      <c r="P96" s="340">
        <v>13041.648716304429</v>
      </c>
    </row>
    <row r="97" spans="3:16" x14ac:dyDescent="0.25">
      <c r="C97" s="86"/>
      <c r="F97" s="99" t="s">
        <v>1013</v>
      </c>
      <c r="G97" s="92" t="s">
        <v>107</v>
      </c>
      <c r="H97" s="92" t="s">
        <v>147</v>
      </c>
      <c r="I97" s="92"/>
      <c r="J97" s="454">
        <v>18558.176943923183</v>
      </c>
      <c r="K97" s="289"/>
      <c r="L97" s="340">
        <v>18558.176943923183</v>
      </c>
      <c r="M97" s="340">
        <v>19423.529306765115</v>
      </c>
      <c r="N97" s="340">
        <v>21547.888788886274</v>
      </c>
      <c r="O97" s="340">
        <v>24033.060344080553</v>
      </c>
      <c r="P97" s="340">
        <v>27617.666108627986</v>
      </c>
    </row>
    <row r="98" spans="3:16" x14ac:dyDescent="0.25">
      <c r="C98" s="86"/>
      <c r="F98" s="99" t="s">
        <v>1014</v>
      </c>
      <c r="G98" s="92" t="s">
        <v>107</v>
      </c>
      <c r="H98" s="92" t="s">
        <v>147</v>
      </c>
      <c r="I98" s="92"/>
      <c r="J98" s="454">
        <v>28659.8096761825</v>
      </c>
      <c r="K98" s="289"/>
      <c r="L98" s="340">
        <v>28659.8096761825</v>
      </c>
      <c r="M98" s="340">
        <v>30407.315084096466</v>
      </c>
      <c r="N98" s="340">
        <v>33370.392261313013</v>
      </c>
      <c r="O98" s="340">
        <v>36603.660509748959</v>
      </c>
      <c r="P98" s="340">
        <v>41476.248401671088</v>
      </c>
    </row>
    <row r="99" spans="3:16" x14ac:dyDescent="0.25">
      <c r="C99" s="86"/>
      <c r="F99" s="99" t="s">
        <v>1015</v>
      </c>
      <c r="G99" s="92" t="s">
        <v>107</v>
      </c>
      <c r="H99" s="92" t="s">
        <v>147</v>
      </c>
      <c r="I99" s="92"/>
      <c r="J99" s="454">
        <v>0</v>
      </c>
      <c r="K99" s="289"/>
      <c r="L99" s="340">
        <v>0</v>
      </c>
      <c r="M99" s="340">
        <v>0</v>
      </c>
      <c r="N99" s="340">
        <v>0</v>
      </c>
      <c r="O99" s="340">
        <v>0</v>
      </c>
      <c r="P99" s="340">
        <v>0</v>
      </c>
    </row>
    <row r="100" spans="3:16" x14ac:dyDescent="0.25">
      <c r="C100" s="86"/>
      <c r="F100" s="99" t="s">
        <v>1016</v>
      </c>
      <c r="G100" s="92" t="s">
        <v>107</v>
      </c>
      <c r="H100" s="92" t="s">
        <v>147</v>
      </c>
      <c r="I100" s="92"/>
      <c r="J100" s="454">
        <v>6812.1770885152955</v>
      </c>
      <c r="K100" s="289"/>
      <c r="L100" s="340">
        <v>6812.1770885152955</v>
      </c>
      <c r="M100" s="340">
        <v>7155.271462437976</v>
      </c>
      <c r="N100" s="340">
        <v>8018.9770553637318</v>
      </c>
      <c r="O100" s="340">
        <v>9029.8226522155765</v>
      </c>
      <c r="P100" s="340">
        <v>10500.792094239629</v>
      </c>
    </row>
    <row r="101" spans="3:16" x14ac:dyDescent="0.25">
      <c r="C101" s="86"/>
      <c r="F101" s="99" t="s">
        <v>1017</v>
      </c>
      <c r="G101" s="92" t="s">
        <v>107</v>
      </c>
      <c r="H101" s="92" t="s">
        <v>147</v>
      </c>
      <c r="I101" s="92"/>
      <c r="J101" s="454">
        <v>18795.634420746421</v>
      </c>
      <c r="K101" s="289"/>
      <c r="L101" s="340">
        <v>18795.634420746421</v>
      </c>
      <c r="M101" s="340">
        <v>19617.914805795503</v>
      </c>
      <c r="N101" s="340">
        <v>22115.442307258334</v>
      </c>
      <c r="O101" s="340">
        <v>25109.239842162053</v>
      </c>
      <c r="P101" s="340">
        <v>29396.049609332211</v>
      </c>
    </row>
    <row r="102" spans="3:16" x14ac:dyDescent="0.25">
      <c r="C102" s="86"/>
      <c r="F102" s="99" t="s">
        <v>1018</v>
      </c>
      <c r="G102" s="92" t="s">
        <v>107</v>
      </c>
      <c r="H102" s="92" t="s">
        <v>147</v>
      </c>
      <c r="I102" s="92"/>
      <c r="J102" s="454">
        <v>40323.017824168484</v>
      </c>
      <c r="K102" s="289"/>
      <c r="L102" s="340">
        <v>40323.017824168484</v>
      </c>
      <c r="M102" s="340">
        <v>41799.683442209731</v>
      </c>
      <c r="N102" s="340">
        <v>47403.918415825501</v>
      </c>
      <c r="O102" s="340">
        <v>54278.883106268986</v>
      </c>
      <c r="P102" s="340">
        <v>63978.303581726112</v>
      </c>
    </row>
    <row r="103" spans="3:16" x14ac:dyDescent="0.25">
      <c r="C103" s="86"/>
      <c r="F103" s="99" t="s">
        <v>1019</v>
      </c>
      <c r="G103" s="92" t="s">
        <v>107</v>
      </c>
      <c r="H103" s="92" t="s">
        <v>147</v>
      </c>
      <c r="I103" s="92"/>
      <c r="J103" s="454">
        <v>0</v>
      </c>
      <c r="K103" s="289"/>
      <c r="L103" s="340">
        <v>0</v>
      </c>
      <c r="M103" s="340">
        <v>0</v>
      </c>
      <c r="N103" s="340">
        <v>0</v>
      </c>
      <c r="O103" s="340">
        <v>0</v>
      </c>
      <c r="P103" s="340">
        <v>0</v>
      </c>
    </row>
    <row r="104" spans="3:16" s="293" customFormat="1" x14ac:dyDescent="0.25">
      <c r="C104" s="86"/>
      <c r="D104" s="98"/>
      <c r="E104" s="98"/>
      <c r="F104" s="99" t="s">
        <v>1020</v>
      </c>
      <c r="G104" s="196" t="s">
        <v>107</v>
      </c>
      <c r="H104" s="196" t="s">
        <v>147</v>
      </c>
      <c r="I104" s="196"/>
      <c r="J104" s="454">
        <v>0</v>
      </c>
      <c r="K104" s="289"/>
      <c r="L104" s="340">
        <v>0</v>
      </c>
      <c r="M104" s="340">
        <v>0</v>
      </c>
      <c r="N104" s="340">
        <v>0</v>
      </c>
      <c r="O104" s="340">
        <v>0</v>
      </c>
      <c r="P104" s="340">
        <v>0</v>
      </c>
    </row>
    <row r="105" spans="3:16" s="293" customFormat="1" x14ac:dyDescent="0.25">
      <c r="C105" s="86"/>
      <c r="D105" s="98"/>
      <c r="E105" s="98"/>
      <c r="F105" s="99" t="s">
        <v>1021</v>
      </c>
      <c r="G105" s="196" t="s">
        <v>107</v>
      </c>
      <c r="H105" s="196" t="s">
        <v>147</v>
      </c>
      <c r="I105" s="196"/>
      <c r="J105" s="454">
        <v>11451.573571425226</v>
      </c>
      <c r="K105" s="289"/>
      <c r="L105" s="340">
        <v>11451.573571425226</v>
      </c>
      <c r="M105" s="340">
        <v>13341.00632778301</v>
      </c>
      <c r="N105" s="340">
        <v>13374.640269980524</v>
      </c>
      <c r="O105" s="340">
        <v>12647.45327610122</v>
      </c>
      <c r="P105" s="340">
        <v>12325.264513704193</v>
      </c>
    </row>
    <row r="106" spans="3:16" s="293" customFormat="1" x14ac:dyDescent="0.25">
      <c r="C106" s="86"/>
      <c r="D106" s="98"/>
      <c r="E106" s="98"/>
      <c r="F106" s="99" t="s">
        <v>1022</v>
      </c>
      <c r="G106" s="196" t="s">
        <v>107</v>
      </c>
      <c r="H106" s="196" t="s">
        <v>147</v>
      </c>
      <c r="I106" s="196"/>
      <c r="J106" s="454">
        <v>32304.980063974959</v>
      </c>
      <c r="K106" s="289"/>
      <c r="L106" s="340">
        <v>32304.980063974959</v>
      </c>
      <c r="M106" s="340">
        <v>39192.076436658637</v>
      </c>
      <c r="N106" s="340">
        <v>38304.806546971129</v>
      </c>
      <c r="O106" s="340">
        <v>34213.498523840382</v>
      </c>
      <c r="P106" s="340">
        <v>31103.447733837216</v>
      </c>
    </row>
    <row r="107" spans="3:16" s="293" customFormat="1" x14ac:dyDescent="0.25">
      <c r="C107" s="86"/>
      <c r="D107" s="98"/>
      <c r="E107" s="98"/>
      <c r="F107" s="99" t="s">
        <v>1023</v>
      </c>
      <c r="G107" s="196" t="s">
        <v>107</v>
      </c>
      <c r="H107" s="196" t="s">
        <v>147</v>
      </c>
      <c r="I107" s="196"/>
      <c r="J107" s="454">
        <v>64551.198381640017</v>
      </c>
      <c r="K107" s="289"/>
      <c r="L107" s="340">
        <v>64551.198381640017</v>
      </c>
      <c r="M107" s="340">
        <v>78485.011168508179</v>
      </c>
      <c r="N107" s="340">
        <v>76676.446428570649</v>
      </c>
      <c r="O107" s="340">
        <v>68355.82687586041</v>
      </c>
      <c r="P107" s="340">
        <v>61989.627310215874</v>
      </c>
    </row>
    <row r="108" spans="3:16" s="293" customFormat="1" x14ac:dyDescent="0.25">
      <c r="C108" s="86"/>
      <c r="D108" s="98"/>
      <c r="E108" s="98"/>
      <c r="F108" s="99" t="s">
        <v>1024</v>
      </c>
      <c r="G108" s="196" t="s">
        <v>107</v>
      </c>
      <c r="H108" s="196" t="s">
        <v>147</v>
      </c>
      <c r="I108" s="196"/>
      <c r="J108" s="454">
        <v>120579.30749549087</v>
      </c>
      <c r="K108" s="289"/>
      <c r="L108" s="340">
        <v>120579.30749549087</v>
      </c>
      <c r="M108" s="340">
        <v>146749.59889262333</v>
      </c>
      <c r="N108" s="340">
        <v>143345.56770463177</v>
      </c>
      <c r="O108" s="340">
        <v>127686.69245768564</v>
      </c>
      <c r="P108" s="340">
        <v>115674.08134878098</v>
      </c>
    </row>
    <row r="109" spans="3:16" s="293" customFormat="1" x14ac:dyDescent="0.25">
      <c r="C109" s="86"/>
      <c r="D109" s="98"/>
      <c r="E109" s="98"/>
      <c r="F109" s="99" t="s">
        <v>935</v>
      </c>
      <c r="G109" s="196" t="s">
        <v>107</v>
      </c>
      <c r="H109" s="196" t="s">
        <v>147</v>
      </c>
      <c r="I109" s="196"/>
      <c r="J109" s="454">
        <v>63.350044805921115</v>
      </c>
      <c r="K109" s="289"/>
      <c r="L109" s="340">
        <v>63.350044805921115</v>
      </c>
      <c r="M109" s="340">
        <v>72.476522587093982</v>
      </c>
      <c r="N109" s="340">
        <v>72.44847199762124</v>
      </c>
      <c r="O109" s="340">
        <v>69.224480370073323</v>
      </c>
      <c r="P109" s="340">
        <v>68.832330631448144</v>
      </c>
    </row>
    <row r="110" spans="3:16" s="293" customFormat="1" x14ac:dyDescent="0.25">
      <c r="C110" s="86"/>
      <c r="D110" s="98"/>
      <c r="E110" s="98"/>
      <c r="F110" s="99" t="s">
        <v>936</v>
      </c>
      <c r="G110" s="196" t="s">
        <v>107</v>
      </c>
      <c r="H110" s="196" t="s">
        <v>147</v>
      </c>
      <c r="I110" s="196"/>
      <c r="J110" s="454">
        <v>0</v>
      </c>
      <c r="K110" s="289"/>
      <c r="L110" s="340">
        <v>0</v>
      </c>
      <c r="M110" s="340">
        <v>0</v>
      </c>
      <c r="N110" s="340">
        <v>0</v>
      </c>
      <c r="O110" s="340">
        <v>0</v>
      </c>
      <c r="P110" s="340">
        <v>0</v>
      </c>
    </row>
    <row r="111" spans="3:16" s="293" customFormat="1" x14ac:dyDescent="0.25">
      <c r="C111" s="86"/>
      <c r="D111" s="98"/>
      <c r="E111" s="98"/>
      <c r="F111" s="99" t="s">
        <v>937</v>
      </c>
      <c r="G111" s="196" t="s">
        <v>107</v>
      </c>
      <c r="H111" s="196" t="s">
        <v>147</v>
      </c>
      <c r="I111" s="196"/>
      <c r="J111" s="454">
        <v>0</v>
      </c>
      <c r="K111" s="289"/>
      <c r="L111" s="340">
        <v>0</v>
      </c>
      <c r="M111" s="340">
        <v>0</v>
      </c>
      <c r="N111" s="340">
        <v>0</v>
      </c>
      <c r="O111" s="340">
        <v>0</v>
      </c>
      <c r="P111" s="340">
        <v>0</v>
      </c>
    </row>
    <row r="112" spans="3:16" s="293" customFormat="1" x14ac:dyDescent="0.25">
      <c r="C112" s="86"/>
      <c r="D112" s="98"/>
      <c r="E112" s="98"/>
      <c r="F112" s="99" t="s">
        <v>938</v>
      </c>
      <c r="G112" s="196" t="s">
        <v>107</v>
      </c>
      <c r="H112" s="196" t="s">
        <v>147</v>
      </c>
      <c r="I112" s="196"/>
      <c r="J112" s="454">
        <v>-3928.2030370000002</v>
      </c>
      <c r="K112" s="289"/>
      <c r="L112" s="340">
        <v>-3928.2030370000002</v>
      </c>
      <c r="M112" s="340">
        <v>-3993.6206930000003</v>
      </c>
      <c r="N112" s="340">
        <v>-4503.6358139999993</v>
      </c>
      <c r="O112" s="340">
        <v>-5216.4728989999994</v>
      </c>
      <c r="P112" s="340">
        <v>-6196.9435710000007</v>
      </c>
    </row>
    <row r="113" spans="2:18" s="293" customFormat="1" x14ac:dyDescent="0.25">
      <c r="C113" s="86"/>
      <c r="D113" s="98"/>
      <c r="E113" s="98"/>
      <c r="F113" s="99" t="s">
        <v>939</v>
      </c>
      <c r="G113" s="196" t="s">
        <v>107</v>
      </c>
      <c r="H113" s="196" t="s">
        <v>147</v>
      </c>
      <c r="I113" s="196"/>
      <c r="J113" s="239">
        <v>0</v>
      </c>
      <c r="K113" s="289"/>
      <c r="L113" s="520">
        <v>0</v>
      </c>
      <c r="M113" s="520">
        <v>0</v>
      </c>
      <c r="N113" s="520">
        <v>0</v>
      </c>
      <c r="O113" s="520">
        <v>0</v>
      </c>
      <c r="P113" s="520">
        <v>0</v>
      </c>
    </row>
    <row r="114" spans="2:18" s="293" customFormat="1" x14ac:dyDescent="0.25">
      <c r="C114" s="86"/>
      <c r="D114" s="98"/>
      <c r="E114" s="98"/>
      <c r="F114" s="99" t="s">
        <v>940</v>
      </c>
      <c r="G114" s="196" t="s">
        <v>107</v>
      </c>
      <c r="H114" s="196" t="s">
        <v>147</v>
      </c>
      <c r="I114" s="196"/>
      <c r="J114" s="514">
        <v>0</v>
      </c>
      <c r="K114" s="289"/>
      <c r="L114" s="340">
        <v>0</v>
      </c>
      <c r="M114" s="340">
        <v>0</v>
      </c>
      <c r="N114" s="340">
        <v>0</v>
      </c>
      <c r="O114" s="340">
        <v>0</v>
      </c>
      <c r="P114" s="340">
        <v>0</v>
      </c>
    </row>
    <row r="115" spans="2:18" s="293" customFormat="1" x14ac:dyDescent="0.25">
      <c r="C115" s="86"/>
      <c r="D115" s="98"/>
      <c r="E115" s="98"/>
      <c r="F115" s="99" t="s">
        <v>941</v>
      </c>
      <c r="G115" s="196" t="s">
        <v>107</v>
      </c>
      <c r="H115" s="196" t="s">
        <v>147</v>
      </c>
      <c r="I115" s="196"/>
      <c r="J115" s="239">
        <v>0</v>
      </c>
      <c r="K115" s="289"/>
      <c r="L115" s="520">
        <v>0</v>
      </c>
      <c r="M115" s="520">
        <v>0</v>
      </c>
      <c r="N115" s="520">
        <v>0</v>
      </c>
      <c r="O115" s="520">
        <v>0</v>
      </c>
      <c r="P115" s="520">
        <v>0</v>
      </c>
    </row>
    <row r="116" spans="2:18" s="293" customFormat="1" x14ac:dyDescent="0.25">
      <c r="C116" s="86"/>
      <c r="D116" s="98"/>
      <c r="E116" s="98"/>
      <c r="F116" s="99" t="s">
        <v>942</v>
      </c>
      <c r="G116" s="196" t="s">
        <v>107</v>
      </c>
      <c r="H116" s="196" t="s">
        <v>147</v>
      </c>
      <c r="I116" s="196"/>
      <c r="J116" s="454">
        <v>0</v>
      </c>
      <c r="K116" s="289"/>
      <c r="L116" s="340">
        <v>0</v>
      </c>
      <c r="M116" s="340">
        <v>0</v>
      </c>
      <c r="N116" s="340">
        <v>0</v>
      </c>
      <c r="O116" s="340">
        <v>0</v>
      </c>
      <c r="P116" s="340">
        <v>0</v>
      </c>
    </row>
    <row r="117" spans="2:18" x14ac:dyDescent="0.25">
      <c r="C117" s="86"/>
      <c r="F117" s="100" t="s">
        <v>943</v>
      </c>
      <c r="G117" s="93" t="s">
        <v>107</v>
      </c>
      <c r="H117" s="93" t="s">
        <v>147</v>
      </c>
      <c r="I117" s="93"/>
      <c r="J117" s="240">
        <v>0</v>
      </c>
      <c r="K117" s="291"/>
      <c r="L117" s="343">
        <v>0</v>
      </c>
      <c r="M117" s="343">
        <v>0</v>
      </c>
      <c r="N117" s="343">
        <v>0</v>
      </c>
      <c r="O117" s="343">
        <v>0</v>
      </c>
      <c r="P117" s="343">
        <v>0</v>
      </c>
    </row>
    <row r="118" spans="2:18" x14ac:dyDescent="0.25">
      <c r="D118" s="85"/>
      <c r="E118" s="85"/>
    </row>
    <row r="119" spans="2:18" x14ac:dyDescent="0.2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25">
      <c r="D121" s="85"/>
      <c r="E121" s="85" t="s">
        <v>416</v>
      </c>
      <c r="G121" s="60" t="s">
        <v>589</v>
      </c>
      <c r="H121" s="310">
        <f t="array" ref="H121">SUM(IF(ISERROR($I$17:$Q$118), 1))</f>
        <v>0</v>
      </c>
    </row>
    <row r="123" spans="2:18" x14ac:dyDescent="0.2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4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433340-7BEC-4F3D-99D4-81DABA0ADC90}">
  <ds:schemaRefs>
    <ds:schemaRef ds:uri="http://schemas.microsoft.com/office/2006/documentManagement/types"/>
    <ds:schemaRef ds:uri="56525fcc-fd9b-4a18-b571-66fa38027e5b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6EC3F2C-9A92-4E8D-AB11-EDF88363CB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McFadzean</dc:creator>
  <cp:lastModifiedBy>Iberdrola S.A.</cp:lastModifiedBy>
  <cp:revision/>
  <cp:lastPrinted>2018-05-04T14:21:24Z</cp:lastPrinted>
  <dcterms:created xsi:type="dcterms:W3CDTF">2017-07-12T09:37:31Z</dcterms:created>
  <dcterms:modified xsi:type="dcterms:W3CDTF">2020-12-29T14:07:16Z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