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ornostixsa-my.sharepoint.com/personal/georgen_motornostix_com/Documents/George/Personal/Church/Stockvel/Website/Financials/"/>
    </mc:Choice>
  </mc:AlternateContent>
  <xr:revisionPtr revIDLastSave="0" documentId="8_{40239E28-8987-444C-8E62-269D8759658E}" xr6:coauthVersionLast="47" xr6:coauthVersionMax="47" xr10:uidLastSave="{00000000-0000-0000-0000-000000000000}"/>
  <bookViews>
    <workbookView xWindow="-108" yWindow="-108" windowWidth="23256" windowHeight="12576" xr2:uid="{108AD70E-18C5-4DB7-B5C4-A96C1CE2193B}"/>
  </bookViews>
  <sheets>
    <sheet name="Contributions" sheetId="5" r:id="rId1"/>
    <sheet name="2023 Cashflows" sheetId="2" r:id="rId2"/>
    <sheet name="2023 Projections" sheetId="1" r:id="rId3"/>
    <sheet name="2024 Projections" sheetId="3" r:id="rId4"/>
    <sheet name="2024 Cashflow" sheetId="4" r:id="rId5"/>
    <sheet name="2025 Projections" sheetId="7" r:id="rId6"/>
    <sheet name="Bank Rates" sheetId="6" r:id="rId7"/>
  </sheets>
  <definedNames>
    <definedName name="Apr">Contributions!$CU$5:$DX$12</definedName>
    <definedName name="Aug">Contributions!$HV$5:$IZ$12</definedName>
    <definedName name="Dec">Contributions!$MR$5:$NV$12</definedName>
    <definedName name="Feb">Contributions!$AI$5:$BJ$12</definedName>
    <definedName name="Jan">Contributions!$C$5:$AG$12</definedName>
    <definedName name="Jul">Contributions!$GP$5:$HT$12</definedName>
    <definedName name="Jun">Contributions!$FJ$5:$GM$12</definedName>
    <definedName name="Mar">Contributions!$BN$5:$CR$12</definedName>
    <definedName name="May">Contributions!$EA$5:$FE$12</definedName>
    <definedName name="Nov">Contributions!$LM$5:$MP$12</definedName>
    <definedName name="Oct">Contributions!$KG$5:$LK$12</definedName>
    <definedName name="Sep">Contributions!$JB$5:$KE$12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5" l="1"/>
  <c r="C31" i="5"/>
  <c r="GN6" i="5"/>
  <c r="D25" i="1"/>
  <c r="E20" i="5"/>
  <c r="D41" i="2"/>
  <c r="FF13" i="5"/>
  <c r="FG10" i="5" s="1"/>
  <c r="FH13" i="5"/>
  <c r="FH10" i="5"/>
  <c r="BL13" i="5"/>
  <c r="BL5" i="5" s="1"/>
  <c r="R8" i="2"/>
  <c r="D37" i="2"/>
  <c r="A49" i="2"/>
  <c r="A50" i="2" s="1"/>
  <c r="DZ10" i="5"/>
  <c r="DZ8" i="5"/>
  <c r="DZ7" i="5"/>
  <c r="DZ5" i="5"/>
  <c r="DY13" i="5"/>
  <c r="DY5" i="5" s="1"/>
  <c r="D39" i="2"/>
  <c r="R7" i="2"/>
  <c r="R5" i="2"/>
  <c r="GN10" i="5" l="1"/>
  <c r="GN7" i="5"/>
  <c r="GN9" i="5"/>
  <c r="GN11" i="5"/>
  <c r="GN8" i="5"/>
  <c r="GN5" i="5"/>
  <c r="FH11" i="5"/>
  <c r="FH8" i="5"/>
  <c r="FI8" i="5" s="1"/>
  <c r="FH7" i="5"/>
  <c r="FH9" i="5"/>
  <c r="FH5" i="5"/>
  <c r="FH6" i="5"/>
  <c r="FF10" i="5"/>
  <c r="FF5" i="5"/>
  <c r="FG5" i="5" s="1"/>
  <c r="FF11" i="5"/>
  <c r="FF6" i="5"/>
  <c r="FF7" i="5"/>
  <c r="FF8" i="5"/>
  <c r="FF9" i="5"/>
  <c r="FG9" i="5" s="1"/>
  <c r="DY9" i="5"/>
  <c r="BK13" i="5"/>
  <c r="BK11" i="5" s="1"/>
  <c r="BL11" i="5"/>
  <c r="BM10" i="5"/>
  <c r="BM9" i="5"/>
  <c r="BM8" i="5"/>
  <c r="CS13" i="5"/>
  <c r="CS6" i="5" s="1"/>
  <c r="BM7" i="5"/>
  <c r="BM6" i="5"/>
  <c r="BL10" i="5"/>
  <c r="BL9" i="5"/>
  <c r="BL7" i="5"/>
  <c r="BL6" i="5"/>
  <c r="AH10" i="5"/>
  <c r="AH8" i="5"/>
  <c r="AH7" i="5"/>
  <c r="AH6" i="5"/>
  <c r="AH5" i="5"/>
  <c r="CT5" i="5"/>
  <c r="CT7" i="5"/>
  <c r="CT8" i="5"/>
  <c r="CT10" i="5"/>
  <c r="D10" i="2"/>
  <c r="B5" i="2"/>
  <c r="B19" i="2" s="1"/>
  <c r="B6" i="2"/>
  <c r="B20" i="2" s="1"/>
  <c r="C20" i="2" s="1"/>
  <c r="B7" i="2"/>
  <c r="B21" i="2" s="1"/>
  <c r="B8" i="2"/>
  <c r="B22" i="2" s="1"/>
  <c r="B9" i="2"/>
  <c r="B23" i="2" s="1"/>
  <c r="B10" i="2"/>
  <c r="B24" i="2" s="1"/>
  <c r="C10" i="2"/>
  <c r="C11" i="2"/>
  <c r="B54" i="1"/>
  <c r="C5" i="2"/>
  <c r="C6" i="2"/>
  <c r="C7" i="2"/>
  <c r="C8" i="2"/>
  <c r="AG11" i="5"/>
  <c r="B11" i="2" s="1"/>
  <c r="C9" i="2"/>
  <c r="Q4" i="2"/>
  <c r="Q5" i="2"/>
  <c r="AG12" i="5"/>
  <c r="B12" i="2" s="1"/>
  <c r="C12" i="2"/>
  <c r="Q6" i="2"/>
  <c r="D9" i="2"/>
  <c r="D8" i="2"/>
  <c r="D7" i="2"/>
  <c r="D6" i="2"/>
  <c r="D5" i="2"/>
  <c r="D11" i="2"/>
  <c r="D12" i="2"/>
  <c r="E10" i="2"/>
  <c r="Q7" i="2"/>
  <c r="E9" i="2"/>
  <c r="E8" i="2"/>
  <c r="E7" i="2"/>
  <c r="E6" i="2"/>
  <c r="E5" i="2"/>
  <c r="E11" i="2"/>
  <c r="E12" i="2"/>
  <c r="F10" i="2"/>
  <c r="Q8" i="2"/>
  <c r="F9" i="2"/>
  <c r="F8" i="2"/>
  <c r="F7" i="2"/>
  <c r="F6" i="2"/>
  <c r="F5" i="2"/>
  <c r="F11" i="2"/>
  <c r="F12" i="2"/>
  <c r="G10" i="2"/>
  <c r="Q9" i="2"/>
  <c r="G9" i="2"/>
  <c r="G8" i="2"/>
  <c r="G7" i="2"/>
  <c r="G6" i="2"/>
  <c r="G5" i="2"/>
  <c r="G11" i="2"/>
  <c r="G12" i="2"/>
  <c r="L26" i="2" s="1"/>
  <c r="H10" i="2"/>
  <c r="N24" i="2" s="1"/>
  <c r="Q10" i="2"/>
  <c r="H9" i="2"/>
  <c r="N23" i="2" s="1"/>
  <c r="H8" i="2"/>
  <c r="N22" i="2" s="1"/>
  <c r="H7" i="2"/>
  <c r="N21" i="2" s="1"/>
  <c r="H6" i="2"/>
  <c r="N20" i="2" s="1"/>
  <c r="H5" i="2"/>
  <c r="N19" i="2" s="1"/>
  <c r="H11" i="2"/>
  <c r="N25" i="2" s="1"/>
  <c r="H12" i="2"/>
  <c r="N26" i="2" s="1"/>
  <c r="I10" i="2"/>
  <c r="P24" i="2" s="1"/>
  <c r="Q11" i="2"/>
  <c r="I9" i="2"/>
  <c r="P23" i="2" s="1"/>
  <c r="Q23" i="2" s="1"/>
  <c r="I8" i="2"/>
  <c r="P22" i="2" s="1"/>
  <c r="I7" i="2"/>
  <c r="P21" i="2" s="1"/>
  <c r="I6" i="2"/>
  <c r="P20" i="2" s="1"/>
  <c r="I5" i="2"/>
  <c r="P19" i="2" s="1"/>
  <c r="I11" i="2"/>
  <c r="P25" i="2" s="1"/>
  <c r="I12" i="2"/>
  <c r="P26" i="2" s="1"/>
  <c r="J10" i="2"/>
  <c r="R24" i="2" s="1"/>
  <c r="Q12" i="2"/>
  <c r="J9" i="2"/>
  <c r="R23" i="2" s="1"/>
  <c r="J8" i="2"/>
  <c r="R22" i="2" s="1"/>
  <c r="J7" i="2"/>
  <c r="J6" i="2"/>
  <c r="R20" i="2" s="1"/>
  <c r="J5" i="2"/>
  <c r="R19" i="2" s="1"/>
  <c r="J11" i="2"/>
  <c r="R25" i="2" s="1"/>
  <c r="J12" i="2"/>
  <c r="R26" i="2" s="1"/>
  <c r="K10" i="2"/>
  <c r="T24" i="2" s="1"/>
  <c r="Q13" i="2"/>
  <c r="K9" i="2"/>
  <c r="T23" i="2" s="1"/>
  <c r="K8" i="2"/>
  <c r="T22" i="2" s="1"/>
  <c r="K7" i="2"/>
  <c r="T21" i="2" s="1"/>
  <c r="K6" i="2"/>
  <c r="T20" i="2" s="1"/>
  <c r="K5" i="2"/>
  <c r="K11" i="2"/>
  <c r="T25" i="2" s="1"/>
  <c r="K12" i="2"/>
  <c r="T26" i="2" s="1"/>
  <c r="L10" i="2"/>
  <c r="V24" i="2" s="1"/>
  <c r="Q14" i="2"/>
  <c r="L9" i="2"/>
  <c r="V23" i="2" s="1"/>
  <c r="L8" i="2"/>
  <c r="V22" i="2" s="1"/>
  <c r="L7" i="2"/>
  <c r="V21" i="2" s="1"/>
  <c r="L6" i="2"/>
  <c r="V20" i="2" s="1"/>
  <c r="L5" i="2"/>
  <c r="V19" i="2" s="1"/>
  <c r="L11" i="2"/>
  <c r="V25" i="2" s="1"/>
  <c r="L12" i="2"/>
  <c r="V26" i="2" s="1"/>
  <c r="M6" i="2"/>
  <c r="X20" i="2" s="1"/>
  <c r="M7" i="2"/>
  <c r="X21" i="2" s="1"/>
  <c r="M8" i="2"/>
  <c r="X22" i="2" s="1"/>
  <c r="M9" i="2"/>
  <c r="X23" i="2" s="1"/>
  <c r="M10" i="2"/>
  <c r="X24" i="2" s="1"/>
  <c r="M11" i="2"/>
  <c r="X25" i="2" s="1"/>
  <c r="Y25" i="2" s="1"/>
  <c r="M12" i="2"/>
  <c r="X26" i="2" s="1"/>
  <c r="M5" i="2"/>
  <c r="Q15" i="2"/>
  <c r="N10" i="3"/>
  <c r="N8" i="3"/>
  <c r="N14" i="3"/>
  <c r="N13" i="1"/>
  <c r="B14" i="3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N12" i="7"/>
  <c r="N11" i="7"/>
  <c r="N10" i="7"/>
  <c r="N9" i="7"/>
  <c r="N8" i="7"/>
  <c r="N7" i="7"/>
  <c r="N6" i="7"/>
  <c r="D28" i="4"/>
  <c r="Q15" i="1"/>
  <c r="Q14" i="1"/>
  <c r="Q13" i="1"/>
  <c r="Q12" i="1"/>
  <c r="Q11" i="1"/>
  <c r="Q10" i="1"/>
  <c r="Q9" i="1"/>
  <c r="Q8" i="1"/>
  <c r="Q7" i="1"/>
  <c r="Q6" i="1"/>
  <c r="Q5" i="1"/>
  <c r="Q4" i="1"/>
  <c r="T4" i="1"/>
  <c r="T15" i="1"/>
  <c r="T14" i="1"/>
  <c r="T13" i="1"/>
  <c r="T12" i="1"/>
  <c r="T11" i="1"/>
  <c r="T10" i="1"/>
  <c r="T9" i="1"/>
  <c r="T8" i="1"/>
  <c r="T7" i="1"/>
  <c r="T6" i="1"/>
  <c r="T5" i="1"/>
  <c r="B24" i="1"/>
  <c r="B25" i="1"/>
  <c r="B26" i="1"/>
  <c r="B27" i="1"/>
  <c r="B28" i="1"/>
  <c r="B29" i="1"/>
  <c r="B30" i="1"/>
  <c r="C30" i="1" s="1"/>
  <c r="B23" i="1"/>
  <c r="B36" i="1"/>
  <c r="B37" i="1"/>
  <c r="B38" i="1"/>
  <c r="B39" i="1"/>
  <c r="B40" i="1"/>
  <c r="C40" i="1"/>
  <c r="B41" i="1"/>
  <c r="C41" i="1" s="1"/>
  <c r="D41" i="1" s="1"/>
  <c r="E41" i="1" s="1"/>
  <c r="F41" i="1" s="1"/>
  <c r="B42" i="1"/>
  <c r="C42" i="1" s="1"/>
  <c r="D42" i="1" s="1"/>
  <c r="B35" i="1"/>
  <c r="B48" i="1"/>
  <c r="B49" i="1"/>
  <c r="B50" i="1"/>
  <c r="B51" i="1"/>
  <c r="B52" i="1"/>
  <c r="B53" i="1"/>
  <c r="B47" i="1"/>
  <c r="W15" i="1"/>
  <c r="W14" i="1"/>
  <c r="W13" i="1"/>
  <c r="W12" i="1"/>
  <c r="W11" i="1"/>
  <c r="W10" i="1"/>
  <c r="W9" i="1"/>
  <c r="W8" i="1"/>
  <c r="W7" i="1"/>
  <c r="W6" i="1"/>
  <c r="W5" i="1"/>
  <c r="U3" i="6"/>
  <c r="W3" i="6"/>
  <c r="U5" i="6"/>
  <c r="W5" i="6"/>
  <c r="U4" i="6"/>
  <c r="W4" i="6"/>
  <c r="K10" i="6"/>
  <c r="K4" i="6"/>
  <c r="R4" i="6"/>
  <c r="R12" i="6"/>
  <c r="R11" i="6"/>
  <c r="R9" i="6"/>
  <c r="R7" i="6"/>
  <c r="K12" i="6"/>
  <c r="K6" i="6"/>
  <c r="K5" i="6"/>
  <c r="E6" i="6"/>
  <c r="E10" i="6"/>
  <c r="E11" i="6"/>
  <c r="E12" i="6"/>
  <c r="E5" i="6"/>
  <c r="E26" i="5"/>
  <c r="E25" i="5"/>
  <c r="E24" i="5"/>
  <c r="E23" i="5"/>
  <c r="E22" i="5"/>
  <c r="E21" i="5"/>
  <c r="E19" i="5"/>
  <c r="E18" i="5"/>
  <c r="E17" i="5"/>
  <c r="E16" i="5"/>
  <c r="M14" i="4"/>
  <c r="L14" i="4"/>
  <c r="K14" i="4"/>
  <c r="J14" i="4"/>
  <c r="I14" i="4"/>
  <c r="H14" i="4"/>
  <c r="G14" i="4"/>
  <c r="F14" i="4"/>
  <c r="E14" i="4"/>
  <c r="D14" i="4"/>
  <c r="C14" i="4"/>
  <c r="B14" i="4"/>
  <c r="M14" i="3"/>
  <c r="L14" i="3"/>
  <c r="K14" i="3"/>
  <c r="J14" i="3"/>
  <c r="I14" i="3"/>
  <c r="H14" i="3"/>
  <c r="G14" i="3"/>
  <c r="F14" i="3"/>
  <c r="E14" i="3"/>
  <c r="D14" i="3"/>
  <c r="C14" i="3"/>
  <c r="M14" i="1"/>
  <c r="D14" i="1"/>
  <c r="E14" i="1"/>
  <c r="F14" i="1"/>
  <c r="G14" i="1"/>
  <c r="H14" i="1"/>
  <c r="I14" i="1"/>
  <c r="J14" i="1"/>
  <c r="K14" i="1"/>
  <c r="L14" i="1"/>
  <c r="C14" i="1"/>
  <c r="B14" i="1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18" i="4"/>
  <c r="C18" i="4"/>
  <c r="N13" i="4"/>
  <c r="N12" i="4"/>
  <c r="N11" i="4"/>
  <c r="N10" i="4"/>
  <c r="N9" i="4"/>
  <c r="N8" i="4"/>
  <c r="N7" i="4"/>
  <c r="N6" i="4"/>
  <c r="N13" i="3"/>
  <c r="N12" i="3"/>
  <c r="N11" i="3"/>
  <c r="N9" i="3"/>
  <c r="N7" i="3"/>
  <c r="N6" i="3"/>
  <c r="N7" i="1"/>
  <c r="N8" i="1"/>
  <c r="N9" i="1"/>
  <c r="N10" i="1"/>
  <c r="N11" i="1"/>
  <c r="N12" i="1"/>
  <c r="N6" i="1"/>
  <c r="N14" i="7"/>
  <c r="C29" i="1"/>
  <c r="D29" i="1" s="1"/>
  <c r="E29" i="1" s="1"/>
  <c r="F29" i="1" s="1"/>
  <c r="C23" i="1"/>
  <c r="D23" i="1"/>
  <c r="E23" i="1"/>
  <c r="F23" i="1"/>
  <c r="G23" i="1"/>
  <c r="H23" i="1"/>
  <c r="V4" i="6"/>
  <c r="V5" i="6"/>
  <c r="X3" i="6"/>
  <c r="X4" i="6"/>
  <c r="V3" i="6"/>
  <c r="X5" i="6"/>
  <c r="C39" i="1"/>
  <c r="D39" i="1"/>
  <c r="E39" i="1"/>
  <c r="C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C24" i="1"/>
  <c r="D24" i="1"/>
  <c r="E24" i="1"/>
  <c r="F24" i="1"/>
  <c r="G24" i="1"/>
  <c r="H24" i="1"/>
  <c r="C27" i="1"/>
  <c r="D27" i="1"/>
  <c r="E27" i="1"/>
  <c r="F27" i="1"/>
  <c r="G27" i="1"/>
  <c r="H27" i="1"/>
  <c r="C28" i="1"/>
  <c r="D28" i="1"/>
  <c r="E28" i="1"/>
  <c r="F28" i="1"/>
  <c r="G28" i="1"/>
  <c r="H28" i="1"/>
  <c r="C26" i="1"/>
  <c r="D26" i="1"/>
  <c r="E26" i="1"/>
  <c r="F26" i="1"/>
  <c r="G26" i="1"/>
  <c r="H26" i="1"/>
  <c r="C35" i="1"/>
  <c r="D35" i="1"/>
  <c r="E35" i="1"/>
  <c r="F35" i="1"/>
  <c r="G35" i="1"/>
  <c r="C38" i="1"/>
  <c r="C37" i="1"/>
  <c r="D37" i="1"/>
  <c r="E37" i="1"/>
  <c r="C36" i="1"/>
  <c r="D36" i="1"/>
  <c r="E36" i="1"/>
  <c r="N14" i="4"/>
  <c r="D18" i="4"/>
  <c r="C26" i="4"/>
  <c r="B26" i="4"/>
  <c r="I23" i="1"/>
  <c r="I26" i="1"/>
  <c r="I24" i="1"/>
  <c r="I28" i="1"/>
  <c r="J28" i="1"/>
  <c r="I27" i="1"/>
  <c r="F37" i="1"/>
  <c r="F36" i="1"/>
  <c r="G36" i="1"/>
  <c r="D40" i="1"/>
  <c r="E40" i="1"/>
  <c r="D38" i="1"/>
  <c r="E38" i="1"/>
  <c r="F39" i="1"/>
  <c r="G39" i="1"/>
  <c r="E18" i="4"/>
  <c r="D26" i="4"/>
  <c r="G37" i="1"/>
  <c r="H37" i="1"/>
  <c r="I37" i="1"/>
  <c r="J37" i="1"/>
  <c r="K37" i="1"/>
  <c r="K28" i="1"/>
  <c r="L28" i="1"/>
  <c r="H36" i="1"/>
  <c r="I36" i="1"/>
  <c r="F40" i="1"/>
  <c r="G40" i="1"/>
  <c r="F38" i="1"/>
  <c r="G38" i="1"/>
  <c r="J26" i="1"/>
  <c r="K26" i="1"/>
  <c r="H35" i="1"/>
  <c r="I35" i="1"/>
  <c r="F18" i="4"/>
  <c r="E26" i="4"/>
  <c r="M28" i="1"/>
  <c r="N28" i="1"/>
  <c r="H40" i="1"/>
  <c r="I40" i="1"/>
  <c r="L37" i="1"/>
  <c r="M37" i="1"/>
  <c r="J36" i="1"/>
  <c r="H38" i="1"/>
  <c r="I38" i="1"/>
  <c r="H39" i="1"/>
  <c r="I39" i="1"/>
  <c r="J27" i="1"/>
  <c r="K27" i="1"/>
  <c r="G18" i="4"/>
  <c r="F26" i="4"/>
  <c r="K36" i="1"/>
  <c r="L36" i="1"/>
  <c r="M36" i="1"/>
  <c r="O28" i="1"/>
  <c r="P28" i="1"/>
  <c r="J24" i="1"/>
  <c r="L26" i="1"/>
  <c r="N37" i="1"/>
  <c r="O37" i="1"/>
  <c r="J39" i="1"/>
  <c r="K39" i="1"/>
  <c r="J38" i="1"/>
  <c r="K38" i="1"/>
  <c r="J40" i="1"/>
  <c r="K40" i="1"/>
  <c r="J23" i="1"/>
  <c r="K23" i="1"/>
  <c r="J35" i="1"/>
  <c r="K35" i="1"/>
  <c r="G26" i="4"/>
  <c r="H18" i="4"/>
  <c r="M26" i="1"/>
  <c r="N26" i="1"/>
  <c r="Q28" i="1"/>
  <c r="R28" i="1"/>
  <c r="K24" i="1"/>
  <c r="L24" i="1"/>
  <c r="L27" i="1"/>
  <c r="N36" i="1"/>
  <c r="O36" i="1"/>
  <c r="P37" i="1"/>
  <c r="Q37" i="1"/>
  <c r="L40" i="1"/>
  <c r="M40" i="1"/>
  <c r="L38" i="1"/>
  <c r="M38" i="1"/>
  <c r="L39" i="1"/>
  <c r="M39" i="1"/>
  <c r="I18" i="4"/>
  <c r="H26" i="4"/>
  <c r="O26" i="1"/>
  <c r="P26" i="1"/>
  <c r="S28" i="1"/>
  <c r="T28" i="1"/>
  <c r="M24" i="1"/>
  <c r="N24" i="1"/>
  <c r="O24" i="1"/>
  <c r="P24" i="1"/>
  <c r="M27" i="1"/>
  <c r="N27" i="1"/>
  <c r="R37" i="1"/>
  <c r="S37" i="1"/>
  <c r="P36" i="1"/>
  <c r="Q36" i="1"/>
  <c r="N38" i="1"/>
  <c r="O38" i="1"/>
  <c r="N39" i="1"/>
  <c r="O39" i="1"/>
  <c r="N40" i="1"/>
  <c r="O40" i="1"/>
  <c r="L23" i="1"/>
  <c r="M23" i="1"/>
  <c r="L35" i="1"/>
  <c r="I26" i="4"/>
  <c r="J18" i="4"/>
  <c r="M35" i="1"/>
  <c r="N35" i="1"/>
  <c r="O35" i="1"/>
  <c r="O27" i="1"/>
  <c r="P27" i="1"/>
  <c r="Q27" i="1"/>
  <c r="R27" i="1"/>
  <c r="S27" i="1"/>
  <c r="T27" i="1"/>
  <c r="U27" i="1"/>
  <c r="U28" i="1"/>
  <c r="V28" i="1"/>
  <c r="Q24" i="1"/>
  <c r="R24" i="1"/>
  <c r="Q26" i="1"/>
  <c r="R26" i="1"/>
  <c r="S26" i="1"/>
  <c r="T26" i="1"/>
  <c r="P38" i="1"/>
  <c r="Q38" i="1"/>
  <c r="R36" i="1"/>
  <c r="S36" i="1"/>
  <c r="P40" i="1"/>
  <c r="Q40" i="1"/>
  <c r="P39" i="1"/>
  <c r="Q39" i="1"/>
  <c r="T37" i="1"/>
  <c r="U37" i="1"/>
  <c r="K18" i="4"/>
  <c r="J26" i="4"/>
  <c r="S24" i="1"/>
  <c r="T24" i="1"/>
  <c r="W28" i="1"/>
  <c r="X28" i="1"/>
  <c r="Y28" i="1"/>
  <c r="U26" i="1"/>
  <c r="V26" i="1"/>
  <c r="W26" i="1"/>
  <c r="X26" i="1"/>
  <c r="Y26" i="1"/>
  <c r="R40" i="1"/>
  <c r="S40" i="1"/>
  <c r="V37" i="1"/>
  <c r="W37" i="1"/>
  <c r="R39" i="1"/>
  <c r="S39" i="1"/>
  <c r="T36" i="1"/>
  <c r="U36" i="1"/>
  <c r="R38" i="1"/>
  <c r="S38" i="1"/>
  <c r="V27" i="1"/>
  <c r="W27" i="1"/>
  <c r="N23" i="1"/>
  <c r="O23" i="1"/>
  <c r="L18" i="4"/>
  <c r="K26" i="4"/>
  <c r="U24" i="1"/>
  <c r="V24" i="1"/>
  <c r="W24" i="1"/>
  <c r="X24" i="1"/>
  <c r="Y24" i="1"/>
  <c r="X37" i="1"/>
  <c r="Y37" i="1"/>
  <c r="T38" i="1"/>
  <c r="U38" i="1"/>
  <c r="T39" i="1"/>
  <c r="U39" i="1"/>
  <c r="V36" i="1"/>
  <c r="W36" i="1"/>
  <c r="T40" i="1"/>
  <c r="U40" i="1"/>
  <c r="X27" i="1"/>
  <c r="Y27" i="1"/>
  <c r="M18" i="4"/>
  <c r="L26" i="4"/>
  <c r="V40" i="1"/>
  <c r="W40" i="1"/>
  <c r="V39" i="1"/>
  <c r="W39" i="1"/>
  <c r="X36" i="1"/>
  <c r="Y36" i="1"/>
  <c r="V38" i="1"/>
  <c r="W38" i="1"/>
  <c r="P23" i="1"/>
  <c r="Q23" i="1"/>
  <c r="P35" i="1"/>
  <c r="Q35" i="1"/>
  <c r="N18" i="4"/>
  <c r="M26" i="4"/>
  <c r="X39" i="1"/>
  <c r="Y39" i="1"/>
  <c r="X38" i="1"/>
  <c r="Y38" i="1"/>
  <c r="X40" i="1"/>
  <c r="Y40" i="1"/>
  <c r="O18" i="4"/>
  <c r="N26" i="4"/>
  <c r="R23" i="1"/>
  <c r="S23" i="1"/>
  <c r="R35" i="1"/>
  <c r="S35" i="1"/>
  <c r="P18" i="4"/>
  <c r="O26" i="4"/>
  <c r="Q18" i="4"/>
  <c r="P26" i="4"/>
  <c r="T23" i="1"/>
  <c r="U23" i="1"/>
  <c r="T35" i="1"/>
  <c r="U35" i="1"/>
  <c r="Q26" i="4"/>
  <c r="R18" i="4"/>
  <c r="S18" i="4"/>
  <c r="R26" i="4"/>
  <c r="V23" i="1"/>
  <c r="W23" i="1"/>
  <c r="V35" i="1"/>
  <c r="W35" i="1"/>
  <c r="T18" i="4"/>
  <c r="S26" i="4"/>
  <c r="U18" i="4"/>
  <c r="T26" i="4"/>
  <c r="X23" i="1"/>
  <c r="Y23" i="1"/>
  <c r="X35" i="1"/>
  <c r="Y35" i="1"/>
  <c r="U26" i="4"/>
  <c r="V18" i="4"/>
  <c r="W18" i="4"/>
  <c r="V26" i="4"/>
  <c r="W26" i="4"/>
  <c r="X18" i="4"/>
  <c r="Y18" i="4"/>
  <c r="Y26" i="4"/>
  <c r="X26" i="4"/>
  <c r="BK7" i="5" l="1"/>
  <c r="GO5" i="5"/>
  <c r="FG6" i="5"/>
  <c r="FI6" i="5"/>
  <c r="FI7" i="5"/>
  <c r="C21" i="2"/>
  <c r="E21" i="2" s="1"/>
  <c r="G21" i="2" s="1"/>
  <c r="I21" i="2" s="1"/>
  <c r="K21" i="2" s="1"/>
  <c r="M21" i="2" s="1"/>
  <c r="C19" i="2"/>
  <c r="T19" i="2"/>
  <c r="T27" i="2" s="1"/>
  <c r="K13" i="2"/>
  <c r="BK9" i="5"/>
  <c r="BK10" i="5"/>
  <c r="BK8" i="5"/>
  <c r="BK5" i="5"/>
  <c r="BK6" i="5"/>
  <c r="E20" i="2" s="1"/>
  <c r="G20" i="2" s="1"/>
  <c r="I20" i="2" s="1"/>
  <c r="C24" i="2"/>
  <c r="D20" i="2"/>
  <c r="C23" i="2"/>
  <c r="C22" i="2"/>
  <c r="BL8" i="5"/>
  <c r="W21" i="2"/>
  <c r="DY8" i="5"/>
  <c r="Q25" i="2"/>
  <c r="W26" i="2"/>
  <c r="W24" i="2"/>
  <c r="Q22" i="2"/>
  <c r="DY6" i="5"/>
  <c r="DY7" i="5"/>
  <c r="DY10" i="5"/>
  <c r="DY11" i="5"/>
  <c r="Y24" i="2"/>
  <c r="W25" i="2"/>
  <c r="Y22" i="2"/>
  <c r="W19" i="2"/>
  <c r="O26" i="2"/>
  <c r="W22" i="2"/>
  <c r="Y20" i="2"/>
  <c r="O19" i="2"/>
  <c r="U26" i="2"/>
  <c r="O21" i="2"/>
  <c r="O22" i="2"/>
  <c r="Q26" i="2"/>
  <c r="Q24" i="2"/>
  <c r="O25" i="2"/>
  <c r="O24" i="2"/>
  <c r="Y21" i="2"/>
  <c r="W23" i="2"/>
  <c r="Q20" i="2"/>
  <c r="M26" i="2"/>
  <c r="U20" i="2"/>
  <c r="U21" i="2"/>
  <c r="U23" i="2"/>
  <c r="Q21" i="2"/>
  <c r="CS5" i="5"/>
  <c r="B55" i="1"/>
  <c r="B43" i="1"/>
  <c r="D30" i="1"/>
  <c r="C31" i="1"/>
  <c r="D43" i="1"/>
  <c r="E42" i="1"/>
  <c r="C43" i="1"/>
  <c r="B31" i="1"/>
  <c r="N14" i="1"/>
  <c r="G41" i="1"/>
  <c r="G29" i="1"/>
  <c r="CS11" i="5"/>
  <c r="CS10" i="5"/>
  <c r="CS9" i="5"/>
  <c r="CS8" i="5"/>
  <c r="CS7" i="5"/>
  <c r="J13" i="2"/>
  <c r="M13" i="2"/>
  <c r="D13" i="2"/>
  <c r="N12" i="2"/>
  <c r="F13" i="2"/>
  <c r="R21" i="2"/>
  <c r="S21" i="2" s="1"/>
  <c r="Y26" i="2"/>
  <c r="Y23" i="2"/>
  <c r="W20" i="2"/>
  <c r="S25" i="2"/>
  <c r="S23" i="2"/>
  <c r="U22" i="2"/>
  <c r="S19" i="2"/>
  <c r="S24" i="2"/>
  <c r="U25" i="2"/>
  <c r="U24" i="2"/>
  <c r="S26" i="2"/>
  <c r="S22" i="2"/>
  <c r="O23" i="2"/>
  <c r="O20" i="2"/>
  <c r="B25" i="2"/>
  <c r="C25" i="2" s="1"/>
  <c r="N11" i="2"/>
  <c r="G13" i="2"/>
  <c r="N10" i="2"/>
  <c r="B13" i="2"/>
  <c r="H13" i="2"/>
  <c r="N6" i="2"/>
  <c r="I13" i="2"/>
  <c r="X19" i="2"/>
  <c r="Y19" i="2" s="1"/>
  <c r="B26" i="2"/>
  <c r="C26" i="2" s="1"/>
  <c r="N9" i="2"/>
  <c r="E15" i="5"/>
  <c r="E27" i="5" s="1"/>
  <c r="N5" i="2"/>
  <c r="L13" i="2"/>
  <c r="E13" i="2"/>
  <c r="N27" i="2"/>
  <c r="V27" i="2"/>
  <c r="N8" i="2"/>
  <c r="N7" i="2"/>
  <c r="S20" i="2"/>
  <c r="P27" i="2"/>
  <c r="Q19" i="2"/>
  <c r="C13" i="2"/>
  <c r="K20" i="2" l="1"/>
  <c r="M20" i="2" s="1"/>
  <c r="E22" i="2"/>
  <c r="G22" i="2" s="1"/>
  <c r="I22" i="2" s="1"/>
  <c r="K22" i="2" s="1"/>
  <c r="M22" i="2" s="1"/>
  <c r="F20" i="2"/>
  <c r="H20" i="2" s="1"/>
  <c r="D23" i="2"/>
  <c r="E23" i="2"/>
  <c r="G23" i="2" s="1"/>
  <c r="I23" i="2" s="1"/>
  <c r="K23" i="2" s="1"/>
  <c r="M23" i="2" s="1"/>
  <c r="D24" i="2"/>
  <c r="E24" i="2"/>
  <c r="G24" i="2" s="1"/>
  <c r="I24" i="2" s="1"/>
  <c r="K24" i="2" s="1"/>
  <c r="M24" i="2" s="1"/>
  <c r="D21" i="2"/>
  <c r="D19" i="2"/>
  <c r="E19" i="2"/>
  <c r="G19" i="2" s="1"/>
  <c r="I19" i="2" s="1"/>
  <c r="K19" i="2" s="1"/>
  <c r="M19" i="2" s="1"/>
  <c r="U19" i="2"/>
  <c r="U27" i="2" s="1"/>
  <c r="D25" i="2"/>
  <c r="D22" i="2"/>
  <c r="D26" i="2"/>
  <c r="Q27" i="2"/>
  <c r="W27" i="2"/>
  <c r="F42" i="1"/>
  <c r="E43" i="1"/>
  <c r="E30" i="1"/>
  <c r="D31" i="1"/>
  <c r="H29" i="1"/>
  <c r="H41" i="1"/>
  <c r="R27" i="2"/>
  <c r="S27" i="2"/>
  <c r="O27" i="2"/>
  <c r="N13" i="2"/>
  <c r="X27" i="2"/>
  <c r="C27" i="2"/>
  <c r="B27" i="2"/>
  <c r="F24" i="2" l="1"/>
  <c r="F22" i="2"/>
  <c r="F21" i="2"/>
  <c r="F23" i="2"/>
  <c r="H23" i="2" s="1"/>
  <c r="J20" i="2"/>
  <c r="L20" i="2" s="1"/>
  <c r="F19" i="2"/>
  <c r="H19" i="2" s="1"/>
  <c r="J19" i="2" s="1"/>
  <c r="E25" i="2"/>
  <c r="G25" i="2" s="1"/>
  <c r="I25" i="2" s="1"/>
  <c r="K25" i="2" s="1"/>
  <c r="M25" i="2" s="1"/>
  <c r="C28" i="2"/>
  <c r="G33" i="2" s="1"/>
  <c r="F30" i="1"/>
  <c r="E31" i="1"/>
  <c r="G42" i="1"/>
  <c r="F43" i="1"/>
  <c r="I41" i="1"/>
  <c r="I29" i="1"/>
  <c r="E26" i="2"/>
  <c r="F26" i="2" s="1"/>
  <c r="G26" i="2" s="1"/>
  <c r="D27" i="2"/>
  <c r="H22" i="2" l="1"/>
  <c r="J22" i="2" s="1"/>
  <c r="H24" i="2"/>
  <c r="J24" i="2" s="1"/>
  <c r="L19" i="2"/>
  <c r="J23" i="2"/>
  <c r="L23" i="2" s="1"/>
  <c r="H21" i="2"/>
  <c r="J21" i="2" s="1"/>
  <c r="F25" i="2"/>
  <c r="H26" i="2"/>
  <c r="H42" i="1"/>
  <c r="G43" i="1"/>
  <c r="G30" i="1"/>
  <c r="F31" i="1"/>
  <c r="J29" i="1"/>
  <c r="J41" i="1"/>
  <c r="E27" i="2"/>
  <c r="L24" i="2" l="1"/>
  <c r="L22" i="2"/>
  <c r="H25" i="2"/>
  <c r="J25" i="2" s="1"/>
  <c r="L25" i="2" s="1"/>
  <c r="L21" i="2"/>
  <c r="F27" i="2"/>
  <c r="I26" i="2"/>
  <c r="E28" i="2"/>
  <c r="H30" i="1"/>
  <c r="G31" i="1"/>
  <c r="I42" i="1"/>
  <c r="H43" i="1"/>
  <c r="K29" i="1"/>
  <c r="K41" i="1"/>
  <c r="J26" i="2" l="1"/>
  <c r="K26" i="2" s="1"/>
  <c r="G27" i="2"/>
  <c r="G34" i="2"/>
  <c r="H34" i="2" s="1"/>
  <c r="J42" i="1"/>
  <c r="I43" i="1"/>
  <c r="I30" i="1"/>
  <c r="H31" i="1"/>
  <c r="L29" i="1"/>
  <c r="L41" i="1"/>
  <c r="I27" i="2" l="1"/>
  <c r="G28" i="2"/>
  <c r="G35" i="2" s="1"/>
  <c r="H35" i="2" s="1"/>
  <c r="H27" i="2"/>
  <c r="K42" i="1"/>
  <c r="J43" i="1"/>
  <c r="J30" i="1"/>
  <c r="I31" i="1"/>
  <c r="M41" i="1"/>
  <c r="M29" i="1"/>
  <c r="W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B25" i="3" s="1"/>
  <c r="I28" i="2" l="1"/>
  <c r="G36" i="2" s="1"/>
  <c r="H36" i="2" s="1"/>
  <c r="K30" i="1"/>
  <c r="J31" i="1"/>
  <c r="L42" i="1"/>
  <c r="K43" i="1"/>
  <c r="N41" i="1"/>
  <c r="N29" i="1"/>
  <c r="C25" i="3"/>
  <c r="D25" i="3" s="1"/>
  <c r="E25" i="3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B24" i="3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B22" i="3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B20" i="3" s="1"/>
  <c r="C47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B21" i="3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B23" i="3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B19" i="3" s="1"/>
  <c r="M27" i="2" l="1"/>
  <c r="L27" i="2"/>
  <c r="K27" i="2"/>
  <c r="J27" i="2"/>
  <c r="M42" i="1"/>
  <c r="L43" i="1"/>
  <c r="L30" i="1"/>
  <c r="K31" i="1"/>
  <c r="O29" i="1"/>
  <c r="O41" i="1"/>
  <c r="C20" i="3"/>
  <c r="C22" i="3"/>
  <c r="C24" i="3"/>
  <c r="D24" i="3" s="1"/>
  <c r="C55" i="1"/>
  <c r="D47" i="1"/>
  <c r="C23" i="3"/>
  <c r="D23" i="3" s="1"/>
  <c r="E23" i="3" s="1"/>
  <c r="F25" i="3"/>
  <c r="G25" i="3" s="1"/>
  <c r="C19" i="3"/>
  <c r="C21" i="3"/>
  <c r="M28" i="2" l="1"/>
  <c r="G38" i="2" s="1"/>
  <c r="Y27" i="2"/>
  <c r="Z25" i="2" s="1"/>
  <c r="AA25" i="2" s="1"/>
  <c r="K28" i="2"/>
  <c r="G37" i="2" s="1"/>
  <c r="N42" i="1"/>
  <c r="M43" i="1"/>
  <c r="M30" i="1"/>
  <c r="L31" i="1"/>
  <c r="P41" i="1"/>
  <c r="P29" i="1"/>
  <c r="H25" i="3"/>
  <c r="I25" i="3" s="1"/>
  <c r="J25" i="3" s="1"/>
  <c r="D21" i="3"/>
  <c r="E21" i="3" s="1"/>
  <c r="F23" i="3"/>
  <c r="G23" i="3" s="1"/>
  <c r="E24" i="3"/>
  <c r="F24" i="3" s="1"/>
  <c r="G24" i="3" s="1"/>
  <c r="D19" i="3"/>
  <c r="D20" i="3"/>
  <c r="E47" i="1"/>
  <c r="D55" i="1"/>
  <c r="D22" i="3"/>
  <c r="A44" i="2" l="1"/>
  <c r="A45" i="2" s="1"/>
  <c r="B40" i="2" s="1"/>
  <c r="Z21" i="2"/>
  <c r="AA21" i="2" s="1"/>
  <c r="Z24" i="2"/>
  <c r="AA24" i="2" s="1"/>
  <c r="Z27" i="2"/>
  <c r="AA27" i="2" s="1"/>
  <c r="Z22" i="2"/>
  <c r="AA22" i="2" s="1"/>
  <c r="Z26" i="2"/>
  <c r="AA26" i="2" s="1"/>
  <c r="Z20" i="2"/>
  <c r="AA20" i="2" s="1"/>
  <c r="Z19" i="2"/>
  <c r="AA19" i="2" s="1"/>
  <c r="Z23" i="2"/>
  <c r="AA23" i="2" s="1"/>
  <c r="Z28" i="2"/>
  <c r="AA28" i="2" s="1"/>
  <c r="M29" i="2"/>
  <c r="H37" i="2"/>
  <c r="N30" i="1"/>
  <c r="M31" i="1"/>
  <c r="O42" i="1"/>
  <c r="N43" i="1"/>
  <c r="Q41" i="1"/>
  <c r="Q29" i="1"/>
  <c r="H23" i="3"/>
  <c r="F21" i="3"/>
  <c r="E55" i="1"/>
  <c r="F47" i="1"/>
  <c r="E20" i="3"/>
  <c r="F20" i="3" s="1"/>
  <c r="G20" i="3" s="1"/>
  <c r="E19" i="3"/>
  <c r="F19" i="3" s="1"/>
  <c r="G19" i="3" s="1"/>
  <c r="E22" i="3"/>
  <c r="H24" i="3"/>
  <c r="I24" i="3" s="1"/>
  <c r="K25" i="3"/>
  <c r="B32" i="2" l="1"/>
  <c r="O30" i="1"/>
  <c r="N31" i="1"/>
  <c r="P42" i="1"/>
  <c r="O43" i="1"/>
  <c r="R29" i="1"/>
  <c r="R41" i="1"/>
  <c r="H19" i="3"/>
  <c r="I19" i="3" s="1"/>
  <c r="G21" i="3"/>
  <c r="H21" i="3" s="1"/>
  <c r="I21" i="3" s="1"/>
  <c r="I23" i="3"/>
  <c r="J23" i="3" s="1"/>
  <c r="K23" i="3" s="1"/>
  <c r="J24" i="3"/>
  <c r="F22" i="3"/>
  <c r="L25" i="3"/>
  <c r="H20" i="3"/>
  <c r="F55" i="1"/>
  <c r="G47" i="1"/>
  <c r="Q42" i="1" l="1"/>
  <c r="P43" i="1"/>
  <c r="P30" i="1"/>
  <c r="O31" i="1"/>
  <c r="S41" i="1"/>
  <c r="S29" i="1"/>
  <c r="J21" i="3"/>
  <c r="K21" i="3" s="1"/>
  <c r="J19" i="3"/>
  <c r="K19" i="3" s="1"/>
  <c r="L23" i="3"/>
  <c r="M23" i="3" s="1"/>
  <c r="H47" i="1"/>
  <c r="G55" i="1"/>
  <c r="G22" i="3"/>
  <c r="K24" i="3"/>
  <c r="M25" i="3"/>
  <c r="N25" i="3" s="1"/>
  <c r="O25" i="3" s="1"/>
  <c r="I20" i="3"/>
  <c r="J20" i="3" s="1"/>
  <c r="K20" i="3" s="1"/>
  <c r="Q30" i="1" l="1"/>
  <c r="P31" i="1"/>
  <c r="R42" i="1"/>
  <c r="Q43" i="1"/>
  <c r="T41" i="1"/>
  <c r="T29" i="1"/>
  <c r="P25" i="3"/>
  <c r="Q25" i="3" s="1"/>
  <c r="R25" i="3" s="1"/>
  <c r="S25" i="3" s="1"/>
  <c r="T25" i="3" s="1"/>
  <c r="U25" i="3" s="1"/>
  <c r="L21" i="3"/>
  <c r="M21" i="3" s="1"/>
  <c r="N21" i="3" s="1"/>
  <c r="O21" i="3" s="1"/>
  <c r="P21" i="3" s="1"/>
  <c r="Q21" i="3" s="1"/>
  <c r="R21" i="3" s="1"/>
  <c r="S21" i="3" s="1"/>
  <c r="L19" i="3"/>
  <c r="L24" i="3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N23" i="3"/>
  <c r="O23" i="3" s="1"/>
  <c r="P23" i="3" s="1"/>
  <c r="Q23" i="3" s="1"/>
  <c r="R23" i="3" s="1"/>
  <c r="S23" i="3" s="1"/>
  <c r="T23" i="3" s="1"/>
  <c r="U23" i="3" s="1"/>
  <c r="H55" i="1"/>
  <c r="I47" i="1"/>
  <c r="L20" i="3"/>
  <c r="M20" i="3" s="1"/>
  <c r="N20" i="3" s="1"/>
  <c r="O20" i="3" s="1"/>
  <c r="H22" i="3"/>
  <c r="R30" i="1" l="1"/>
  <c r="Q31" i="1"/>
  <c r="S42" i="1"/>
  <c r="R43" i="1"/>
  <c r="U41" i="1"/>
  <c r="U29" i="1"/>
  <c r="V25" i="3"/>
  <c r="W25" i="3" s="1"/>
  <c r="X25" i="3" s="1"/>
  <c r="Y25" i="3" s="1"/>
  <c r="B25" i="7" s="1"/>
  <c r="C25" i="7" s="1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M19" i="3"/>
  <c r="N19" i="3" s="1"/>
  <c r="O19" i="3" s="1"/>
  <c r="T21" i="3"/>
  <c r="U21" i="3" s="1"/>
  <c r="V21" i="3" s="1"/>
  <c r="W21" i="3" s="1"/>
  <c r="J47" i="1"/>
  <c r="I55" i="1"/>
  <c r="V23" i="3"/>
  <c r="W23" i="3" s="1"/>
  <c r="X23" i="3" s="1"/>
  <c r="Y23" i="3" s="1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P20" i="3"/>
  <c r="I22" i="3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S30" i="1" l="1"/>
  <c r="R31" i="1"/>
  <c r="T42" i="1"/>
  <c r="S43" i="1"/>
  <c r="V41" i="1"/>
  <c r="V29" i="1"/>
  <c r="X21" i="3"/>
  <c r="Y21" i="3" s="1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P19" i="3"/>
  <c r="Q19" i="3" s="1"/>
  <c r="Q20" i="3"/>
  <c r="R20" i="3" s="1"/>
  <c r="S20" i="3" s="1"/>
  <c r="T20" i="3" s="1"/>
  <c r="U20" i="3" s="1"/>
  <c r="V20" i="3" s="1"/>
  <c r="W20" i="3" s="1"/>
  <c r="X20" i="3" s="1"/>
  <c r="Y20" i="3" s="1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K47" i="1"/>
  <c r="J55" i="1"/>
  <c r="U42" i="1" l="1"/>
  <c r="T43" i="1"/>
  <c r="T30" i="1"/>
  <c r="S31" i="1"/>
  <c r="W29" i="1"/>
  <c r="W41" i="1"/>
  <c r="R19" i="3"/>
  <c r="S19" i="3" s="1"/>
  <c r="T19" i="3" s="1"/>
  <c r="U19" i="3" s="1"/>
  <c r="V19" i="3" s="1"/>
  <c r="W19" i="3" s="1"/>
  <c r="X19" i="3" s="1"/>
  <c r="Y19" i="3" s="1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K55" i="1"/>
  <c r="L47" i="1"/>
  <c r="V42" i="1" l="1"/>
  <c r="U43" i="1"/>
  <c r="U30" i="1"/>
  <c r="T31" i="1"/>
  <c r="X41" i="1"/>
  <c r="X29" i="1"/>
  <c r="L55" i="1"/>
  <c r="M47" i="1"/>
  <c r="V30" i="1" l="1"/>
  <c r="U31" i="1"/>
  <c r="W42" i="1"/>
  <c r="V43" i="1"/>
  <c r="Y29" i="1"/>
  <c r="Y41" i="1"/>
  <c r="M55" i="1"/>
  <c r="N47" i="1"/>
  <c r="W30" i="1" l="1"/>
  <c r="V31" i="1"/>
  <c r="X42" i="1"/>
  <c r="W43" i="1"/>
  <c r="N55" i="1"/>
  <c r="O47" i="1"/>
  <c r="X30" i="1" l="1"/>
  <c r="W31" i="1"/>
  <c r="Y42" i="1"/>
  <c r="Y43" i="1" s="1"/>
  <c r="T2" i="1" s="1"/>
  <c r="X43" i="1"/>
  <c r="P47" i="1"/>
  <c r="O55" i="1"/>
  <c r="Y30" i="1" l="1"/>
  <c r="Y31" i="1" s="1"/>
  <c r="Q2" i="1" s="1"/>
  <c r="X31" i="1"/>
  <c r="Q47" i="1"/>
  <c r="P55" i="1"/>
  <c r="Q55" i="1" l="1"/>
  <c r="R47" i="1"/>
  <c r="S47" i="1" l="1"/>
  <c r="R55" i="1"/>
  <c r="S55" i="1" l="1"/>
  <c r="T47" i="1"/>
  <c r="U47" i="1" l="1"/>
  <c r="T55" i="1"/>
  <c r="U55" i="1" l="1"/>
  <c r="V47" i="1"/>
  <c r="W47" i="1" l="1"/>
  <c r="V55" i="1"/>
  <c r="X47" i="1" l="1"/>
  <c r="W55" i="1"/>
  <c r="Y47" i="1" l="1"/>
  <c r="X55" i="1"/>
  <c r="B18" i="3" l="1"/>
  <c r="Y55" i="1"/>
  <c r="L16" i="1" l="1"/>
  <c r="L17" i="1" s="1"/>
  <c r="W2" i="1"/>
  <c r="C18" i="3"/>
  <c r="C26" i="3" s="1"/>
  <c r="B26" i="3"/>
  <c r="D18" i="3" l="1"/>
  <c r="E18" i="3" s="1"/>
  <c r="L18" i="1"/>
  <c r="L19" i="1" s="1"/>
  <c r="D26" i="3" l="1"/>
  <c r="E26" i="3"/>
  <c r="F18" i="3"/>
  <c r="F26" i="3" l="1"/>
  <c r="G18" i="3"/>
  <c r="G26" i="3" s="1"/>
  <c r="H18" i="3" l="1"/>
  <c r="I18" i="3" s="1"/>
  <c r="J18" i="3" s="1"/>
  <c r="H26" i="3" l="1"/>
  <c r="I26" i="3"/>
  <c r="K18" i="3"/>
  <c r="J26" i="3"/>
  <c r="K26" i="3" l="1"/>
  <c r="L18" i="3"/>
  <c r="M18" i="3" l="1"/>
  <c r="L26" i="3"/>
  <c r="M26" i="3" l="1"/>
  <c r="N18" i="3"/>
  <c r="O18" i="3" l="1"/>
  <c r="N26" i="3"/>
  <c r="O26" i="3" l="1"/>
  <c r="P18" i="3"/>
  <c r="P26" i="3" l="1"/>
  <c r="Q18" i="3"/>
  <c r="Q26" i="3" l="1"/>
  <c r="R18" i="3"/>
  <c r="S18" i="3" l="1"/>
  <c r="R26" i="3"/>
  <c r="S26" i="3" l="1"/>
  <c r="T18" i="3"/>
  <c r="U18" i="3" l="1"/>
  <c r="T26" i="3"/>
  <c r="U26" i="3" l="1"/>
  <c r="V18" i="3"/>
  <c r="V26" i="3" l="1"/>
  <c r="W18" i="3"/>
  <c r="W26" i="3" l="1"/>
  <c r="X18" i="3"/>
  <c r="X26" i="3" l="1"/>
  <c r="Y18" i="3"/>
  <c r="Y26" i="3" l="1"/>
  <c r="D28" i="3" s="1"/>
  <c r="B18" i="7"/>
  <c r="B26" i="7" l="1"/>
  <c r="C18" i="7"/>
  <c r="C26" i="7" l="1"/>
  <c r="D18" i="7"/>
  <c r="D26" i="7" l="1"/>
  <c r="E18" i="7"/>
  <c r="F18" i="7" l="1"/>
  <c r="E26" i="7"/>
  <c r="G18" i="7" l="1"/>
  <c r="F26" i="7"/>
  <c r="H18" i="7" l="1"/>
  <c r="G26" i="7"/>
  <c r="H26" i="7" l="1"/>
  <c r="I18" i="7"/>
  <c r="I26" i="7" l="1"/>
  <c r="J18" i="7"/>
  <c r="J26" i="7" l="1"/>
  <c r="K18" i="7"/>
  <c r="K26" i="7" l="1"/>
  <c r="L18" i="7"/>
  <c r="L26" i="7" l="1"/>
  <c r="M18" i="7"/>
  <c r="N18" i="7" l="1"/>
  <c r="M26" i="7"/>
  <c r="O18" i="7" l="1"/>
  <c r="N26" i="7"/>
  <c r="P18" i="7" l="1"/>
  <c r="O26" i="7"/>
  <c r="P26" i="7" l="1"/>
  <c r="Q18" i="7"/>
  <c r="R18" i="7" l="1"/>
  <c r="Q26" i="7"/>
  <c r="S18" i="7" l="1"/>
  <c r="R26" i="7"/>
  <c r="S26" i="7" l="1"/>
  <c r="T18" i="7"/>
  <c r="U18" i="7" l="1"/>
  <c r="T26" i="7"/>
  <c r="V18" i="7" l="1"/>
  <c r="U26" i="7"/>
  <c r="V26" i="7" l="1"/>
  <c r="W18" i="7"/>
  <c r="X18" i="7" l="1"/>
  <c r="W26" i="7"/>
  <c r="X26" i="7" l="1"/>
  <c r="Y18" i="7"/>
  <c r="Y26" i="7" s="1"/>
  <c r="D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Nyirenda</author>
  </authors>
  <commentList>
    <comment ref="AH4" authorId="0" shapeId="0" xr:uid="{571B04BA-253F-4A14-9509-BC27D4AD55C4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Days from date when deposit of contribution was made.</t>
        </r>
      </text>
    </comment>
    <comment ref="FF4" authorId="0" shapeId="0" xr:uid="{77938BD0-C443-4692-BABD-2B8DBC31C287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First money to enter into the month.</t>
        </r>
      </text>
    </comment>
    <comment ref="FG4" authorId="0" shapeId="0" xr:uid="{12789C90-1F6C-4922-8FA4-350692614112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Days since first contribution of that month.</t>
        </r>
      </text>
    </comment>
    <comment ref="FH4" authorId="0" shapeId="0" xr:uid="{7EF78B10-D6A4-4E70-83AD-DA9239B7942D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Days since interest rates changed.</t>
        </r>
      </text>
    </comment>
    <comment ref="FI4" authorId="0" shapeId="0" xr:uid="{46B8599F-5113-492C-8C86-CA2C600D146A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Days since the second contribution of the month.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Nyirenda</author>
  </authors>
  <commentList>
    <comment ref="A44" authorId="0" shapeId="0" xr:uid="{C6EE3060-43E3-4380-A7B8-4B7336021F61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Total Interest, to date, from before migrating to FNB .</t>
        </r>
      </text>
    </comment>
    <comment ref="A45" authorId="0" shapeId="0" xr:uid="{9DC43B7B-1538-49E9-991C-8504E38DDB31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Calculatoins of Interest accrued from date of migration to  FNB</t>
        </r>
      </text>
    </comment>
    <comment ref="A49" authorId="0" shapeId="0" xr:uid="{9590E2D4-BDF8-481A-8CA4-EAFFCDBE093D}">
      <text>
        <r>
          <rPr>
            <b/>
            <sz val="9"/>
            <color indexed="81"/>
            <rFont val="Tahoma"/>
            <family val="2"/>
          </rPr>
          <t>George Nyirenda:</t>
        </r>
        <r>
          <rPr>
            <sz val="9"/>
            <color indexed="81"/>
            <rFont val="Tahoma"/>
            <family val="2"/>
          </rPr>
          <t xml:space="preserve">
Interest accrued as indicated on The FNB Mobile App.</t>
        </r>
      </text>
    </comment>
  </commentList>
</comments>
</file>

<file path=xl/sharedStrings.xml><?xml version="1.0" encoding="utf-8"?>
<sst xmlns="http://schemas.openxmlformats.org/spreadsheetml/2006/main" count="812" uniqueCount="207">
  <si>
    <t>Contributions for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</si>
  <si>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</si>
  <si>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</si>
  <si>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</si>
  <si>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</si>
  <si>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</si>
  <si>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</si>
  <si>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</si>
  <si>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</si>
  <si>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</si>
  <si>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</si>
  <si>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</si>
  <si>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</si>
  <si>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Members / Date</t>
  </si>
  <si>
    <t>Tym</t>
  </si>
  <si>
    <t>FNB</t>
  </si>
  <si>
    <t>New</t>
  </si>
  <si>
    <t>Brian Murugami</t>
  </si>
  <si>
    <t>Morena Dlamini</t>
  </si>
  <si>
    <t>George Nyirenda</t>
  </si>
  <si>
    <t>Hedron Tshwale</t>
  </si>
  <si>
    <t>Dumisani Ntshangase</t>
  </si>
  <si>
    <t>Eugene Hopper</t>
  </si>
  <si>
    <t>Mulaudzi</t>
  </si>
  <si>
    <t>Nathan Watson</t>
  </si>
  <si>
    <t>Day of Week</t>
  </si>
  <si>
    <t>S</t>
  </si>
  <si>
    <t>M</t>
  </si>
  <si>
    <t>T</t>
  </si>
  <si>
    <t>W</t>
  </si>
  <si>
    <t>F</t>
  </si>
  <si>
    <t>Total Monthly Collections</t>
  </si>
  <si>
    <t>Late / No Contributions:</t>
  </si>
  <si>
    <t>Value</t>
  </si>
  <si>
    <t>Brother Nathan</t>
  </si>
  <si>
    <t>Total Days</t>
  </si>
  <si>
    <t>R2,000.00</t>
  </si>
  <si>
    <t>Count Excludes 1st Day of the first month that was missed</t>
  </si>
  <si>
    <t>Missed Contributions</t>
  </si>
  <si>
    <t>Brother Mulaudzi</t>
  </si>
  <si>
    <t>Brother Dumisani</t>
  </si>
  <si>
    <t>Brotherhood Business Stokvel</t>
  </si>
  <si>
    <t>Interest Rates</t>
  </si>
  <si>
    <t>Changed To</t>
  </si>
  <si>
    <t>On Date</t>
  </si>
  <si>
    <t>Brian</t>
  </si>
  <si>
    <t>17/02/2023</t>
  </si>
  <si>
    <t>Morena</t>
  </si>
  <si>
    <t>George</t>
  </si>
  <si>
    <t>01/04/2023</t>
  </si>
  <si>
    <t>Hedron</t>
  </si>
  <si>
    <t>Dumisani</t>
  </si>
  <si>
    <t>Eugene</t>
  </si>
  <si>
    <t>Nathan</t>
  </si>
  <si>
    <t>Total</t>
  </si>
  <si>
    <t>TYME</t>
  </si>
  <si>
    <t>Member</t>
  </si>
  <si>
    <t>Jan_Int</t>
  </si>
  <si>
    <t>Feb_Int</t>
  </si>
  <si>
    <t>Mar_Int</t>
  </si>
  <si>
    <t>Apr_Int</t>
  </si>
  <si>
    <t>May_Int</t>
  </si>
  <si>
    <t>Jun_Int</t>
  </si>
  <si>
    <t>Jul_Int</t>
  </si>
  <si>
    <t>Aug_Int</t>
  </si>
  <si>
    <t>Sep_Int</t>
  </si>
  <si>
    <t>Oct_Int</t>
  </si>
  <si>
    <t>Nov_Int</t>
  </si>
  <si>
    <t>Dec_Int</t>
  </si>
  <si>
    <t>Share %</t>
  </si>
  <si>
    <t>Share Value</t>
  </si>
  <si>
    <t>Int. / Mnth</t>
  </si>
  <si>
    <t>3</t>
  </si>
  <si>
    <t>Monthly int. from the 1st day of conception</t>
  </si>
  <si>
    <t>% Growth</t>
  </si>
  <si>
    <t>1st Mnth's Int. (TB)</t>
  </si>
  <si>
    <t>1st 22days with TymB</t>
  </si>
  <si>
    <t>Month Specific int.</t>
  </si>
  <si>
    <t>1st Mnth's Int. (FNB)</t>
  </si>
  <si>
    <t>1st full mnth FNB</t>
  </si>
  <si>
    <t>INGNORE THIS</t>
  </si>
  <si>
    <t>1st Mnth's Act. (FNB)</t>
  </si>
  <si>
    <t>START HERE</t>
  </si>
  <si>
    <t>2nd Mnth's Calc. Int.</t>
  </si>
  <si>
    <t>2nd mnth FNB</t>
  </si>
  <si>
    <t>2nd Mnth's Act. Int.</t>
  </si>
  <si>
    <t>3rd Mnth's Calc. Int.</t>
  </si>
  <si>
    <t>3rd mnth FNB</t>
  </si>
  <si>
    <t>3rd Mnth's Act. Int.</t>
  </si>
  <si>
    <t>4th Mnth's Calc. Int.</t>
  </si>
  <si>
    <t>4th mnth FNB</t>
  </si>
  <si>
    <t>4th Mnth's Act. Int.</t>
  </si>
  <si>
    <t>2023 Interest</t>
  </si>
  <si>
    <t>TYME + FNB</t>
  </si>
  <si>
    <t>FNB only</t>
  </si>
  <si>
    <t>From FNB App:</t>
  </si>
  <si>
    <t>Crdt Blnc Accr.</t>
  </si>
  <si>
    <t>Total Interest</t>
  </si>
  <si>
    <t>NED Interest Rates</t>
  </si>
  <si>
    <t>SBSA Interest Rates</t>
  </si>
  <si>
    <t>FNB Interest Rates</t>
  </si>
  <si>
    <r>
      <t xml:space="preserve">Comparisons were made between 3 banks : </t>
    </r>
    <r>
      <rPr>
        <b/>
        <sz val="22"/>
        <color theme="9" tint="-0.249977111117893"/>
        <rFont val="Calibri"/>
        <family val="2"/>
        <scheme val="minor"/>
      </rPr>
      <t>Nedbank</t>
    </r>
    <r>
      <rPr>
        <b/>
        <sz val="22"/>
        <color theme="1"/>
        <rFont val="Calibri"/>
        <family val="2"/>
        <scheme val="minor"/>
      </rPr>
      <t xml:space="preserve">, </t>
    </r>
    <r>
      <rPr>
        <b/>
        <sz val="22"/>
        <color theme="8" tint="-0.249977111117893"/>
        <rFont val="Calibri"/>
        <family val="2"/>
        <scheme val="minor"/>
      </rPr>
      <t>Standard Bank</t>
    </r>
    <r>
      <rPr>
        <b/>
        <sz val="22"/>
        <color theme="1"/>
        <rFont val="Calibri"/>
        <family val="2"/>
        <scheme val="minor"/>
      </rPr>
      <t xml:space="preserve"> and </t>
    </r>
    <r>
      <rPr>
        <b/>
        <sz val="22"/>
        <color rgb="FF92D050"/>
        <rFont val="Calibri"/>
        <family val="2"/>
        <scheme val="minor"/>
      </rPr>
      <t>FNB</t>
    </r>
  </si>
  <si>
    <t>Contr</t>
  </si>
  <si>
    <t>Solid</t>
  </si>
  <si>
    <t>Liq/Emg</t>
  </si>
  <si>
    <t>NEDBANK</t>
  </si>
  <si>
    <t>SBSA</t>
  </si>
  <si>
    <t/>
  </si>
  <si>
    <t>Column1</t>
  </si>
  <si>
    <t>Total interest from 2023 to 2024</t>
  </si>
  <si>
    <t>Total interest from 2023 to 2025</t>
  </si>
  <si>
    <t>Nedbank</t>
  </si>
  <si>
    <t>Standard Bank</t>
  </si>
  <si>
    <t>This is a Rough Draft - See "2023 Projections for Detailed Cals"</t>
  </si>
  <si>
    <t>Stokvel account interest rates and fees | Nedbank</t>
  </si>
  <si>
    <t>Stokvel savings - Apply now | Standard Bank</t>
  </si>
  <si>
    <t>Transactional Accounts | Rates and Pricing | FNB</t>
  </si>
  <si>
    <t>Comparisons</t>
  </si>
  <si>
    <t>Balance</t>
  </si>
  <si>
    <t>Rate p/a</t>
  </si>
  <si>
    <t>Not Important</t>
  </si>
  <si>
    <t>Balane</t>
  </si>
  <si>
    <t>NIR p/a</t>
  </si>
  <si>
    <t>AER p/a</t>
  </si>
  <si>
    <t>R0.00 - R999</t>
  </si>
  <si>
    <t>None</t>
  </si>
  <si>
    <t>R1.00 - R19,999</t>
  </si>
  <si>
    <t>R1,000 - R9,999</t>
  </si>
  <si>
    <t>R10,000 - R49,999</t>
  </si>
  <si>
    <t>R20,000 - R24,999</t>
  </si>
  <si>
    <t>R25,000 - R74,999</t>
  </si>
  <si>
    <t>R50,000 - R74,999</t>
  </si>
  <si>
    <t>R50,000 - R99,999</t>
  </si>
  <si>
    <t>R75,000 - R99,999</t>
  </si>
  <si>
    <t>R100,000 +</t>
  </si>
  <si>
    <t>everyday-banking-fees-2023.pdf</t>
  </si>
  <si>
    <t>How to open a Stokvel account | Nedbank</t>
  </si>
  <si>
    <t>Stokvel Account | Savings Accounts | FNB</t>
  </si>
  <si>
    <t>Advantages</t>
  </si>
  <si>
    <t>Disadvantages</t>
  </si>
  <si>
    <t>Not much was found on this bank's</t>
  </si>
  <si>
    <t>Capital is guaranteed</t>
  </si>
  <si>
    <t>5+ Members at the branch</t>
  </si>
  <si>
    <t>Most compatitive rates</t>
  </si>
  <si>
    <t>pro's and con's pertaining to</t>
  </si>
  <si>
    <t>3 or 4 signatories</t>
  </si>
  <si>
    <t>Ease of acces via app</t>
  </si>
  <si>
    <t>our stokvel objectives</t>
  </si>
  <si>
    <t>Pay monthly fees under if under R10'000</t>
  </si>
  <si>
    <t>Free cash deposists</t>
  </si>
  <si>
    <t>Signatories can invite members to stokvel</t>
  </si>
  <si>
    <t>Cash deposit fees apply</t>
  </si>
  <si>
    <t>Only 1st 5 cash deposits are free</t>
  </si>
  <si>
    <t>Signatories can edit or delete members from stokvel</t>
  </si>
  <si>
    <t>Automatically placed into a lottery system for monthly cash prizes</t>
  </si>
  <si>
    <t>Only 3 signatories requred to open the account at the branch</t>
  </si>
  <si>
    <t>Least compatitive rates</t>
  </si>
  <si>
    <t>No monthly fees</t>
  </si>
  <si>
    <t>It Shall Be Light In The Evening Time</t>
  </si>
  <si>
    <t>Long ago the maids drew water</t>
  </si>
  <si>
    <t>In the evening time, they say</t>
  </si>
  <si>
    <t>One day Isaac sent his servant</t>
  </si>
  <si>
    <t>To stop Rebekah on her way</t>
  </si>
  <si>
    <t>"My master sent me here to tell thee;</t>
  </si>
  <si>
    <t>See these jewels rich and rare;</t>
  </si>
  <si>
    <t>Would'st thou not his lovely bride be</t>
  </si>
  <si>
    <t>In that country over there?"</t>
  </si>
  <si>
    <t>Chorus</t>
  </si>
  <si>
    <t>(G)It shall be light in the evening time,</t>
  </si>
  <si>
    <t>The path to (C)glory you will (G)surely find;</t>
  </si>
  <si>
    <t>Thru the (D)water way, It is the (G)light today,</t>
  </si>
  <si>
    <t>Buried in the precious Name of Jesus.</t>
  </si>
  <si>
    <t>Young and (G)old, repent of (C)all your sin,</t>
  </si>
  <si>
    <t>The Holy (G)Ghost will surely enter in;</t>
  </si>
  <si>
    <t>The evening Light has come,</t>
  </si>
  <si>
    <t>It is a fact that God and (D)Christ are (G)one.</t>
  </si>
  <si>
    <t>So, God's servants come to tell you</t>
  </si>
  <si>
    <t>Of a Bridegroom in the sky</t>
  </si>
  <si>
    <t>Looking for a holy people</t>
  </si>
  <si>
    <t>To be his bride soon, by and by</t>
  </si>
  <si>
    <t>He sends to us refreshing water</t>
  </si>
  <si>
    <t>In this wondrous latter day</t>
  </si>
  <si>
    <t>They who really will be raptured</t>
  </si>
  <si>
    <t>Must go thru the water way</t>
  </si>
  <si>
    <t>Are you on your way to ruin</t>
  </si>
  <si>
    <t>Cumbered with a load of care</t>
  </si>
  <si>
    <t>See the quick work God is doing</t>
  </si>
  <si>
    <t>That so his glory you may share</t>
  </si>
  <si>
    <t>At last the faith he once delivered</t>
  </si>
  <si>
    <t>To the saints, is ours today</t>
  </si>
  <si>
    <t>To get in the church triumphant</t>
  </si>
  <si>
    <t>You must go the water way</t>
  </si>
  <si>
    <t>Have you looked and often wondered</t>
  </si>
  <si>
    <t>Why the power is slack today</t>
  </si>
  <si>
    <t>Will you stay in that back number</t>
  </si>
  <si>
    <t>And go on in the man-made way</t>
  </si>
  <si>
    <t>O saints who never have been buried</t>
  </si>
  <si>
    <t>In the blessed name of God</t>
  </si>
  <si>
    <t>Let the truth now sanctify you</t>
  </si>
  <si>
    <t>It's the way apostles trod</t>
  </si>
  <si>
    <t>26/05/2023</t>
  </si>
  <si>
    <t>1</t>
  </si>
  <si>
    <t>2</t>
  </si>
  <si>
    <t>4</t>
  </si>
  <si>
    <t>R2,500.00</t>
  </si>
  <si>
    <t>Request to ammend date of contribution</t>
  </si>
  <si>
    <t>Gave Notice with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</si>
</sst>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&quot;#,##0.00;[Red]\-&quot;R&quot;#,##0.00"/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5" formatCode="0.00000000%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22"/>
      <color rgb="FF92D050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.9"/>
      <color rgb="FF3D4449"/>
      <name val="Times New Roman"/>
      <family val="1"/>
    </font>
    <font>
      <sz val="11"/>
      <color rgb="FF7F888F"/>
      <name val="Roboto Slab"/>
      <family val="1"/>
    </font>
    <font>
      <sz val="11"/>
      <color rgb="FF3D4449"/>
      <name val="Inherit"/>
    </font>
    <font>
      <strike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/>
      <bottom style="medium">
        <color indexed="64"/>
      </bottom>
      <diagonal/>
    </border>
    <border>
      <left style="thick">
        <color rgb="FFFFFF00"/>
      </left>
      <right style="thick">
        <color rgb="FFFFFF00"/>
      </right>
      <top style="medium">
        <color indexed="64"/>
      </top>
      <bottom style="thick">
        <color rgb="FFFFFF00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03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164" fontId="1" fillId="0" borderId="0" xfId="0" applyNumberFormat="1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7" xfId="0" applyBorder="1"/>
    <xf numFmtId="10" fontId="0" fillId="0" borderId="0" xfId="1" applyNumberFormat="1" applyFont="1"/>
    <xf numFmtId="0" fontId="5" fillId="0" borderId="0" xfId="2"/>
    <xf numFmtId="10" fontId="0" fillId="0" borderId="18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44" fontId="0" fillId="0" borderId="0" xfId="0" applyNumberFormat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164" fontId="0" fillId="0" borderId="0" xfId="0" quotePrefix="1" applyNumberFormat="1"/>
    <xf numFmtId="0" fontId="0" fillId="3" borderId="0" xfId="0" applyFill="1"/>
    <xf numFmtId="0" fontId="1" fillId="3" borderId="0" xfId="0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0" fillId="0" borderId="27" xfId="0" applyBorder="1"/>
    <xf numFmtId="164" fontId="0" fillId="0" borderId="27" xfId="0" applyNumberFormat="1" applyBorder="1"/>
    <xf numFmtId="164" fontId="0" fillId="0" borderId="12" xfId="0" applyNumberFormat="1" applyBorder="1"/>
    <xf numFmtId="0" fontId="1" fillId="0" borderId="0" xfId="0" applyFont="1"/>
    <xf numFmtId="0" fontId="1" fillId="0" borderId="28" xfId="0" applyFont="1" applyBorder="1"/>
    <xf numFmtId="164" fontId="1" fillId="0" borderId="28" xfId="0" applyNumberFormat="1" applyFont="1" applyBorder="1"/>
    <xf numFmtId="0" fontId="0" fillId="0" borderId="28" xfId="0" applyBorder="1"/>
    <xf numFmtId="164" fontId="0" fillId="0" borderId="28" xfId="0" applyNumberFormat="1" applyBorder="1"/>
    <xf numFmtId="0" fontId="1" fillId="0" borderId="27" xfId="0" applyFont="1" applyBorder="1"/>
    <xf numFmtId="164" fontId="1" fillId="0" borderId="27" xfId="0" applyNumberFormat="1" applyFont="1" applyBorder="1"/>
    <xf numFmtId="0" fontId="1" fillId="2" borderId="21" xfId="0" applyFont="1" applyFill="1" applyBorder="1"/>
    <xf numFmtId="0" fontId="1" fillId="2" borderId="20" xfId="0" applyFont="1" applyFill="1" applyBorder="1"/>
    <xf numFmtId="164" fontId="1" fillId="5" borderId="27" xfId="0" applyNumberFormat="1" applyFont="1" applyFill="1" applyBorder="1"/>
    <xf numFmtId="164" fontId="1" fillId="5" borderId="28" xfId="0" applyNumberFormat="1" applyFont="1" applyFill="1" applyBorder="1"/>
    <xf numFmtId="10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6" xfId="0" applyFill="1" applyBorder="1"/>
    <xf numFmtId="0" fontId="0" fillId="6" borderId="17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0" xfId="0" applyFill="1"/>
    <xf numFmtId="0" fontId="0" fillId="7" borderId="17" xfId="0" applyFill="1" applyBorder="1"/>
    <xf numFmtId="0" fontId="0" fillId="7" borderId="7" xfId="0" applyFill="1" applyBorder="1"/>
    <xf numFmtId="2" fontId="0" fillId="0" borderId="0" xfId="0" applyNumberFormat="1"/>
    <xf numFmtId="0" fontId="0" fillId="7" borderId="5" xfId="0" applyFill="1" applyBorder="1"/>
    <xf numFmtId="0" fontId="0" fillId="6" borderId="8" xfId="0" applyFill="1" applyBorder="1"/>
    <xf numFmtId="0" fontId="0" fillId="6" borderId="0" xfId="0" applyFill="1"/>
    <xf numFmtId="0" fontId="0" fillId="6" borderId="7" xfId="0" applyFill="1" applyBorder="1"/>
    <xf numFmtId="0" fontId="0" fillId="9" borderId="15" xfId="0" applyFill="1" applyBorder="1"/>
    <xf numFmtId="0" fontId="0" fillId="5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0" fillId="0" borderId="30" xfId="1" applyNumberFormat="1" applyFont="1" applyBorder="1"/>
    <xf numFmtId="9" fontId="0" fillId="0" borderId="29" xfId="1" applyFont="1" applyBorder="1"/>
    <xf numFmtId="164" fontId="0" fillId="6" borderId="0" xfId="0" applyNumberFormat="1" applyFill="1"/>
    <xf numFmtId="164" fontId="0" fillId="0" borderId="30" xfId="0" applyNumberFormat="1" applyBorder="1"/>
    <xf numFmtId="164" fontId="0" fillId="0" borderId="29" xfId="0" applyNumberFormat="1" applyBorder="1"/>
    <xf numFmtId="0" fontId="0" fillId="0" borderId="35" xfId="0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5" xfId="0" applyNumberFormat="1" applyBorder="1"/>
    <xf numFmtId="164" fontId="0" fillId="0" borderId="34" xfId="0" applyNumberFormat="1" applyBorder="1"/>
    <xf numFmtId="10" fontId="0" fillId="0" borderId="35" xfId="1" applyNumberFormat="1" applyFont="1" applyBorder="1"/>
    <xf numFmtId="10" fontId="0" fillId="8" borderId="28" xfId="1" applyNumberFormat="1" applyFont="1" applyFill="1" applyBorder="1"/>
    <xf numFmtId="10" fontId="0" fillId="0" borderId="38" xfId="1" applyNumberFormat="1" applyFont="1" applyBorder="1"/>
    <xf numFmtId="10" fontId="0" fillId="8" borderId="39" xfId="1" applyNumberFormat="1" applyFont="1" applyFill="1" applyBorder="1"/>
    <xf numFmtId="10" fontId="0" fillId="8" borderId="34" xfId="0" applyNumberFormat="1" applyFill="1" applyBorder="1"/>
    <xf numFmtId="164" fontId="1" fillId="5" borderId="29" xfId="0" applyNumberFormat="1" applyFont="1" applyFill="1" applyBorder="1"/>
    <xf numFmtId="0" fontId="0" fillId="6" borderId="5" xfId="0" applyFill="1" applyBorder="1"/>
    <xf numFmtId="0" fontId="0" fillId="8" borderId="17" xfId="0" applyFill="1" applyBorder="1"/>
    <xf numFmtId="0" fontId="0" fillId="8" borderId="0" xfId="0" applyFill="1"/>
    <xf numFmtId="0" fontId="0" fillId="8" borderId="5" xfId="0" applyFill="1" applyBorder="1"/>
    <xf numFmtId="0" fontId="0" fillId="8" borderId="7" xfId="0" applyFill="1" applyBorder="1"/>
    <xf numFmtId="0" fontId="0" fillId="6" borderId="11" xfId="0" applyFill="1" applyBorder="1"/>
    <xf numFmtId="0" fontId="12" fillId="6" borderId="0" xfId="0" applyFont="1" applyFill="1"/>
    <xf numFmtId="0" fontId="0" fillId="8" borderId="2" xfId="0" applyFill="1" applyBorder="1"/>
    <xf numFmtId="10" fontId="0" fillId="8" borderId="13" xfId="0" applyNumberFormat="1" applyFill="1" applyBorder="1"/>
    <xf numFmtId="0" fontId="0" fillId="8" borderId="14" xfId="0" applyFill="1" applyBorder="1"/>
    <xf numFmtId="10" fontId="0" fillId="8" borderId="14" xfId="0" applyNumberFormat="1" applyFill="1" applyBorder="1"/>
    <xf numFmtId="10" fontId="0" fillId="11" borderId="14" xfId="0" applyNumberFormat="1" applyFill="1" applyBorder="1"/>
    <xf numFmtId="0" fontId="1" fillId="0" borderId="1" xfId="0" applyFont="1" applyBorder="1"/>
    <xf numFmtId="0" fontId="0" fillId="12" borderId="0" xfId="0" applyFill="1"/>
    <xf numFmtId="164" fontId="0" fillId="12" borderId="0" xfId="0" applyNumberFormat="1" applyFill="1"/>
    <xf numFmtId="0" fontId="0" fillId="11" borderId="17" xfId="0" applyFill="1" applyBorder="1"/>
    <xf numFmtId="0" fontId="0" fillId="11" borderId="0" xfId="0" applyFill="1"/>
    <xf numFmtId="164" fontId="0" fillId="8" borderId="28" xfId="0" applyNumberFormat="1" applyFill="1" applyBorder="1"/>
    <xf numFmtId="164" fontId="0" fillId="8" borderId="34" xfId="0" applyNumberFormat="1" applyFill="1" applyBorder="1"/>
    <xf numFmtId="0" fontId="13" fillId="0" borderId="0" xfId="0" applyFont="1"/>
    <xf numFmtId="0" fontId="0" fillId="14" borderId="2" xfId="0" applyFill="1" applyBorder="1"/>
    <xf numFmtId="0" fontId="0" fillId="14" borderId="3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6" borderId="0" xfId="0" applyFill="1"/>
    <xf numFmtId="0" fontId="0" fillId="16" borderId="17" xfId="0" applyFill="1" applyBorder="1"/>
    <xf numFmtId="0" fontId="0" fillId="12" borderId="2" xfId="0" applyFill="1" applyBorder="1"/>
    <xf numFmtId="0" fontId="0" fillId="12" borderId="7" xfId="0" applyFill="1" applyBorder="1"/>
    <xf numFmtId="0" fontId="0" fillId="6" borderId="2" xfId="0" applyFill="1" applyBorder="1"/>
    <xf numFmtId="0" fontId="0" fillId="13" borderId="2" xfId="0" applyFill="1" applyBorder="1"/>
    <xf numFmtId="0" fontId="0" fillId="13" borderId="7" xfId="0" applyFill="1" applyBorder="1"/>
    <xf numFmtId="164" fontId="0" fillId="12" borderId="13" xfId="0" applyNumberFormat="1" applyFill="1" applyBorder="1"/>
    <xf numFmtId="164" fontId="0" fillId="12" borderId="15" xfId="0" applyNumberFormat="1" applyFill="1" applyBorder="1"/>
    <xf numFmtId="164" fontId="0" fillId="6" borderId="13" xfId="0" applyNumberFormat="1" applyFill="1" applyBorder="1"/>
    <xf numFmtId="44" fontId="0" fillId="6" borderId="15" xfId="3" applyFont="1" applyFill="1" applyBorder="1"/>
    <xf numFmtId="44" fontId="0" fillId="13" borderId="15" xfId="3" applyFont="1" applyFill="1" applyBorder="1"/>
    <xf numFmtId="9" fontId="0" fillId="0" borderId="0" xfId="1" applyFont="1"/>
    <xf numFmtId="9" fontId="0" fillId="18" borderId="0" xfId="1" applyFont="1" applyFill="1"/>
    <xf numFmtId="44" fontId="0" fillId="13" borderId="13" xfId="3" applyFont="1" applyFill="1" applyBorder="1"/>
    <xf numFmtId="0" fontId="0" fillId="11" borderId="41" xfId="0" applyFill="1" applyBorder="1"/>
    <xf numFmtId="0" fontId="0" fillId="11" borderId="3" xfId="0" applyFill="1" applyBorder="1"/>
    <xf numFmtId="0" fontId="0" fillId="16" borderId="42" xfId="0" applyFill="1" applyBorder="1"/>
    <xf numFmtId="0" fontId="0" fillId="11" borderId="42" xfId="0" applyFill="1" applyBorder="1"/>
    <xf numFmtId="0" fontId="0" fillId="0" borderId="43" xfId="0" applyBorder="1"/>
    <xf numFmtId="0" fontId="0" fillId="6" borderId="40" xfId="0" applyFill="1" applyBorder="1"/>
    <xf numFmtId="9" fontId="0" fillId="12" borderId="0" xfId="1" applyFont="1" applyFill="1"/>
    <xf numFmtId="0" fontId="14" fillId="11" borderId="0" xfId="0" applyFont="1" applyFill="1"/>
    <xf numFmtId="0" fontId="0" fillId="19" borderId="0" xfId="0" applyFill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19" borderId="0" xfId="0" applyFont="1" applyFill="1"/>
    <xf numFmtId="0" fontId="0" fillId="6" borderId="9" xfId="0" applyFill="1" applyBorder="1"/>
    <xf numFmtId="0" fontId="0" fillId="11" borderId="6" xfId="0" applyFill="1" applyBorder="1"/>
    <xf numFmtId="0" fontId="0" fillId="19" borderId="17" xfId="0" applyFill="1" applyBorder="1"/>
    <xf numFmtId="0" fontId="0" fillId="19" borderId="6" xfId="0" applyFill="1" applyBorder="1"/>
    <xf numFmtId="0" fontId="0" fillId="16" borderId="6" xfId="0" applyFill="1" applyBorder="1"/>
    <xf numFmtId="0" fontId="0" fillId="16" borderId="5" xfId="0" applyFill="1" applyBorder="1"/>
    <xf numFmtId="0" fontId="0" fillId="11" borderId="5" xfId="0" applyFill="1" applyBorder="1"/>
    <xf numFmtId="0" fontId="0" fillId="19" borderId="5" xfId="0" applyFill="1" applyBorder="1"/>
    <xf numFmtId="0" fontId="12" fillId="0" borderId="0" xfId="0" applyFont="1"/>
    <xf numFmtId="0" fontId="0" fillId="0" borderId="40" xfId="0" applyBorder="1"/>
    <xf numFmtId="0" fontId="0" fillId="0" borderId="42" xfId="0" applyBorder="1"/>
    <xf numFmtId="0" fontId="14" fillId="14" borderId="7" xfId="0" applyFont="1" applyFill="1" applyBorder="1"/>
    <xf numFmtId="0" fontId="0" fillId="19" borderId="42" xfId="0" applyFill="1" applyBorder="1"/>
    <xf numFmtId="0" fontId="1" fillId="20" borderId="10" xfId="0" applyFont="1" applyFill="1" applyBorder="1"/>
    <xf numFmtId="0" fontId="1" fillId="20" borderId="11" xfId="0" applyFont="1" applyFill="1" applyBorder="1"/>
    <xf numFmtId="0" fontId="0" fillId="21" borderId="0" xfId="0" applyFill="1"/>
    <xf numFmtId="0" fontId="14" fillId="19" borderId="17" xfId="0" applyFont="1" applyFill="1" applyBorder="1"/>
    <xf numFmtId="0" fontId="0" fillId="21" borderId="17" xfId="0" applyFill="1" applyBorder="1"/>
    <xf numFmtId="0" fontId="0" fillId="8" borderId="45" xfId="0" applyFill="1" applyBorder="1"/>
    <xf numFmtId="0" fontId="0" fillId="8" borderId="46" xfId="0" applyFill="1" applyBorder="1"/>
    <xf numFmtId="0" fontId="0" fillId="11" borderId="46" xfId="0" applyFill="1" applyBorder="1"/>
    <xf numFmtId="0" fontId="0" fillId="16" borderId="46" xfId="0" applyFill="1" applyBorder="1"/>
    <xf numFmtId="0" fontId="0" fillId="0" borderId="47" xfId="0" applyBorder="1"/>
    <xf numFmtId="0" fontId="0" fillId="0" borderId="48" xfId="0" applyBorder="1"/>
    <xf numFmtId="0" fontId="0" fillId="6" borderId="44" xfId="0" applyFill="1" applyBorder="1"/>
    <xf numFmtId="0" fontId="0" fillId="17" borderId="44" xfId="0" applyFill="1" applyBorder="1"/>
    <xf numFmtId="0" fontId="0" fillId="17" borderId="45" xfId="0" applyFill="1" applyBorder="1"/>
    <xf numFmtId="0" fontId="0" fillId="17" borderId="46" xfId="0" applyFill="1" applyBorder="1"/>
    <xf numFmtId="0" fontId="0" fillId="0" borderId="46" xfId="0" applyBorder="1"/>
    <xf numFmtId="0" fontId="0" fillId="19" borderId="45" xfId="0" applyFill="1" applyBorder="1"/>
    <xf numFmtId="0" fontId="0" fillId="19" borderId="46" xfId="0" applyFill="1" applyBorder="1"/>
    <xf numFmtId="0" fontId="0" fillId="21" borderId="46" xfId="0" applyFill="1" applyBorder="1"/>
    <xf numFmtId="0" fontId="0" fillId="5" borderId="10" xfId="0" applyFill="1" applyBorder="1" applyAlignment="1">
      <alignment horizontal="center"/>
    </xf>
    <xf numFmtId="44" fontId="0" fillId="0" borderId="0" xfId="3" applyFont="1"/>
    <xf numFmtId="0" fontId="0" fillId="21" borderId="6" xfId="0" applyFill="1" applyBorder="1"/>
    <xf numFmtId="0" fontId="0" fillId="21" borderId="5" xfId="0" applyFill="1" applyBorder="1"/>
    <xf numFmtId="0" fontId="0" fillId="22" borderId="1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15" borderId="4" xfId="0" applyFill="1" applyBorder="1" applyAlignment="1">
      <alignment horizontal="left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7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14" borderId="7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5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8" fontId="0" fillId="14" borderId="2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4" fontId="0" fillId="4" borderId="0" xfId="0" applyNumberForma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8" fillId="14" borderId="7" xfId="0" applyFont="1" applyFill="1" applyBorder="1" applyAlignment="1">
      <alignment horizontal="left"/>
    </xf>
    <xf numFmtId="0" fontId="18" fillId="14" borderId="8" xfId="0" applyFont="1" applyFill="1" applyBorder="1" applyAlignment="1">
      <alignment horizontal="left"/>
    </xf>
    <xf numFmtId="0" fontId="18" fillId="14" borderId="9" xfId="0" applyFont="1" applyFill="1" applyBorder="1" applyAlignment="1">
      <alignment horizontal="left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2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 outline="0">
        <left style="thick">
          <color indexed="64"/>
        </left>
        <right/>
        <top/>
        <bottom/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  <border diagonalUp="0" diagonalDown="0" outline="0">
        <left/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numFmt numFmtId="164" formatCode="_-[$R-1C09]* #,##0.00_-;\-[$R-1C09]* #,##0.00_-;_-[$R-1C09]* &quot;-&quot;??_-;_-@_-"/>
    </dxf>
    <dxf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 style="thick">
          <color indexed="64"/>
        </right>
        <top/>
        <bottom/>
        <vertical/>
        <horizontal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vertic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164" formatCode="_-[$R-1C09]* #,##0.00_-;\-[$R-1C09]* #,##0.00_-;_-[$R-1C09]* &quot;-&quot;??_-;_-@_-"/>
      <border diagonalUp="0" diagonalDown="0">
        <left/>
        <right style="thick">
          <color indexed="64"/>
        </right>
        <vertical/>
      </border>
    </dxf>
    <dxf>
      <numFmt numFmtId="164" formatCode="_-[$R-1C09]* #,##0.00_-;\-[$R-1C09]* #,##0.00_-;_-[$R-1C09]* &quot;-&quot;??_-;_-@_-"/>
      <border diagonalUp="0" diagonalDown="0">
        <left style="thick">
          <color indexed="64"/>
        </left>
        <right/>
        <top/>
        <bottom style="thick">
          <color indexed="64"/>
        </bottom>
        <vertical/>
        <horizontal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  <border diagonalUp="0" diagonalDown="0">
        <left/>
        <right/>
        <top/>
        <bottom style="thick">
          <color indexed="64"/>
        </bottom>
        <vertical/>
        <horizontal/>
      </border>
    </dxf>
    <dxf>
      <border diagonalUp="0" diagonalDown="0">
        <left style="thick">
          <color indexed="64"/>
        </left>
        <right style="thick">
          <color indexed="64"/>
        </right>
        <vertical/>
      </border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numFmt numFmtId="164" formatCode="_-[$R-1C09]* #,##0.00_-;\-[$R-1C09]* #,##0.00_-;_-[$R-1C09]* &quot;-&quot;??_-;_-@_-"/>
    </dxf>
    <dxf>
      <border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91440</xdr:colOff>
      <xdr:row>6</xdr:row>
      <xdr:rowOff>144780</xdr:rowOff>
    </xdr:from>
    <xdr:ext cx="86619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2BE786-3B2A-EF37-B4DF-5DEC9C421501}"/>
            </a:ext>
          </a:extLst>
        </xdr:cNvPr>
        <xdr:cNvSpPr txBox="1"/>
      </xdr:nvSpPr>
      <xdr:spPr>
        <a:xfrm>
          <a:off x="9410700" y="1264920"/>
          <a:ext cx="8661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/>
            <a:t>TYME BANK</a:t>
          </a:r>
        </a:p>
      </xdr:txBody>
    </xdr:sp>
    <xdr:clientData/>
  </xdr:oneCellAnchor>
  <xdr:oneCellAnchor>
    <xdr:from>
      <xdr:col>53</xdr:col>
      <xdr:colOff>91440</xdr:colOff>
      <xdr:row>6</xdr:row>
      <xdr:rowOff>121920</xdr:rowOff>
    </xdr:from>
    <xdr:ext cx="41729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543BA9-3DC6-EE42-0BF6-C2681945FDF8}"/>
            </a:ext>
          </a:extLst>
        </xdr:cNvPr>
        <xdr:cNvSpPr txBox="1"/>
      </xdr:nvSpPr>
      <xdr:spPr>
        <a:xfrm>
          <a:off x="11948160" y="1242060"/>
          <a:ext cx="4172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ZA" sz="1100"/>
            <a:t>FNB</a:t>
          </a:r>
        </a:p>
      </xdr:txBody>
    </xdr:sp>
    <xdr:clientData/>
  </xdr:oneCellAnchor>
  <xdr:twoCellAnchor>
    <xdr:from>
      <xdr:col>27</xdr:col>
      <xdr:colOff>29526</xdr:colOff>
      <xdr:row>14</xdr:row>
      <xdr:rowOff>7621</xdr:rowOff>
    </xdr:from>
    <xdr:to>
      <xdr:col>50</xdr:col>
      <xdr:colOff>76199</xdr:colOff>
      <xdr:row>17</xdr:row>
      <xdr:rowOff>60008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6D56BAE-5403-06F4-732C-3FD9FDC2C8AC}"/>
            </a:ext>
          </a:extLst>
        </xdr:cNvPr>
        <xdr:cNvSpPr/>
      </xdr:nvSpPr>
      <xdr:spPr>
        <a:xfrm rot="5400000">
          <a:off x="8915399" y="601028"/>
          <a:ext cx="601027" cy="4626293"/>
        </a:xfrm>
        <a:prstGeom prst="rightBrace">
          <a:avLst/>
        </a:prstGeom>
        <a:ln w="5715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33</xdr:col>
      <xdr:colOff>144780</xdr:colOff>
      <xdr:row>17</xdr:row>
      <xdr:rowOff>180974</xdr:rowOff>
    </xdr:from>
    <xdr:to>
      <xdr:col>42</xdr:col>
      <xdr:colOff>11431</xdr:colOff>
      <xdr:row>21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AD6325-B9C1-2DDD-5AA5-1814AFB60507}"/>
            </a:ext>
          </a:extLst>
        </xdr:cNvPr>
        <xdr:cNvSpPr txBox="1"/>
      </xdr:nvSpPr>
      <xdr:spPr>
        <a:xfrm>
          <a:off x="8641080" y="3314699"/>
          <a:ext cx="1200151" cy="664846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TymeBank with 4% Interst</a:t>
          </a:r>
          <a:endParaRPr lang="en-ZA" sz="1100" b="1"/>
        </a:p>
      </xdr:txBody>
    </xdr:sp>
    <xdr:clientData/>
  </xdr:twoCellAnchor>
  <xdr:twoCellAnchor>
    <xdr:from>
      <xdr:col>50</xdr:col>
      <xdr:colOff>137160</xdr:colOff>
      <xdr:row>14</xdr:row>
      <xdr:rowOff>1</xdr:rowOff>
    </xdr:from>
    <xdr:to>
      <xdr:col>95</xdr:col>
      <xdr:colOff>247648</xdr:colOff>
      <xdr:row>17</xdr:row>
      <xdr:rowOff>48578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24EDA89-DF56-E795-0005-A02A1FB23969}"/>
            </a:ext>
          </a:extLst>
        </xdr:cNvPr>
        <xdr:cNvSpPr/>
      </xdr:nvSpPr>
      <xdr:spPr>
        <a:xfrm rot="5400000">
          <a:off x="16192975" y="-1996914"/>
          <a:ext cx="597217" cy="9803128"/>
        </a:xfrm>
        <a:prstGeom prst="rightBrace">
          <a:avLst/>
        </a:prstGeom>
        <a:ln w="5715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70</xdr:col>
      <xdr:colOff>17145</xdr:colOff>
      <xdr:row>17</xdr:row>
      <xdr:rowOff>161925</xdr:rowOff>
    </xdr:from>
    <xdr:to>
      <xdr:col>76</xdr:col>
      <xdr:colOff>179070</xdr:colOff>
      <xdr:row>21</xdr:row>
      <xdr:rowOff>97155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0CE1FC6-637F-5DCE-883D-4383EBDE27A4}"/>
            </a:ext>
          </a:extLst>
        </xdr:cNvPr>
        <xdr:cNvSpPr txBox="1"/>
      </xdr:nvSpPr>
      <xdr:spPr>
        <a:xfrm>
          <a:off x="16019145" y="3295650"/>
          <a:ext cx="1114425" cy="65913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FNB with 6.05% Interest</a:t>
          </a:r>
          <a:endParaRPr lang="en-ZA" sz="1100" b="1"/>
        </a:p>
      </xdr:txBody>
    </xdr:sp>
    <xdr:clientData/>
  </xdr:twoCellAnchor>
  <xdr:twoCellAnchor>
    <xdr:from>
      <xdr:col>98</xdr:col>
      <xdr:colOff>21905</xdr:colOff>
      <xdr:row>14</xdr:row>
      <xdr:rowOff>4</xdr:rowOff>
    </xdr:from>
    <xdr:to>
      <xdr:col>155</xdr:col>
      <xdr:colOff>134469</xdr:colOff>
      <xdr:row>17</xdr:row>
      <xdr:rowOff>58106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9175A4E7-3418-2E33-6E9B-A96E4BD8AEB4}"/>
            </a:ext>
          </a:extLst>
        </xdr:cNvPr>
        <xdr:cNvSpPr/>
      </xdr:nvSpPr>
      <xdr:spPr>
        <a:xfrm rot="5400000">
          <a:off x="27306324" y="-2855592"/>
          <a:ext cx="595985" cy="11470847"/>
        </a:xfrm>
        <a:prstGeom prst="rightBrace">
          <a:avLst/>
        </a:prstGeom>
        <a:ln w="5715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124</xdr:col>
      <xdr:colOff>129090</xdr:colOff>
      <xdr:row>17</xdr:row>
      <xdr:rowOff>151055</xdr:rowOff>
    </xdr:from>
    <xdr:to>
      <xdr:col>129</xdr:col>
      <xdr:colOff>87068</xdr:colOff>
      <xdr:row>21</xdr:row>
      <xdr:rowOff>151055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88483E-99AF-237C-5423-52A15E2CB433}"/>
            </a:ext>
          </a:extLst>
        </xdr:cNvPr>
        <xdr:cNvSpPr txBox="1"/>
      </xdr:nvSpPr>
      <xdr:spPr>
        <a:xfrm>
          <a:off x="27023208" y="3270773"/>
          <a:ext cx="1132354" cy="7171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FNB with 6.55% Interest</a:t>
          </a:r>
          <a:endParaRPr lang="en-ZA" sz="1100" b="1"/>
        </a:p>
      </xdr:txBody>
    </xdr:sp>
    <xdr:clientData/>
  </xdr:twoCellAnchor>
  <xdr:twoCellAnchor>
    <xdr:from>
      <xdr:col>67</xdr:col>
      <xdr:colOff>37147</xdr:colOff>
      <xdr:row>22</xdr:row>
      <xdr:rowOff>3</xdr:rowOff>
    </xdr:from>
    <xdr:to>
      <xdr:col>169</xdr:col>
      <xdr:colOff>116544</xdr:colOff>
      <xdr:row>25</xdr:row>
      <xdr:rowOff>58105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8DA32F65-E262-742F-49FE-6D11BF41C18F}"/>
            </a:ext>
          </a:extLst>
        </xdr:cNvPr>
        <xdr:cNvSpPr/>
      </xdr:nvSpPr>
      <xdr:spPr>
        <a:xfrm rot="5400000">
          <a:off x="25552382" y="-6115609"/>
          <a:ext cx="595985" cy="20859586"/>
        </a:xfrm>
        <a:prstGeom prst="rightBrace">
          <a:avLst/>
        </a:prstGeom>
        <a:ln w="571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112</xdr:col>
      <xdr:colOff>196440</xdr:colOff>
      <xdr:row>26</xdr:row>
      <xdr:rowOff>72279</xdr:rowOff>
    </xdr:from>
    <xdr:to>
      <xdr:col>123</xdr:col>
      <xdr:colOff>41300</xdr:colOff>
      <xdr:row>28</xdr:row>
      <xdr:rowOff>174812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825AB0A-358E-5563-79C0-F489B99C60D2}"/>
            </a:ext>
          </a:extLst>
        </xdr:cNvPr>
        <xdr:cNvSpPr txBox="1"/>
      </xdr:nvSpPr>
      <xdr:spPr>
        <a:xfrm>
          <a:off x="24472864" y="4814608"/>
          <a:ext cx="2184648" cy="47008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of missed payments</a:t>
          </a:r>
          <a:r>
            <a:rPr lang="en-ZA" sz="1100" b="1" baseline="0"/>
            <a:t> by active members</a:t>
          </a:r>
          <a:endParaRPr lang="en-ZA" sz="1100" b="1"/>
        </a:p>
      </xdr:txBody>
    </xdr:sp>
    <xdr:clientData/>
  </xdr:twoCellAnchor>
  <xdr:twoCellAnchor>
    <xdr:from>
      <xdr:col>97</xdr:col>
      <xdr:colOff>143435</xdr:colOff>
      <xdr:row>13</xdr:row>
      <xdr:rowOff>116542</xdr:rowOff>
    </xdr:from>
    <xdr:to>
      <xdr:col>99</xdr:col>
      <xdr:colOff>53788</xdr:colOff>
      <xdr:row>18</xdr:row>
      <xdr:rowOff>161365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B051E527-40E4-2FDB-5EDE-251FD546BA9D}"/>
            </a:ext>
          </a:extLst>
        </xdr:cNvPr>
        <xdr:cNvSpPr/>
      </xdr:nvSpPr>
      <xdr:spPr>
        <a:xfrm>
          <a:off x="21784235" y="2510118"/>
          <a:ext cx="251012" cy="950259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155</xdr:col>
      <xdr:colOff>26893</xdr:colOff>
      <xdr:row>13</xdr:row>
      <xdr:rowOff>125507</xdr:rowOff>
    </xdr:from>
    <xdr:to>
      <xdr:col>156</xdr:col>
      <xdr:colOff>0</xdr:colOff>
      <xdr:row>18</xdr:row>
      <xdr:rowOff>170330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64AB4157-5118-5B86-FCEA-8060569AD189}"/>
            </a:ext>
          </a:extLst>
        </xdr:cNvPr>
        <xdr:cNvSpPr/>
      </xdr:nvSpPr>
      <xdr:spPr>
        <a:xfrm>
          <a:off x="33232164" y="2519083"/>
          <a:ext cx="251012" cy="950259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95</xdr:col>
      <xdr:colOff>209773</xdr:colOff>
      <xdr:row>19</xdr:row>
      <xdr:rowOff>79339</xdr:rowOff>
    </xdr:from>
    <xdr:to>
      <xdr:col>101</xdr:col>
      <xdr:colOff>104998</xdr:colOff>
      <xdr:row>23</xdr:row>
      <xdr:rowOff>79339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F245FC2-7D40-8B14-E87A-27E16D31F07D}"/>
            </a:ext>
          </a:extLst>
        </xdr:cNvPr>
        <xdr:cNvSpPr txBox="1"/>
      </xdr:nvSpPr>
      <xdr:spPr>
        <a:xfrm>
          <a:off x="21366479" y="3557645"/>
          <a:ext cx="1132354" cy="7171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baseline="0"/>
            <a:t>FNB Interest Rates Change to 6.55%</a:t>
          </a:r>
          <a:endParaRPr lang="en-ZA" sz="1100" b="1"/>
        </a:p>
      </xdr:txBody>
    </xdr:sp>
    <xdr:clientData/>
  </xdr:twoCellAnchor>
  <xdr:twoCellAnchor>
    <xdr:from>
      <xdr:col>153</xdr:col>
      <xdr:colOff>66338</xdr:colOff>
      <xdr:row>19</xdr:row>
      <xdr:rowOff>70375</xdr:rowOff>
    </xdr:from>
    <xdr:to>
      <xdr:col>157</xdr:col>
      <xdr:colOff>158786</xdr:colOff>
      <xdr:row>23</xdr:row>
      <xdr:rowOff>70375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76BCE0F-6EBD-16DA-9EDF-3F160AD5715F}"/>
            </a:ext>
          </a:extLst>
        </xdr:cNvPr>
        <xdr:cNvSpPr txBox="1"/>
      </xdr:nvSpPr>
      <xdr:spPr>
        <a:xfrm>
          <a:off x="32787514" y="3548681"/>
          <a:ext cx="1132354" cy="7171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baseline="0"/>
            <a:t>FNB Interest Rates Change to 7.05%</a:t>
          </a:r>
          <a:endParaRPr lang="en-ZA" sz="1100" b="1"/>
        </a:p>
      </xdr:txBody>
    </xdr:sp>
    <xdr:clientData/>
  </xdr:twoCellAnchor>
  <xdr:twoCellAnchor>
    <xdr:from>
      <xdr:col>155</xdr:col>
      <xdr:colOff>179292</xdr:colOff>
      <xdr:row>14</xdr:row>
      <xdr:rowOff>9</xdr:rowOff>
    </xdr:from>
    <xdr:to>
      <xdr:col>169</xdr:col>
      <xdr:colOff>125504</xdr:colOff>
      <xdr:row>17</xdr:row>
      <xdr:rowOff>58111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2D40D48A-BFAF-C0E7-53DC-708C0B5ADE1F}"/>
            </a:ext>
          </a:extLst>
        </xdr:cNvPr>
        <xdr:cNvSpPr/>
      </xdr:nvSpPr>
      <xdr:spPr>
        <a:xfrm rot="5400000">
          <a:off x="34538853" y="1427554"/>
          <a:ext cx="595985" cy="2904565"/>
        </a:xfrm>
        <a:prstGeom prst="rightBrace">
          <a:avLst/>
        </a:prstGeom>
        <a:ln w="5715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159</xdr:col>
      <xdr:colOff>21514</xdr:colOff>
      <xdr:row>17</xdr:row>
      <xdr:rowOff>142090</xdr:rowOff>
    </xdr:from>
    <xdr:to>
      <xdr:col>164</xdr:col>
      <xdr:colOff>122926</xdr:colOff>
      <xdr:row>21</xdr:row>
      <xdr:rowOff>142090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23928D-7A32-3482-C02F-5B7F59CEC9CD}"/>
            </a:ext>
          </a:extLst>
        </xdr:cNvPr>
        <xdr:cNvSpPr txBox="1"/>
      </xdr:nvSpPr>
      <xdr:spPr>
        <a:xfrm>
          <a:off x="34266690" y="3261808"/>
          <a:ext cx="1132354" cy="7171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/>
            <a:t>Days while</a:t>
          </a:r>
          <a:r>
            <a:rPr lang="en-ZA" sz="1100" b="1" baseline="0"/>
            <a:t> under FNB with 7.05% Interest</a:t>
          </a:r>
          <a:endParaRPr lang="en-ZA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13</xdr:col>
      <xdr:colOff>157656</xdr:colOff>
      <xdr:row>48</xdr:row>
      <xdr:rowOff>131445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A72C11-117B-7726-4C6B-A9BAEDEB0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41570"/>
          <a:ext cx="7632876" cy="3800475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438149</xdr:colOff>
      <xdr:row>26</xdr:row>
      <xdr:rowOff>167639</xdr:rowOff>
    </xdr:from>
    <xdr:to>
      <xdr:col>26</xdr:col>
      <xdr:colOff>91439</xdr:colOff>
      <xdr:row>51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5B5CB-7A85-EEC0-0302-5CF813D8B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9089"/>
        <a:stretch/>
      </xdr:blipFill>
      <xdr:spPr>
        <a:xfrm>
          <a:off x="8660129" y="4754879"/>
          <a:ext cx="7768590" cy="44881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53</xdr:row>
      <xdr:rowOff>129540</xdr:rowOff>
    </xdr:from>
    <xdr:to>
      <xdr:col>15</xdr:col>
      <xdr:colOff>495301</xdr:colOff>
      <xdr:row>80</xdr:row>
      <xdr:rowOff>171973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B66A58-FD81-1968-A1FE-3D3F3E686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837420"/>
          <a:ext cx="9380220" cy="498019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AA287-319D-4786-9B10-F3E7012B8BE0}" name="Table13" displayName="Table13" ref="A18:AA29" totalsRowCount="1" headerRowBorderDxfId="201">
  <autoFilter ref="A18:AA28" xr:uid="{FE1AA287-319D-4786-9B10-F3E7012B8BE0}"/>
  <tableColumns count="27">
    <tableColumn id="1" xr3:uid="{CB39FAF3-23C0-4A67-BA6A-D493F3F623EB}" name="Member" dataDxfId="56" totalsRowDxfId="29"/>
    <tableColumn id="2" xr3:uid="{1C9A4A79-1525-47BB-9AC0-524D067AFAAB}" name="Jan" totalsRowLabel="1" dataDxfId="55" totalsRowDxfId="28"/>
    <tableColumn id="3" xr3:uid="{51AAECFE-19B9-4B80-96F7-44F9E784BA20}" name="Jan_Int" dataDxfId="54" totalsRowDxfId="27"/>
    <tableColumn id="4" xr3:uid="{07EF27A2-6892-46C4-A7F0-AD3EDAC73042}" name="Feb" totalsRowLabel="1" dataDxfId="53" totalsRowDxfId="26"/>
    <tableColumn id="5" xr3:uid="{575EE8A8-5FEE-4666-BD59-77A0F53267A0}" name="Feb_Int" dataDxfId="52" totalsRowDxfId="25"/>
    <tableColumn id="6" xr3:uid="{E7EE9D0F-2F84-42B9-8E2B-F950FBAA5744}" name="Mar" totalsRowLabel="2" dataDxfId="51" totalsRowDxfId="24"/>
    <tableColumn id="7" xr3:uid="{0A3A7446-5F4C-4E42-85EE-8FC8073E43AB}" name="Mar_Int" dataDxfId="50" totalsRowDxfId="23"/>
    <tableColumn id="8" xr3:uid="{7A22804A-6FAA-4443-BAD0-1E77E2980200}" name="Apr" totalsRowLabel="1" dataDxfId="49" totalsRowDxfId="22"/>
    <tableColumn id="9" xr3:uid="{B9D47253-1D3A-4B86-9817-1A2A0D198C43}" name="Apr_Int" dataDxfId="48" totalsRowDxfId="21"/>
    <tableColumn id="10" xr3:uid="{07A5C126-C292-45E6-AB0C-5CB90E08B94E}" name="May" totalsRowLabel="3" dataDxfId="47" totalsRowDxfId="20"/>
    <tableColumn id="11" xr3:uid="{F5477301-2547-4222-A3D8-8382CEBD56F7}" name="May_Int" dataDxfId="46" totalsRowDxfId="19"/>
    <tableColumn id="12" xr3:uid="{4346403E-6AF8-4867-9996-B4DBB5D5BCBE}" name="Jun" totalsRowLabel="4" dataDxfId="45" totalsRowDxfId="18"/>
    <tableColumn id="13" xr3:uid="{EBF015CF-F712-4912-B600-5B985D80B50D}" name="Jun_Int" totalsRowFunction="custom" dataDxfId="44" totalsRowDxfId="17">
      <totalsRowFormula>M28+K28+I28+G28+E28+C28</totalsRowFormula>
    </tableColumn>
    <tableColumn id="14" xr3:uid="{F0256C49-3190-482A-859E-DDCF57B569DF}" name="Jul" dataDxfId="43" totalsRowDxfId="16"/>
    <tableColumn id="15" xr3:uid="{4670AE07-4B8C-4FF5-8712-82FE60D3823A}" name="Jul_Int" dataDxfId="42" totalsRowDxfId="15"/>
    <tableColumn id="16" xr3:uid="{6C9413A7-136F-4F25-9A70-5FC4E93B6026}" name="Aug" dataDxfId="41" totalsRowDxfId="14"/>
    <tableColumn id="17" xr3:uid="{B9F07729-CA6B-4EF4-8F70-9D12B528A0D6}" name="Aug_Int" dataDxfId="40" totalsRowDxfId="13"/>
    <tableColumn id="18" xr3:uid="{36DE0780-1A8D-4223-A876-3A3F0AD826E9}" name="Sep" dataDxfId="39" totalsRowDxfId="12"/>
    <tableColumn id="19" xr3:uid="{F9FC677E-32C4-4106-A28B-07D4634B13DB}" name="Sep_Int" dataDxfId="38" totalsRowDxfId="11"/>
    <tableColumn id="20" xr3:uid="{6709138B-5783-46C2-9457-B09C84B24FD5}" name="Oct" dataDxfId="37" totalsRowDxfId="10"/>
    <tableColumn id="21" xr3:uid="{9FE08B33-3233-4F3D-9DF8-E7B14B3F6F59}" name="Oct_Int" dataDxfId="36" totalsRowDxfId="9"/>
    <tableColumn id="22" xr3:uid="{67262007-F363-4D3C-A849-A7A8B14BE2A8}" name="Nov" dataDxfId="35" totalsRowDxfId="8"/>
    <tableColumn id="23" xr3:uid="{E62FF555-E654-405C-AF40-6C776E2F373C}" name="Nov_Int" dataDxfId="34" totalsRowDxfId="7"/>
    <tableColumn id="24" xr3:uid="{33261DAD-C39F-41A5-AC4B-F13C4B245203}" name="Dec" dataDxfId="33" totalsRowDxfId="6"/>
    <tableColumn id="25" xr3:uid="{7DC050B4-E8FD-4C58-A51B-3A18A12148AA}" name="Dec_Int" dataDxfId="32" totalsRowDxfId="5"/>
    <tableColumn id="26" xr3:uid="{9670EA1F-F0CD-43CE-9107-D1FAA3A6DB1B}" name="Share %" dataDxfId="31" totalsRowDxfId="4">
      <calculatedColumnFormula>MAX(Table13[[#This Row],[Jan]:[Dec_Int]])/$Y$27</calculatedColumnFormula>
    </tableColumn>
    <tableColumn id="27" xr3:uid="{33EEF73C-2690-4A1B-9BD0-01F2E8C131D5}" name="Share Value" dataDxfId="30" totalsRowDxfId="3">
      <calculatedColumnFormula>Table13[[#This Row],[Share %]]*$Y$27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290EB-AD2D-45A8-BFF7-92AE9C166BC8}" name="Table1" displayName="Table1" ref="A46:Y55" totalsRowShown="0">
  <autoFilter ref="A46:Y55" xr:uid="{132290EB-AD2D-45A8-BFF7-92AE9C166BC8}"/>
  <tableColumns count="25">
    <tableColumn id="1" xr3:uid="{33F9DE9F-21F6-4CF7-9832-5C75C7CF263B}" name="FNB"/>
    <tableColumn id="2" xr3:uid="{7695D771-3CBC-4BD3-B835-3F35D7A66B06}" name="Jan" dataDxfId="200"/>
    <tableColumn id="3" xr3:uid="{061018C0-CBA7-4DAC-93EF-CCBBC40AA1B1}" name="Jan_Int" dataDxfId="199"/>
    <tableColumn id="4" xr3:uid="{24FB38AC-3DFA-4233-9365-E48316A3EDE0}" name="Feb" dataDxfId="198"/>
    <tableColumn id="5" xr3:uid="{64AB9252-584F-44C6-94BD-4D0AB8DA002B}" name="Feb_Int" dataDxfId="197"/>
    <tableColumn id="6" xr3:uid="{E476F00C-3DEC-482C-954E-E6B7201D93C9}" name="Mar" dataDxfId="196"/>
    <tableColumn id="7" xr3:uid="{192BD93F-44C4-4FB5-B68B-425C7781AC70}" name="Mar_Int" dataDxfId="195"/>
    <tableColumn id="8" xr3:uid="{1F9D2A95-AF46-4BB1-85D6-62A6088B485E}" name="Apr" dataDxfId="194"/>
    <tableColumn id="9" xr3:uid="{2EC44485-DE9B-4E2A-8F07-50AEA2FC43A6}" name="Apr_Int" dataDxfId="193"/>
    <tableColumn id="10" xr3:uid="{3629F5C0-6D58-4809-8E71-AF1EF7F05E46}" name="May" dataDxfId="192"/>
    <tableColumn id="11" xr3:uid="{05394125-335A-4142-BB68-F994B26874CD}" name="May_Int" dataDxfId="191"/>
    <tableColumn id="12" xr3:uid="{F96F11B4-0F46-49E4-9DD1-51299EA3F509}" name="Jun" dataDxfId="190"/>
    <tableColumn id="13" xr3:uid="{8426AFD5-CB78-4CE9-9F5A-AE249598DEB0}" name="Jun_Int" dataDxfId="189"/>
    <tableColumn id="14" xr3:uid="{9C31B73A-AE21-4D1A-BBD9-0376F120314D}" name="Jul" dataDxfId="188"/>
    <tableColumn id="15" xr3:uid="{4C487A23-015D-4A36-84E8-91D5DF70DE3C}" name="Jul_Int" dataDxfId="187"/>
    <tableColumn id="16" xr3:uid="{762C685A-F87C-4F04-AAE3-E18D16054050}" name="Aug" dataDxfId="186"/>
    <tableColumn id="17" xr3:uid="{0B6E649A-6C11-416C-A9A3-6428388BDF3D}" name="Aug_Int" dataDxfId="185"/>
    <tableColumn id="18" xr3:uid="{C6CCF8B2-7CDF-4071-B39E-BF6CAA1C219D}" name="Sep" dataDxfId="184"/>
    <tableColumn id="19" xr3:uid="{AFBBC38E-330B-4DF1-B742-5D6B46EEBFFF}" name="Sep_Int" dataDxfId="183"/>
    <tableColumn id="20" xr3:uid="{0EC70F89-93AE-4E1E-9AD1-70BB1B914D7A}" name="Oct" dataDxfId="182"/>
    <tableColumn id="21" xr3:uid="{CD3BACDF-DBE2-4CF0-B22A-6041564822A2}" name="Oct_Int" dataDxfId="181"/>
    <tableColumn id="22" xr3:uid="{FD18AB77-08F3-4B18-9B18-0043F2C89E54}" name="Nov" dataDxfId="180"/>
    <tableColumn id="23" xr3:uid="{807BA4D3-6237-47CA-89C7-006D239CC364}" name="Nov_Int" dataDxfId="179"/>
    <tableColumn id="24" xr3:uid="{4C1D15F5-4B9E-4065-B654-F732083E3889}" name="Dec" dataDxfId="178"/>
    <tableColumn id="25" xr3:uid="{E030D110-000B-42D9-B5E3-E7AD1E2C5DA2}" name="Dec_Int" dataDxfId="1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151746-F5A2-4FFD-B2C5-044D9DA9E420}" name="Table16" displayName="Table16" ref="A34:Y43" totalsRowShown="0">
  <autoFilter ref="A34:Y43" xr:uid="{C7151746-F5A2-4FFD-B2C5-044D9DA9E420}"/>
  <tableColumns count="25">
    <tableColumn id="1" xr3:uid="{34622615-F3FC-4823-96C9-1EE07740DC6A}" name="SBSA"/>
    <tableColumn id="2" xr3:uid="{ADAD3515-4802-4561-B66D-CCA2879EBBAB}" name="Jan" dataDxfId="176"/>
    <tableColumn id="3" xr3:uid="{E9B02AA4-68F3-4AF2-AF7F-498FEBF97565}" name="Jan_Int" dataDxfId="175"/>
    <tableColumn id="4" xr3:uid="{50ED42B8-DBFA-4A2C-A076-C59B386020CD}" name="Feb" dataDxfId="174"/>
    <tableColumn id="5" xr3:uid="{A565F4D9-FCDD-4006-ADCB-A87906F7DD67}" name="Feb_Int" dataDxfId="173"/>
    <tableColumn id="6" xr3:uid="{A2BB6627-8587-4F5B-8907-48265B353AA7}" name="Mar" dataDxfId="172"/>
    <tableColumn id="7" xr3:uid="{0A1C2086-E331-4797-A236-7ED7FA41339A}" name="Mar_Int" dataDxfId="171"/>
    <tableColumn id="8" xr3:uid="{2A7C10B1-89FE-4CB7-A70A-6E2E27E02867}" name="Apr" dataDxfId="170"/>
    <tableColumn id="9" xr3:uid="{2C30290C-9D47-4CA7-A0BE-F8762673A47C}" name="Apr_Int" dataDxfId="169"/>
    <tableColumn id="10" xr3:uid="{EF29AC19-304B-4C85-A1D8-D52F470FB6E8}" name="May" dataDxfId="168"/>
    <tableColumn id="11" xr3:uid="{084DD0FA-3C30-4534-BE1D-0978519759B6}" name="May_Int" dataDxfId="167"/>
    <tableColumn id="12" xr3:uid="{CDC4C6B5-2FA0-407B-8277-92990E0A49D6}" name="Jun" dataDxfId="166"/>
    <tableColumn id="13" xr3:uid="{EC1B9962-8CE9-4B46-9F3F-B78B123E2542}" name="Jun_Int" dataDxfId="165"/>
    <tableColumn id="14" xr3:uid="{71E6AFB1-33F0-4503-8CCB-4963A6AB1768}" name="Jul" dataDxfId="164"/>
    <tableColumn id="15" xr3:uid="{487C709C-1E62-4FAC-8F88-CBC4FC8D5984}" name="Jul_Int" dataDxfId="163"/>
    <tableColumn id="16" xr3:uid="{7070D155-0DED-43B7-BAC2-70E01F9B0329}" name="Aug" dataDxfId="162"/>
    <tableColumn id="17" xr3:uid="{751F3EE2-EED3-4B15-BEDB-912E32943E5E}" name="Aug_Int" dataDxfId="161"/>
    <tableColumn id="18" xr3:uid="{3173A0B1-BC1B-48C1-8EFC-694E227F17C9}" name="Sep" dataDxfId="160"/>
    <tableColumn id="19" xr3:uid="{351363E7-B670-4721-878D-EF1C05E73A34}" name="Sep_Int" dataDxfId="159"/>
    <tableColumn id="20" xr3:uid="{21A62681-3CD9-41F3-B8EA-329C41C3A9B2}" name="Oct" dataDxfId="158"/>
    <tableColumn id="21" xr3:uid="{356ED9D2-F3DF-4241-9FD7-BEA8EA918E85}" name="Oct_Int" dataDxfId="157"/>
    <tableColumn id="22" xr3:uid="{6802EE66-867B-43B3-AE3E-FA87777A0228}" name="Nov" dataDxfId="156"/>
    <tableColumn id="23" xr3:uid="{46DD564F-B55E-49D8-B843-6DB310EE5861}" name="Nov_Int" dataDxfId="155"/>
    <tableColumn id="24" xr3:uid="{BBC6368D-68E5-4AB2-B5AD-F8B8CE9A2644}" name="Dec" dataDxfId="154"/>
    <tableColumn id="25" xr3:uid="{D97A1F63-C158-47B3-B26D-DD79DF541806}" name="Dec_Int" dataDxfId="1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E1AC9-887C-4CA1-BD11-C54DD6B097D1}" name="Table17" displayName="Table17" ref="A22:Y31" totalsRowShown="0">
  <autoFilter ref="A22:Y31" xr:uid="{D30E1AC9-887C-4CA1-BD11-C54DD6B097D1}"/>
  <tableColumns count="25">
    <tableColumn id="1" xr3:uid="{B8DB8263-CEE6-46C1-A754-0692507A08F6}" name="NEDBANK"/>
    <tableColumn id="2" xr3:uid="{9C9CE2E7-E8AE-46BC-8B7B-D3BAAD70A3CF}" name="Jan" dataDxfId="152"/>
    <tableColumn id="3" xr3:uid="{D6789C0E-6C96-4204-A028-ED3E145F240B}" name="Jan_Int" dataDxfId="151"/>
    <tableColumn id="4" xr3:uid="{A1A3FBE0-FC43-4F5C-926C-CE46B8579700}" name="Feb" dataDxfId="150"/>
    <tableColumn id="5" xr3:uid="{0B44AA5C-4A59-4B93-A2DA-110EA7BA6204}" name="Feb_Int" dataDxfId="149"/>
    <tableColumn id="6" xr3:uid="{7B0C1C5E-4C24-4DBB-AB5E-A716C86D86A4}" name="Mar" dataDxfId="148"/>
    <tableColumn id="7" xr3:uid="{EE31B427-BAE4-4FA8-A392-9EB3461442A7}" name="Mar_Int" dataDxfId="147"/>
    <tableColumn id="8" xr3:uid="{9D3C915E-7C87-4796-B643-BE123A9276D0}" name="Apr" dataDxfId="146"/>
    <tableColumn id="9" xr3:uid="{0232B660-94BE-4264-89C8-8ED6F04BD92B}" name="Apr_Int" dataDxfId="145"/>
    <tableColumn id="10" xr3:uid="{A5D9661B-74FF-46C1-B8D2-5A26E8F7C3D8}" name="May" dataDxfId="144"/>
    <tableColumn id="11" xr3:uid="{A7CB1BFC-5A92-428A-9B90-65AFFFA38FED}" name="May_Int" dataDxfId="143"/>
    <tableColumn id="12" xr3:uid="{0F42D0AA-35C3-4D04-8381-D20DC5AF1271}" name="Jun" dataDxfId="142"/>
    <tableColumn id="13" xr3:uid="{C5EDA139-E4BA-44AF-B871-9812FB3BE12C}" name="Jun_Int" dataDxfId="141"/>
    <tableColumn id="14" xr3:uid="{5BD0C122-32F4-48EB-A159-B3CEB84A6854}" name="Jul" dataDxfId="140"/>
    <tableColumn id="15" xr3:uid="{E0BE4908-7EA9-4B33-8178-F7CCAAF3B491}" name="Jul_Int" dataDxfId="139"/>
    <tableColumn id="16" xr3:uid="{B2F4A71E-CB09-4F4F-96B3-7984BBCB8940}" name="Aug" dataDxfId="138"/>
    <tableColumn id="17" xr3:uid="{ED28CDE7-EB1C-441A-A975-E79BD746E134}" name="Aug_Int" dataDxfId="137"/>
    <tableColumn id="18" xr3:uid="{61577D53-82D5-496A-A319-AD48483159CD}" name="Sep" dataDxfId="136"/>
    <tableColumn id="19" xr3:uid="{58202F4B-07A1-4E23-951A-36822D6AC7A8}" name="Sep_Int" dataDxfId="135"/>
    <tableColumn id="20" xr3:uid="{51C486B2-D6EB-4239-A3BF-455602DF5EF5}" name="Oct" dataDxfId="134"/>
    <tableColumn id="21" xr3:uid="{EF3305E6-5738-4FCF-AFC3-15167C5499C0}" name="Oct_Int" dataDxfId="133"/>
    <tableColumn id="22" xr3:uid="{594FF67B-EDA4-4E94-8845-0CE516D6D4DE}" name="Nov" dataDxfId="132"/>
    <tableColumn id="23" xr3:uid="{A4DE529B-EBAE-4A1A-952F-A6F19C1748B3}" name="Nov_Int" dataDxfId="131"/>
    <tableColumn id="24" xr3:uid="{222DFCA7-30BD-4E31-B1B3-3386248D1E7A}" name="Dec" dataDxfId="130"/>
    <tableColumn id="25" xr3:uid="{A5D2FD71-47C7-4C60-8DBA-AE96FCB4A60E}" name="Dec_Int" dataDxfId="1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06FF1-C3F6-43A2-B30F-1C93C6D437AA}" name="Table14" displayName="Table14" ref="A17:Y26" totalsRowShown="0">
  <autoFilter ref="A17:Y26" xr:uid="{04106FF1-C3F6-43A2-B30F-1C93C6D437AA}"/>
  <tableColumns count="25">
    <tableColumn id="1" xr3:uid="{489A964F-C6B9-41E9-9F32-ECD1E900EC2F}" name="Column1"/>
    <tableColumn id="2" xr3:uid="{A3FA1F2B-3D22-4C4E-A2A0-61DFA4EDA4C6}" name="Jan" dataDxfId="128"/>
    <tableColumn id="3" xr3:uid="{CCFDD4EA-0C76-4C45-BC31-B41A9B6E5DD2}" name="Jan_Int" dataDxfId="127"/>
    <tableColumn id="4" xr3:uid="{0CF5E572-C97C-4ADE-87FA-AA05FD01FB6B}" name="Feb" dataDxfId="126"/>
    <tableColumn id="5" xr3:uid="{EC50DD0B-8025-4DB0-9C50-53D6DFACEDEB}" name="Feb_Int" dataDxfId="125"/>
    <tableColumn id="6" xr3:uid="{C5909502-EBBD-4683-966D-ADC4FE89144E}" name="Mar" dataDxfId="124"/>
    <tableColumn id="7" xr3:uid="{21E399F7-F7BF-4DAD-AE1B-543DE17E7074}" name="Mar_Int" dataDxfId="123"/>
    <tableColumn id="8" xr3:uid="{B056BD0C-E313-4741-9ADA-D528329E4A05}" name="Apr" dataDxfId="122"/>
    <tableColumn id="9" xr3:uid="{BEA44074-E699-4DD8-A17D-6449F60C4177}" name="Apr_Int" dataDxfId="121"/>
    <tableColumn id="10" xr3:uid="{7DA7099A-2902-42C4-83C6-1D7D1EF664FB}" name="May" dataDxfId="120"/>
    <tableColumn id="11" xr3:uid="{A7377D22-7FB7-4CFC-B290-599ECB76EBE6}" name="May_Int" dataDxfId="119"/>
    <tableColumn id="12" xr3:uid="{9C561AB6-4FF4-4551-93F8-325E39532009}" name="Jun" dataDxfId="118"/>
    <tableColumn id="13" xr3:uid="{41BD2713-32D6-4F89-BE1E-C3271F3D21E0}" name="Jun_Int" dataDxfId="117"/>
    <tableColumn id="14" xr3:uid="{B2DFDCB2-77CE-4A9C-B168-956467D776C9}" name="Jul" dataDxfId="116"/>
    <tableColumn id="15" xr3:uid="{7B752DA8-BC82-43DE-B8B3-5EED09F1AA84}" name="Jul_Int" dataDxfId="115"/>
    <tableColumn id="16" xr3:uid="{811008A6-3F68-4E25-BA45-43BEFACCC7B0}" name="Aug" dataDxfId="114"/>
    <tableColumn id="17" xr3:uid="{473DEC26-6F80-4601-95E2-48EE96AC1F09}" name="Aug_Int" dataDxfId="113"/>
    <tableColumn id="18" xr3:uid="{99FA67CB-A1AC-4A02-97ED-1F2A86ED5657}" name="Sep" dataDxfId="112"/>
    <tableColumn id="19" xr3:uid="{9FC1CC3A-56E6-48D4-B999-61209B9F3C86}" name="Sep_Int" dataDxfId="111"/>
    <tableColumn id="20" xr3:uid="{C1EEEDC1-3635-400C-AB46-8FFBF0282947}" name="Oct" dataDxfId="110"/>
    <tableColumn id="21" xr3:uid="{D7EF4A12-9170-4117-9E23-07A808AFD24E}" name="Oct_Int" dataDxfId="109"/>
    <tableColumn id="22" xr3:uid="{BD0EE1C2-5E7B-4479-BE97-D74FDEBDB4E6}" name="Nov" dataDxfId="108"/>
    <tableColumn id="23" xr3:uid="{8ABC8D97-4EDC-4304-9227-007DB66DF375}" name="Nov_Int" dataDxfId="107"/>
    <tableColumn id="24" xr3:uid="{0CB90035-D150-4D6E-B870-ADD32A1C5523}" name="Dec" dataDxfId="106"/>
    <tableColumn id="25" xr3:uid="{C003F511-91BE-4B0E-9CCE-A7ABB2E4FDE2}" name="Dec_Int" dataDxfId="1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3E32A6-FD12-4155-A965-774EDE4F3A3C}" name="Table15" displayName="Table15" ref="A17:Y26" totalsRowShown="0">
  <autoFilter ref="A17:Y26" xr:uid="{7F3E32A6-FD12-4155-A965-774EDE4F3A3C}"/>
  <tableColumns count="25">
    <tableColumn id="1" xr3:uid="{C5168216-78E2-4C19-BB31-A26E14065976}" name="Column1"/>
    <tableColumn id="2" xr3:uid="{743C1935-C21A-43D9-9FA7-7462C27A446C}" name="Jan" dataDxfId="104"/>
    <tableColumn id="3" xr3:uid="{AE64D509-8869-4DD9-A595-600B85C9D5E0}" name="Jan_Int" dataDxfId="103"/>
    <tableColumn id="4" xr3:uid="{0F3CEA4F-8647-44B5-BB7C-AEA8F58D5985}" name="Feb" dataDxfId="102"/>
    <tableColumn id="5" xr3:uid="{F4B64702-0F7C-41DC-85EC-8FBBA0C4498D}" name="Feb_Int" dataDxfId="101"/>
    <tableColumn id="6" xr3:uid="{DC91DEFC-58FD-4E91-9D05-4DE3319FB73C}" name="Mar" dataDxfId="100"/>
    <tableColumn id="7" xr3:uid="{D1CDAEAA-21BA-42B6-BD63-58BDCF0C87B8}" name="Mar_Int" dataDxfId="99"/>
    <tableColumn id="8" xr3:uid="{F241BDEC-73B6-45E6-AC52-6B58BD8CEE02}" name="Apr" dataDxfId="98"/>
    <tableColumn id="9" xr3:uid="{24AB6E67-DF84-42BD-9688-5376A1DA5F83}" name="Apr_Int" dataDxfId="97"/>
    <tableColumn id="10" xr3:uid="{532E5C0C-CF8A-400C-B5D9-B5A5B306A77C}" name="May" dataDxfId="96"/>
    <tableColumn id="11" xr3:uid="{648F7117-FF68-4591-A6B5-D9C7AAAC54A0}" name="May_Int" dataDxfId="95"/>
    <tableColumn id="12" xr3:uid="{74ACF335-B0A6-4FAD-BE29-31CC394914E5}" name="Jun" dataDxfId="94"/>
    <tableColumn id="13" xr3:uid="{193B4E01-F7F6-4DED-B739-C4350BB8F6E9}" name="Jun_Int" dataDxfId="93"/>
    <tableColumn id="14" xr3:uid="{615E4287-FB10-4BB0-906D-4B38316BE226}" name="Jul" dataDxfId="92"/>
    <tableColumn id="15" xr3:uid="{BD6A2F56-1305-4FC6-BC06-ACB3577A4B08}" name="Jul_Int" dataDxfId="91"/>
    <tableColumn id="16" xr3:uid="{CB86B176-9707-4EAB-A530-4A873F5C62DC}" name="Aug" dataDxfId="90"/>
    <tableColumn id="17" xr3:uid="{AF704686-0B33-4A54-B6A6-EFC3A0A68FB0}" name="Aug_Int" dataDxfId="89"/>
    <tableColumn id="18" xr3:uid="{4FC2837A-5A5C-42D1-B6A8-C1DD5DFB67EF}" name="Sep" dataDxfId="88"/>
    <tableColumn id="19" xr3:uid="{9DD6CBDA-CDE9-4532-A9CD-DDCF5BD075DD}" name="Sep_Int" dataDxfId="87"/>
    <tableColumn id="20" xr3:uid="{62059E34-6C4D-4935-8C2C-ADD8278E98E8}" name="Oct" dataDxfId="86"/>
    <tableColumn id="21" xr3:uid="{C2AEA45C-3223-49CC-9DDF-91981E3F2DB3}" name="Oct_Int" dataDxfId="85"/>
    <tableColumn id="22" xr3:uid="{7E1FAC24-B4DC-42B9-9E8F-36837D4DA5FE}" name="Nov" dataDxfId="84"/>
    <tableColumn id="23" xr3:uid="{253345D9-3556-4290-BFBC-1CE1AA7582BD}" name="Nov_Int" dataDxfId="83"/>
    <tableColumn id="24" xr3:uid="{9069DC0D-F348-4D54-93EB-04FB6E93AF84}" name="Dec" dataDxfId="82"/>
    <tableColumn id="25" xr3:uid="{1149E2F4-CB5C-4589-80B2-043D68BAF382}" name="Dec_Int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334F08-0456-46EC-9F17-6BDB6774D19A}" name="Table148" displayName="Table148" ref="A17:Y26" totalsRowShown="0">
  <autoFilter ref="A17:Y26" xr:uid="{BE334F08-0456-46EC-9F17-6BDB6774D19A}"/>
  <tableColumns count="25">
    <tableColumn id="1" xr3:uid="{5C37B89C-EB5C-42FA-BAE7-3BA427226E1D}" name="Column1"/>
    <tableColumn id="2" xr3:uid="{FC19671A-0B63-49D0-8FCC-D73CB554B200}" name="Jan" dataDxfId="80"/>
    <tableColumn id="3" xr3:uid="{4F1EE6CF-8E4D-4970-A850-54205637182A}" name="Jan_Int" dataDxfId="79"/>
    <tableColumn id="4" xr3:uid="{533BAB94-47AF-49F3-8C13-C48354DB5A6E}" name="Feb" dataDxfId="78"/>
    <tableColumn id="5" xr3:uid="{5710357A-4BDA-4CBF-9C7C-A23D7A3847AF}" name="Feb_Int" dataDxfId="77"/>
    <tableColumn id="6" xr3:uid="{15AF484E-3125-438E-BCEB-9492B7D852CD}" name="Mar" dataDxfId="76"/>
    <tableColumn id="7" xr3:uid="{1D0092AD-A5B0-42A1-9E93-9CC36074E4C1}" name="Mar_Int" dataDxfId="75"/>
    <tableColumn id="8" xr3:uid="{30BC1C1B-5B33-4CE3-89DD-CA93C9B217A4}" name="Apr" dataDxfId="74"/>
    <tableColumn id="9" xr3:uid="{16DCD7C1-914E-4409-B1BD-CB3758BE1F8C}" name="Apr_Int" dataDxfId="73"/>
    <tableColumn id="10" xr3:uid="{2E630E3E-41A9-4F09-B6AB-3A05BDE3B9A6}" name="May" dataDxfId="72"/>
    <tableColumn id="11" xr3:uid="{6C3971F4-4628-4991-B23E-C37C8756688A}" name="May_Int" dataDxfId="71"/>
    <tableColumn id="12" xr3:uid="{2EB844B9-1C72-43C6-8340-430E520DBED9}" name="Jun" dataDxfId="70"/>
    <tableColumn id="13" xr3:uid="{ED19436A-5E31-42C7-9877-3BE5F5168FCE}" name="Jun_Int" dataDxfId="69"/>
    <tableColumn id="14" xr3:uid="{A03DCC48-F471-4A41-8B13-04E3FA15D585}" name="Jul" dataDxfId="68"/>
    <tableColumn id="15" xr3:uid="{087442B9-8BE3-48D4-95B3-0D105C226F5C}" name="Jul_Int" dataDxfId="67"/>
    <tableColumn id="16" xr3:uid="{89AF1186-270F-455A-9058-BA5A7167E29F}" name="Aug" dataDxfId="66"/>
    <tableColumn id="17" xr3:uid="{3E288AB7-FA82-40B8-AE05-F0FA2A085114}" name="Aug_Int" dataDxfId="65"/>
    <tableColumn id="18" xr3:uid="{891AD6A1-A5A0-4FCB-BD73-44D731A3F856}" name="Sep" dataDxfId="64"/>
    <tableColumn id="19" xr3:uid="{78ADB5DD-AC99-4B17-A1E7-13E7193E4831}" name="Sep_Int" dataDxfId="63"/>
    <tableColumn id="20" xr3:uid="{9A20BCD5-3161-4D4E-A829-62BBBE121D76}" name="Oct" dataDxfId="62"/>
    <tableColumn id="21" xr3:uid="{E2D6D67D-954D-4B0D-8BFF-8A60A655C814}" name="Oct_Int" dataDxfId="61"/>
    <tableColumn id="22" xr3:uid="{CE98F631-D2A6-4080-9B2D-56AA43C971E0}" name="Nov" dataDxfId="60"/>
    <tableColumn id="23" xr3:uid="{1C0F1B83-6B04-414A-B9CA-E3A7EE7D0A26}" name="Nov_Int" dataDxfId="59"/>
    <tableColumn id="24" xr3:uid="{3D4536AF-4797-4158-AC35-3D56F44EAE68}" name="Dec" dataDxfId="58"/>
    <tableColumn id="25" xr3:uid="{87474F25-ACFF-44D7-A2BD-A481A6FCD62F}" name="Dec_I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personal.nedbank.co.za/save-and-invest/accounts/on-demand/stokvel/2022-rates-and-fees.html" TargetMode="External"/><Relationship Id="rId7" Type="http://schemas.openxmlformats.org/officeDocument/2006/relationships/hyperlink" Target="https://www.standardbank.co.za/southafrica/personal/products-and-services/grow-your-money/savings-and-investment/our-accounts/society-scheme-savings-account" TargetMode="External"/><Relationship Id="rId2" Type="http://schemas.openxmlformats.org/officeDocument/2006/relationships/hyperlink" Target="https://www.standardbank.co.za/southafrica/personal/products-and-services/grow-your-money/savings-and-investment/our-accounts/society-scheme-savings-account" TargetMode="External"/><Relationship Id="rId1" Type="http://schemas.openxmlformats.org/officeDocument/2006/relationships/hyperlink" Target="https://www.fnb.co.za/rates/TransactionalAccounts.html?ratesGroup=Transactional%20Accounts&amp;productName=Stokvel%20Account" TargetMode="External"/><Relationship Id="rId6" Type="http://schemas.openxmlformats.org/officeDocument/2006/relationships/hyperlink" Target="https://www.fnb.co.za/savings-account/stokvel-account.html" TargetMode="External"/><Relationship Id="rId5" Type="http://schemas.openxmlformats.org/officeDocument/2006/relationships/hyperlink" Target="https://personal.nedbank.co.za/save-and-invest/accounts/on-demand/stokvel/ready-to-apply.html" TargetMode="External"/><Relationship Id="rId4" Type="http://schemas.openxmlformats.org/officeDocument/2006/relationships/hyperlink" Target="file:///C:\Users\GeorgeNyirenda\OneDrive%20-%20Motornostix%20(Pty)%20Ltd\George\everyday-banking-fees-2023.pdf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123D-EA5A-497B-933C-50F2F0719C22}">
  <dimension ref="A1:NW34"/>
  <sheetViews>
    <sheetView tabSelected="1" zoomScale="85" zoomScaleNormal="85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AD32" sqref="AD32"/>
    </sheetView>
  </sheetViews>
  <sheetFormatPr defaultRowHeight="14.4"/>
  <cols>
    <col min="2" max="2" width="23.33203125" bestFit="1" customWidth="1"/>
    <col min="3" max="3" width="4" bestFit="1" customWidth="1"/>
    <col min="4" max="11" width="2" bestFit="1" customWidth="1"/>
    <col min="12" max="27" width="3" bestFit="1" customWidth="1"/>
    <col min="28" max="28" width="4" bestFit="1" customWidth="1"/>
    <col min="29" max="29" width="3" bestFit="1" customWidth="1"/>
    <col min="30" max="33" width="4" bestFit="1" customWidth="1"/>
    <col min="34" max="34" width="3" customWidth="1"/>
    <col min="35" max="35" width="2.6640625" bestFit="1" customWidth="1"/>
    <col min="36" max="43" width="2" bestFit="1" customWidth="1"/>
    <col min="44" max="44" width="4" bestFit="1" customWidth="1"/>
    <col min="45" max="57" width="3" bestFit="1" customWidth="1"/>
    <col min="58" max="59" width="4" bestFit="1" customWidth="1"/>
    <col min="60" max="60" width="3" bestFit="1" customWidth="1"/>
    <col min="61" max="62" width="4" bestFit="1" customWidth="1"/>
    <col min="63" max="64" width="4.44140625" bestFit="1" customWidth="1"/>
    <col min="65" max="65" width="4.44140625" customWidth="1"/>
    <col min="66" max="67" width="2" bestFit="1" customWidth="1"/>
    <col min="68" max="68" width="4" bestFit="1" customWidth="1"/>
    <col min="69" max="74" width="2" bestFit="1" customWidth="1"/>
    <col min="75" max="88" width="3" bestFit="1" customWidth="1"/>
    <col min="89" max="93" width="4" bestFit="1" customWidth="1"/>
    <col min="94" max="95" width="3" bestFit="1" customWidth="1"/>
    <col min="96" max="96" width="4" bestFit="1" customWidth="1"/>
    <col min="97" max="98" width="3" customWidth="1"/>
    <col min="99" max="100" width="2" bestFit="1" customWidth="1"/>
    <col min="101" max="101" width="4" bestFit="1" customWidth="1"/>
    <col min="102" max="102" width="2" bestFit="1" customWidth="1"/>
    <col min="103" max="103" width="2.6640625" bestFit="1" customWidth="1"/>
    <col min="104" max="107" width="2" bestFit="1" customWidth="1"/>
    <col min="108" max="122" width="3" bestFit="1" customWidth="1"/>
    <col min="123" max="124" width="4" bestFit="1" customWidth="1"/>
    <col min="125" max="125" width="3" bestFit="1" customWidth="1"/>
    <col min="126" max="127" width="4" bestFit="1" customWidth="1"/>
    <col min="128" max="128" width="3" bestFit="1" customWidth="1"/>
    <col min="129" max="130" width="3" customWidth="1"/>
    <col min="131" max="131" width="2" bestFit="1" customWidth="1"/>
    <col min="132" max="132" width="5" bestFit="1" customWidth="1"/>
    <col min="133" max="134" width="2" bestFit="1" customWidth="1"/>
    <col min="135" max="135" width="4" bestFit="1" customWidth="1"/>
    <col min="136" max="139" width="2" bestFit="1" customWidth="1"/>
    <col min="140" max="154" width="3" bestFit="1" customWidth="1"/>
    <col min="155" max="158" width="4" bestFit="1" customWidth="1"/>
    <col min="159" max="161" width="3" bestFit="1" customWidth="1"/>
    <col min="162" max="165" width="3" customWidth="1"/>
    <col min="166" max="166" width="2" bestFit="1" customWidth="1"/>
    <col min="167" max="167" width="4" bestFit="1" customWidth="1"/>
    <col min="168" max="174" width="2" bestFit="1" customWidth="1"/>
    <col min="175" max="177" width="3" bestFit="1" customWidth="1"/>
    <col min="178" max="178" width="4" bestFit="1" customWidth="1"/>
    <col min="179" max="190" width="3" bestFit="1" customWidth="1"/>
    <col min="191" max="193" width="4" bestFit="1" customWidth="1"/>
    <col min="194" max="195" width="3" bestFit="1" customWidth="1"/>
    <col min="196" max="197" width="3" customWidth="1"/>
    <col min="198" max="206" width="2" bestFit="1" customWidth="1"/>
    <col min="207" max="222" width="3" bestFit="1" customWidth="1"/>
    <col min="223" max="223" width="4" bestFit="1" customWidth="1"/>
    <col min="224" max="224" width="3" bestFit="1" customWidth="1"/>
    <col min="225" max="225" width="4" bestFit="1" customWidth="1"/>
    <col min="226" max="228" width="3" bestFit="1" customWidth="1"/>
    <col min="229" max="229" width="3" customWidth="1"/>
    <col min="230" max="238" width="2" bestFit="1" customWidth="1"/>
    <col min="239" max="254" width="3" bestFit="1" customWidth="1"/>
    <col min="255" max="255" width="4" bestFit="1" customWidth="1"/>
    <col min="256" max="256" width="3" bestFit="1" customWidth="1"/>
    <col min="257" max="257" width="4" bestFit="1" customWidth="1"/>
    <col min="258" max="260" width="3" bestFit="1" customWidth="1"/>
    <col min="261" max="261" width="3" customWidth="1"/>
    <col min="262" max="270" width="2" bestFit="1" customWidth="1"/>
    <col min="271" max="286" width="3" bestFit="1" customWidth="1"/>
    <col min="287" max="287" width="4" bestFit="1" customWidth="1"/>
    <col min="288" max="288" width="3" bestFit="1" customWidth="1"/>
    <col min="289" max="289" width="4" bestFit="1" customWidth="1"/>
    <col min="290" max="291" width="3" bestFit="1" customWidth="1"/>
    <col min="292" max="292" width="3" customWidth="1"/>
    <col min="293" max="301" width="2" bestFit="1" customWidth="1"/>
    <col min="302" max="317" width="3" bestFit="1" customWidth="1"/>
    <col min="318" max="318" width="4" bestFit="1" customWidth="1"/>
    <col min="319" max="319" width="3" bestFit="1" customWidth="1"/>
    <col min="320" max="320" width="4" bestFit="1" customWidth="1"/>
    <col min="321" max="323" width="3" bestFit="1" customWidth="1"/>
    <col min="324" max="324" width="3" customWidth="1"/>
    <col min="325" max="333" width="2" bestFit="1" customWidth="1"/>
    <col min="334" max="349" width="3" bestFit="1" customWidth="1"/>
    <col min="350" max="350" width="4" bestFit="1" customWidth="1"/>
    <col min="351" max="351" width="3" bestFit="1" customWidth="1"/>
    <col min="352" max="352" width="4" bestFit="1" customWidth="1"/>
    <col min="353" max="354" width="3" bestFit="1" customWidth="1"/>
    <col min="355" max="355" width="3" customWidth="1"/>
    <col min="356" max="364" width="2" bestFit="1" customWidth="1"/>
    <col min="365" max="380" width="3" bestFit="1" customWidth="1"/>
    <col min="381" max="381" width="4" bestFit="1" customWidth="1"/>
    <col min="382" max="382" width="3" bestFit="1" customWidth="1"/>
    <col min="383" max="383" width="4" bestFit="1" customWidth="1"/>
    <col min="384" max="386" width="3" bestFit="1" customWidth="1"/>
    <col min="387" max="387" width="3" customWidth="1"/>
  </cols>
  <sheetData>
    <row r="1" spans="1:387">
      <c r="A1" t="s">
        <v>0</v>
      </c>
    </row>
    <row r="2" spans="1:387" ht="15" thickBot="1">
      <c r="A2">
        <v>2023</v>
      </c>
    </row>
    <row r="3" spans="1:387" ht="15" thickBot="1">
      <c r="C3" s="259" t="s">
        <v>1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1"/>
      <c r="AH3" s="96"/>
      <c r="AI3" s="262" t="s">
        <v>2</v>
      </c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4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98"/>
      <c r="BL3" s="97"/>
      <c r="BM3" s="97"/>
      <c r="BN3" s="259" t="s">
        <v>3</v>
      </c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1"/>
      <c r="CS3" s="96"/>
      <c r="CT3" s="216"/>
      <c r="CU3" s="265" t="s">
        <v>4</v>
      </c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7"/>
      <c r="DY3" s="214"/>
      <c r="DZ3" s="215"/>
      <c r="EA3" s="259" t="s">
        <v>5</v>
      </c>
      <c r="EB3" s="260"/>
      <c r="EC3" s="260"/>
      <c r="ED3" s="260"/>
      <c r="EE3" s="260"/>
      <c r="EF3" s="260"/>
      <c r="EG3" s="260"/>
      <c r="EH3" s="260"/>
      <c r="EI3" s="260"/>
      <c r="EJ3" s="260"/>
      <c r="EK3" s="260"/>
      <c r="EL3" s="260"/>
      <c r="EM3" s="260"/>
      <c r="EN3" s="260"/>
      <c r="EO3" s="260"/>
      <c r="EP3" s="260"/>
      <c r="EQ3" s="260"/>
      <c r="ER3" s="260"/>
      <c r="ES3" s="260"/>
      <c r="ET3" s="260"/>
      <c r="EU3" s="260"/>
      <c r="EV3" s="260"/>
      <c r="EW3" s="260"/>
      <c r="EX3" s="260"/>
      <c r="EY3" s="260"/>
      <c r="EZ3" s="268"/>
      <c r="FA3" s="260"/>
      <c r="FB3" s="260"/>
      <c r="FC3" s="260"/>
      <c r="FD3" s="260"/>
      <c r="FE3" s="261"/>
      <c r="FF3" s="96"/>
      <c r="FG3" s="216"/>
      <c r="FH3" s="210"/>
      <c r="FI3" s="210"/>
      <c r="FJ3" s="269" t="s">
        <v>6</v>
      </c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7"/>
      <c r="GN3" s="214"/>
      <c r="GO3" s="215"/>
      <c r="GP3" s="256" t="s">
        <v>7</v>
      </c>
      <c r="GQ3" s="257"/>
      <c r="GR3" s="257"/>
      <c r="GS3" s="257"/>
      <c r="GT3" s="257"/>
      <c r="GU3" s="257"/>
      <c r="GV3" s="257"/>
      <c r="GW3" s="257"/>
      <c r="GX3" s="257"/>
      <c r="GY3" s="257"/>
      <c r="GZ3" s="257"/>
      <c r="HA3" s="257"/>
      <c r="HB3" s="257"/>
      <c r="HC3" s="257"/>
      <c r="HD3" s="257"/>
      <c r="HE3" s="257"/>
      <c r="HF3" s="257"/>
      <c r="HG3" s="257"/>
      <c r="HH3" s="257"/>
      <c r="HI3" s="257"/>
      <c r="HJ3" s="257"/>
      <c r="HK3" s="257"/>
      <c r="HL3" s="257"/>
      <c r="HM3" s="257"/>
      <c r="HN3" s="257"/>
      <c r="HO3" s="257"/>
      <c r="HP3" s="257"/>
      <c r="HQ3" s="257"/>
      <c r="HR3" s="257"/>
      <c r="HS3" s="257"/>
      <c r="HT3" s="258"/>
      <c r="HU3" s="33"/>
      <c r="HV3" s="256" t="s">
        <v>8</v>
      </c>
      <c r="HW3" s="257"/>
      <c r="HX3" s="257"/>
      <c r="HY3" s="257"/>
      <c r="HZ3" s="257"/>
      <c r="IA3" s="257"/>
      <c r="IB3" s="257"/>
      <c r="IC3" s="257"/>
      <c r="ID3" s="257"/>
      <c r="IE3" s="257"/>
      <c r="IF3" s="257"/>
      <c r="IG3" s="257"/>
      <c r="IH3" s="257"/>
      <c r="II3" s="257"/>
      <c r="IJ3" s="257"/>
      <c r="IK3" s="257"/>
      <c r="IL3" s="257"/>
      <c r="IM3" s="257"/>
      <c r="IN3" s="257"/>
      <c r="IO3" s="257"/>
      <c r="IP3" s="257"/>
      <c r="IQ3" s="257"/>
      <c r="IR3" s="257"/>
      <c r="IS3" s="257"/>
      <c r="IT3" s="257"/>
      <c r="IU3" s="257"/>
      <c r="IV3" s="257"/>
      <c r="IW3" s="257"/>
      <c r="IX3" s="257"/>
      <c r="IY3" s="257"/>
      <c r="IZ3" s="258"/>
      <c r="JA3" s="33"/>
      <c r="JB3" s="256" t="s">
        <v>9</v>
      </c>
      <c r="JC3" s="257"/>
      <c r="JD3" s="257"/>
      <c r="JE3" s="257"/>
      <c r="JF3" s="257"/>
      <c r="JG3" s="257"/>
      <c r="JH3" s="257"/>
      <c r="JI3" s="257"/>
      <c r="JJ3" s="257"/>
      <c r="JK3" s="257"/>
      <c r="JL3" s="257"/>
      <c r="JM3" s="257"/>
      <c r="JN3" s="257"/>
      <c r="JO3" s="257"/>
      <c r="JP3" s="257"/>
      <c r="JQ3" s="257"/>
      <c r="JR3" s="257"/>
      <c r="JS3" s="257"/>
      <c r="JT3" s="257"/>
      <c r="JU3" s="257"/>
      <c r="JV3" s="257"/>
      <c r="JW3" s="257"/>
      <c r="JX3" s="257"/>
      <c r="JY3" s="257"/>
      <c r="JZ3" s="257"/>
      <c r="KA3" s="257"/>
      <c r="KB3" s="257"/>
      <c r="KC3" s="257"/>
      <c r="KD3" s="257"/>
      <c r="KE3" s="258"/>
      <c r="KF3" s="33"/>
      <c r="KG3" s="256" t="s">
        <v>10</v>
      </c>
      <c r="KH3" s="257"/>
      <c r="KI3" s="257"/>
      <c r="KJ3" s="257"/>
      <c r="KK3" s="257"/>
      <c r="KL3" s="257"/>
      <c r="KM3" s="257"/>
      <c r="KN3" s="257"/>
      <c r="KO3" s="257"/>
      <c r="KP3" s="257"/>
      <c r="KQ3" s="257"/>
      <c r="KR3" s="257"/>
      <c r="KS3" s="257"/>
      <c r="KT3" s="257"/>
      <c r="KU3" s="257"/>
      <c r="KV3" s="257"/>
      <c r="KW3" s="257"/>
      <c r="KX3" s="257"/>
      <c r="KY3" s="257"/>
      <c r="KZ3" s="257"/>
      <c r="LA3" s="257"/>
      <c r="LB3" s="257"/>
      <c r="LC3" s="257"/>
      <c r="LD3" s="257"/>
      <c r="LE3" s="257"/>
      <c r="LF3" s="257"/>
      <c r="LG3" s="257"/>
      <c r="LH3" s="257"/>
      <c r="LI3" s="257"/>
      <c r="LJ3" s="257"/>
      <c r="LK3" s="258"/>
      <c r="LL3" s="33"/>
      <c r="LM3" s="256" t="s">
        <v>11</v>
      </c>
      <c r="LN3" s="257"/>
      <c r="LO3" s="257"/>
      <c r="LP3" s="257"/>
      <c r="LQ3" s="257"/>
      <c r="LR3" s="257"/>
      <c r="LS3" s="257"/>
      <c r="LT3" s="257"/>
      <c r="LU3" s="257"/>
      <c r="LV3" s="257"/>
      <c r="LW3" s="257"/>
      <c r="LX3" s="257"/>
      <c r="LY3" s="257"/>
      <c r="LZ3" s="257"/>
      <c r="MA3" s="257"/>
      <c r="MB3" s="257"/>
      <c r="MC3" s="257"/>
      <c r="MD3" s="257"/>
      <c r="ME3" s="257"/>
      <c r="MF3" s="257"/>
      <c r="MG3" s="257"/>
      <c r="MH3" s="257"/>
      <c r="MI3" s="257"/>
      <c r="MJ3" s="257"/>
      <c r="MK3" s="257"/>
      <c r="ML3" s="257"/>
      <c r="MM3" s="257"/>
      <c r="MN3" s="257"/>
      <c r="MO3" s="257"/>
      <c r="MP3" s="258"/>
      <c r="MQ3" s="33"/>
      <c r="MR3" s="256" t="s">
        <v>12</v>
      </c>
      <c r="MS3" s="257"/>
      <c r="MT3" s="257"/>
      <c r="MU3" s="257"/>
      <c r="MV3" s="257"/>
      <c r="MW3" s="257"/>
      <c r="MX3" s="257"/>
      <c r="MY3" s="257"/>
      <c r="MZ3" s="257"/>
      <c r="NA3" s="257"/>
      <c r="NB3" s="257"/>
      <c r="NC3" s="257"/>
      <c r="ND3" s="257"/>
      <c r="NE3" s="257"/>
      <c r="NF3" s="257"/>
      <c r="NG3" s="257"/>
      <c r="NH3" s="257"/>
      <c r="NI3" s="257"/>
      <c r="NJ3" s="257"/>
      <c r="NK3" s="257"/>
      <c r="NL3" s="257"/>
      <c r="NM3" s="257"/>
      <c r="NN3" s="257"/>
      <c r="NO3" s="257"/>
      <c r="NP3" s="257"/>
      <c r="NQ3" s="257"/>
      <c r="NR3" s="257"/>
      <c r="NS3" s="257"/>
      <c r="NT3" s="257"/>
      <c r="NU3" s="257"/>
      <c r="NV3" s="258"/>
      <c r="NW3" s="77"/>
    </row>
    <row r="4" spans="1:387" ht="15.6" thickTop="1" thickBot="1">
      <c r="B4" s="41" t="s">
        <v>13</v>
      </c>
      <c r="C4" s="81">
        <v>1</v>
      </c>
      <c r="D4" s="82">
        <v>2</v>
      </c>
      <c r="E4" s="82">
        <v>3</v>
      </c>
      <c r="F4" s="82">
        <v>4</v>
      </c>
      <c r="G4" s="82">
        <v>5</v>
      </c>
      <c r="H4" s="82">
        <v>6</v>
      </c>
      <c r="I4" s="83">
        <v>7</v>
      </c>
      <c r="J4" s="84">
        <v>8</v>
      </c>
      <c r="K4" s="84">
        <v>9</v>
      </c>
      <c r="L4" s="84">
        <v>10</v>
      </c>
      <c r="M4" s="84">
        <v>11</v>
      </c>
      <c r="N4" s="82">
        <v>12</v>
      </c>
      <c r="O4" s="82">
        <v>13</v>
      </c>
      <c r="P4" s="83">
        <v>14</v>
      </c>
      <c r="Q4" s="84">
        <v>15</v>
      </c>
      <c r="R4" s="84">
        <v>16</v>
      </c>
      <c r="S4" s="84">
        <v>17</v>
      </c>
      <c r="T4" s="84">
        <v>18</v>
      </c>
      <c r="U4" s="84">
        <v>19</v>
      </c>
      <c r="V4" s="84">
        <v>20</v>
      </c>
      <c r="W4" s="83">
        <v>21</v>
      </c>
      <c r="X4" s="84">
        <v>22</v>
      </c>
      <c r="Y4" s="84">
        <v>23</v>
      </c>
      <c r="Z4" s="84">
        <v>24</v>
      </c>
      <c r="AA4" s="84">
        <v>25</v>
      </c>
      <c r="AB4" s="84">
        <v>26</v>
      </c>
      <c r="AC4" s="84">
        <v>27</v>
      </c>
      <c r="AD4" s="83">
        <v>28</v>
      </c>
      <c r="AE4" s="84">
        <v>29</v>
      </c>
      <c r="AF4" s="84">
        <v>30</v>
      </c>
      <c r="AG4" s="85">
        <v>31</v>
      </c>
      <c r="AH4" s="31"/>
      <c r="AI4" s="89">
        <v>1</v>
      </c>
      <c r="AJ4" s="84">
        <v>2</v>
      </c>
      <c r="AK4" s="82">
        <v>3</v>
      </c>
      <c r="AL4" s="83">
        <v>4</v>
      </c>
      <c r="AM4" s="84">
        <v>5</v>
      </c>
      <c r="AN4" s="84">
        <v>6</v>
      </c>
      <c r="AO4" s="84">
        <v>7</v>
      </c>
      <c r="AP4" s="84">
        <v>8</v>
      </c>
      <c r="AQ4" s="84">
        <v>9</v>
      </c>
      <c r="AR4" s="84">
        <v>10</v>
      </c>
      <c r="AS4" s="83">
        <v>11</v>
      </c>
      <c r="AT4" s="84">
        <v>12</v>
      </c>
      <c r="AU4" s="84">
        <v>13</v>
      </c>
      <c r="AV4" s="84">
        <v>14</v>
      </c>
      <c r="AW4" s="84">
        <v>15</v>
      </c>
      <c r="AX4" s="84">
        <v>16</v>
      </c>
      <c r="AY4" s="203">
        <v>17</v>
      </c>
      <c r="AZ4" s="79">
        <v>18</v>
      </c>
      <c r="BA4" s="92">
        <v>19</v>
      </c>
      <c r="BB4" s="92">
        <v>20</v>
      </c>
      <c r="BC4" s="92">
        <v>21</v>
      </c>
      <c r="BD4" s="92">
        <v>22</v>
      </c>
      <c r="BE4" s="92">
        <v>23</v>
      </c>
      <c r="BF4" s="92">
        <v>24</v>
      </c>
      <c r="BG4" s="79">
        <v>25</v>
      </c>
      <c r="BH4" s="92">
        <v>26</v>
      </c>
      <c r="BI4" s="92">
        <v>27</v>
      </c>
      <c r="BJ4" s="92">
        <v>28</v>
      </c>
      <c r="BK4" s="95" t="s">
        <v>14</v>
      </c>
      <c r="BL4" s="94" t="s">
        <v>15</v>
      </c>
      <c r="BM4" s="125" t="s">
        <v>16</v>
      </c>
      <c r="BN4" s="94">
        <v>1</v>
      </c>
      <c r="BO4" s="92">
        <v>2</v>
      </c>
      <c r="BP4" s="126">
        <v>3</v>
      </c>
      <c r="BQ4" s="79">
        <v>4</v>
      </c>
      <c r="BR4" s="92">
        <v>5</v>
      </c>
      <c r="BS4" s="92">
        <v>6</v>
      </c>
      <c r="BT4" s="92">
        <v>7</v>
      </c>
      <c r="BU4" s="92">
        <v>8</v>
      </c>
      <c r="BV4" s="92">
        <v>9</v>
      </c>
      <c r="BW4" s="92">
        <v>10</v>
      </c>
      <c r="BX4" s="79">
        <v>11</v>
      </c>
      <c r="BY4" s="92">
        <v>12</v>
      </c>
      <c r="BZ4" s="92">
        <v>13</v>
      </c>
      <c r="CA4" s="92">
        <v>14</v>
      </c>
      <c r="CB4" s="92">
        <v>15</v>
      </c>
      <c r="CC4" s="92">
        <v>16</v>
      </c>
      <c r="CD4" s="126">
        <v>17</v>
      </c>
      <c r="CE4" s="79">
        <v>18</v>
      </c>
      <c r="CF4" s="92">
        <v>19</v>
      </c>
      <c r="CG4" s="92">
        <v>20</v>
      </c>
      <c r="CH4" s="92">
        <v>21</v>
      </c>
      <c r="CI4" s="92">
        <v>22</v>
      </c>
      <c r="CJ4" s="92">
        <v>23</v>
      </c>
      <c r="CK4" s="126">
        <v>24</v>
      </c>
      <c r="CL4" s="79">
        <v>25</v>
      </c>
      <c r="CM4" s="92">
        <v>26</v>
      </c>
      <c r="CN4" s="92">
        <v>27</v>
      </c>
      <c r="CO4" s="92">
        <v>28</v>
      </c>
      <c r="CP4" s="92">
        <v>29</v>
      </c>
      <c r="CQ4" s="92">
        <v>30</v>
      </c>
      <c r="CR4" s="92">
        <v>31</v>
      </c>
      <c r="CS4" s="41"/>
      <c r="CT4" s="7"/>
      <c r="CU4" s="202">
        <v>1</v>
      </c>
      <c r="CV4" s="92">
        <v>2</v>
      </c>
      <c r="CW4" s="92">
        <v>3</v>
      </c>
      <c r="CX4" s="92">
        <v>4</v>
      </c>
      <c r="CY4" s="92">
        <v>5</v>
      </c>
      <c r="CZ4" s="92">
        <v>6</v>
      </c>
      <c r="DA4" s="92">
        <v>7</v>
      </c>
      <c r="DB4" s="92">
        <v>8</v>
      </c>
      <c r="DC4" s="92">
        <v>9</v>
      </c>
      <c r="DD4" s="92">
        <v>10</v>
      </c>
      <c r="DE4" s="92">
        <v>11</v>
      </c>
      <c r="DF4" s="92">
        <v>12</v>
      </c>
      <c r="DG4" s="92">
        <v>13</v>
      </c>
      <c r="DH4" s="92">
        <v>14</v>
      </c>
      <c r="DI4" s="92">
        <v>15</v>
      </c>
      <c r="DJ4" s="169">
        <v>16</v>
      </c>
      <c r="DK4" s="92">
        <v>17</v>
      </c>
      <c r="DL4" s="92">
        <v>18</v>
      </c>
      <c r="DM4" s="92">
        <v>19</v>
      </c>
      <c r="DN4" s="92">
        <v>20</v>
      </c>
      <c r="DO4" s="92">
        <v>21</v>
      </c>
      <c r="DP4" s="92">
        <v>22</v>
      </c>
      <c r="DQ4" s="169">
        <v>23</v>
      </c>
      <c r="DR4" s="92">
        <v>24</v>
      </c>
      <c r="DS4" s="92">
        <v>25</v>
      </c>
      <c r="DT4" s="92">
        <v>26</v>
      </c>
      <c r="DU4" s="92">
        <v>27</v>
      </c>
      <c r="DV4" s="92">
        <v>28</v>
      </c>
      <c r="DW4" s="79">
        <v>29</v>
      </c>
      <c r="DX4" s="178">
        <v>30</v>
      </c>
      <c r="DY4" s="31"/>
      <c r="DZ4" s="36"/>
      <c r="EA4" s="94">
        <v>1</v>
      </c>
      <c r="EB4" s="92">
        <v>2</v>
      </c>
      <c r="EC4" s="92">
        <v>3</v>
      </c>
      <c r="ED4" s="92">
        <v>4</v>
      </c>
      <c r="EE4" s="92">
        <v>5</v>
      </c>
      <c r="EF4" s="92">
        <v>6</v>
      </c>
      <c r="EG4" s="169">
        <v>7</v>
      </c>
      <c r="EH4" s="126">
        <v>8</v>
      </c>
      <c r="EI4" s="126">
        <v>9</v>
      </c>
      <c r="EJ4" s="126">
        <v>10</v>
      </c>
      <c r="EK4" s="126">
        <v>11</v>
      </c>
      <c r="EL4" s="126">
        <v>12</v>
      </c>
      <c r="EM4" s="126">
        <v>13</v>
      </c>
      <c r="EN4" s="169">
        <v>14</v>
      </c>
      <c r="EO4" s="126">
        <v>15</v>
      </c>
      <c r="EP4" s="126">
        <v>16</v>
      </c>
      <c r="EQ4" s="126">
        <v>17</v>
      </c>
      <c r="ER4" s="126">
        <v>18</v>
      </c>
      <c r="ES4" s="126">
        <v>19</v>
      </c>
      <c r="ET4" s="126">
        <v>20</v>
      </c>
      <c r="EU4" s="169">
        <v>21</v>
      </c>
      <c r="EV4" s="126">
        <v>22</v>
      </c>
      <c r="EW4" s="126">
        <v>23</v>
      </c>
      <c r="EX4" s="126">
        <v>24</v>
      </c>
      <c r="EY4" s="126">
        <v>25</v>
      </c>
      <c r="EZ4" s="202">
        <v>26</v>
      </c>
      <c r="FA4" s="79">
        <v>27</v>
      </c>
      <c r="FB4" s="92">
        <v>28</v>
      </c>
      <c r="FC4" s="92">
        <v>29</v>
      </c>
      <c r="FD4" s="92">
        <v>30</v>
      </c>
      <c r="FE4" s="178">
        <v>31</v>
      </c>
      <c r="FF4" s="31"/>
      <c r="FG4" s="36"/>
      <c r="FH4" s="7"/>
      <c r="FI4" s="7"/>
      <c r="FJ4" s="94">
        <v>1</v>
      </c>
      <c r="FK4" s="92">
        <v>2</v>
      </c>
      <c r="FL4" s="92">
        <v>3</v>
      </c>
      <c r="FM4" s="92">
        <v>4</v>
      </c>
      <c r="FN4" s="92">
        <v>5</v>
      </c>
      <c r="FO4" s="31">
        <v>6</v>
      </c>
      <c r="FP4" s="31">
        <v>7</v>
      </c>
      <c r="FQ4" s="31">
        <v>8</v>
      </c>
      <c r="FR4" s="31">
        <v>9</v>
      </c>
      <c r="FS4" s="31">
        <v>10</v>
      </c>
      <c r="FT4" s="31">
        <v>11</v>
      </c>
      <c r="FU4" s="31">
        <v>12</v>
      </c>
      <c r="FV4" s="31">
        <v>13</v>
      </c>
      <c r="FW4" s="31">
        <v>14</v>
      </c>
      <c r="FX4" s="31">
        <v>15</v>
      </c>
      <c r="FY4" s="31">
        <v>16</v>
      </c>
      <c r="FZ4" s="31">
        <v>17</v>
      </c>
      <c r="GA4" s="31">
        <v>18</v>
      </c>
      <c r="GB4" s="31">
        <v>19</v>
      </c>
      <c r="GC4" s="31">
        <v>20</v>
      </c>
      <c r="GD4" s="31">
        <v>21</v>
      </c>
      <c r="GE4" s="31">
        <v>22</v>
      </c>
      <c r="GF4" s="31">
        <v>23</v>
      </c>
      <c r="GG4" s="31">
        <v>24</v>
      </c>
      <c r="GH4" s="31">
        <v>25</v>
      </c>
      <c r="GI4" s="31">
        <v>26</v>
      </c>
      <c r="GJ4" s="31">
        <v>27</v>
      </c>
      <c r="GK4" s="31">
        <v>28</v>
      </c>
      <c r="GL4" s="31">
        <v>29</v>
      </c>
      <c r="GM4" s="32">
        <v>30</v>
      </c>
      <c r="GN4" s="31"/>
      <c r="GO4" s="36"/>
      <c r="GP4" s="7">
        <v>1</v>
      </c>
      <c r="GQ4" s="31">
        <v>2</v>
      </c>
      <c r="GR4" s="31">
        <v>3</v>
      </c>
      <c r="GS4" s="31">
        <v>4</v>
      </c>
      <c r="GT4" s="31">
        <v>5</v>
      </c>
      <c r="GU4" s="31">
        <v>6</v>
      </c>
      <c r="GV4" s="31">
        <v>7</v>
      </c>
      <c r="GW4" s="31">
        <v>8</v>
      </c>
      <c r="GX4" s="31">
        <v>9</v>
      </c>
      <c r="GY4" s="31">
        <v>10</v>
      </c>
      <c r="GZ4" s="31">
        <v>11</v>
      </c>
      <c r="HA4" s="31">
        <v>12</v>
      </c>
      <c r="HB4" s="31">
        <v>13</v>
      </c>
      <c r="HC4" s="31">
        <v>14</v>
      </c>
      <c r="HD4" s="31">
        <v>15</v>
      </c>
      <c r="HE4" s="31">
        <v>16</v>
      </c>
      <c r="HF4" s="31">
        <v>17</v>
      </c>
      <c r="HG4" s="31">
        <v>18</v>
      </c>
      <c r="HH4" s="31">
        <v>19</v>
      </c>
      <c r="HI4" s="31">
        <v>20</v>
      </c>
      <c r="HJ4" s="31">
        <v>21</v>
      </c>
      <c r="HK4" s="31">
        <v>22</v>
      </c>
      <c r="HL4" s="31">
        <v>23</v>
      </c>
      <c r="HM4" s="31">
        <v>24</v>
      </c>
      <c r="HN4" s="31">
        <v>25</v>
      </c>
      <c r="HO4" s="31">
        <v>26</v>
      </c>
      <c r="HP4" s="31">
        <v>27</v>
      </c>
      <c r="HQ4" s="31">
        <v>28</v>
      </c>
      <c r="HR4" s="31">
        <v>29</v>
      </c>
      <c r="HS4" s="31">
        <v>30</v>
      </c>
      <c r="HT4" s="32">
        <v>31</v>
      </c>
      <c r="HU4" s="31"/>
      <c r="HV4" s="7">
        <v>1</v>
      </c>
      <c r="HW4" s="31">
        <v>2</v>
      </c>
      <c r="HX4" s="31">
        <v>3</v>
      </c>
      <c r="HY4" s="31">
        <v>4</v>
      </c>
      <c r="HZ4" s="31">
        <v>5</v>
      </c>
      <c r="IA4" s="31">
        <v>6</v>
      </c>
      <c r="IB4" s="31">
        <v>7</v>
      </c>
      <c r="IC4" s="31">
        <v>8</v>
      </c>
      <c r="ID4" s="31">
        <v>9</v>
      </c>
      <c r="IE4" s="31">
        <v>10</v>
      </c>
      <c r="IF4" s="31">
        <v>11</v>
      </c>
      <c r="IG4" s="31">
        <v>12</v>
      </c>
      <c r="IH4" s="31">
        <v>13</v>
      </c>
      <c r="II4" s="31">
        <v>14</v>
      </c>
      <c r="IJ4" s="31">
        <v>15</v>
      </c>
      <c r="IK4" s="31">
        <v>16</v>
      </c>
      <c r="IL4" s="31">
        <v>17</v>
      </c>
      <c r="IM4" s="31">
        <v>18</v>
      </c>
      <c r="IN4" s="31">
        <v>19</v>
      </c>
      <c r="IO4" s="31">
        <v>20</v>
      </c>
      <c r="IP4" s="31">
        <v>21</v>
      </c>
      <c r="IQ4" s="31">
        <v>22</v>
      </c>
      <c r="IR4" s="31">
        <v>23</v>
      </c>
      <c r="IS4" s="31">
        <v>24</v>
      </c>
      <c r="IT4" s="31">
        <v>25</v>
      </c>
      <c r="IU4" s="31">
        <v>26</v>
      </c>
      <c r="IV4" s="31">
        <v>27</v>
      </c>
      <c r="IW4" s="31">
        <v>28</v>
      </c>
      <c r="IX4" s="31">
        <v>29</v>
      </c>
      <c r="IY4" s="31">
        <v>30</v>
      </c>
      <c r="IZ4" s="32">
        <v>31</v>
      </c>
      <c r="JA4" s="31"/>
      <c r="JB4" s="7">
        <v>1</v>
      </c>
      <c r="JC4" s="31">
        <v>2</v>
      </c>
      <c r="JD4" s="31">
        <v>3</v>
      </c>
      <c r="JE4" s="31">
        <v>4</v>
      </c>
      <c r="JF4" s="31">
        <v>5</v>
      </c>
      <c r="JG4" s="31">
        <v>6</v>
      </c>
      <c r="JH4" s="31">
        <v>7</v>
      </c>
      <c r="JI4" s="31">
        <v>8</v>
      </c>
      <c r="JJ4" s="31">
        <v>9</v>
      </c>
      <c r="JK4" s="31">
        <v>10</v>
      </c>
      <c r="JL4" s="31">
        <v>11</v>
      </c>
      <c r="JM4" s="31">
        <v>12</v>
      </c>
      <c r="JN4" s="31">
        <v>13</v>
      </c>
      <c r="JO4" s="31">
        <v>14</v>
      </c>
      <c r="JP4" s="31">
        <v>15</v>
      </c>
      <c r="JQ4" s="31">
        <v>16</v>
      </c>
      <c r="JR4" s="31">
        <v>17</v>
      </c>
      <c r="JS4" s="31">
        <v>18</v>
      </c>
      <c r="JT4" s="31">
        <v>19</v>
      </c>
      <c r="JU4" s="31">
        <v>20</v>
      </c>
      <c r="JV4" s="31">
        <v>21</v>
      </c>
      <c r="JW4" s="31">
        <v>22</v>
      </c>
      <c r="JX4" s="31">
        <v>23</v>
      </c>
      <c r="JY4" s="31">
        <v>24</v>
      </c>
      <c r="JZ4" s="31">
        <v>25</v>
      </c>
      <c r="KA4" s="31">
        <v>26</v>
      </c>
      <c r="KB4" s="31">
        <v>27</v>
      </c>
      <c r="KC4" s="31">
        <v>28</v>
      </c>
      <c r="KD4" s="31">
        <v>29</v>
      </c>
      <c r="KE4" s="32">
        <v>30</v>
      </c>
      <c r="KF4" s="31"/>
      <c r="KG4" s="7">
        <v>1</v>
      </c>
      <c r="KH4" s="31">
        <v>2</v>
      </c>
      <c r="KI4" s="31">
        <v>3</v>
      </c>
      <c r="KJ4" s="31">
        <v>4</v>
      </c>
      <c r="KK4" s="31">
        <v>5</v>
      </c>
      <c r="KL4" s="31">
        <v>6</v>
      </c>
      <c r="KM4" s="31">
        <v>7</v>
      </c>
      <c r="KN4" s="31">
        <v>8</v>
      </c>
      <c r="KO4" s="31">
        <v>9</v>
      </c>
      <c r="KP4" s="31">
        <v>10</v>
      </c>
      <c r="KQ4" s="31">
        <v>11</v>
      </c>
      <c r="KR4" s="31">
        <v>12</v>
      </c>
      <c r="KS4" s="31">
        <v>13</v>
      </c>
      <c r="KT4" s="31">
        <v>14</v>
      </c>
      <c r="KU4" s="31">
        <v>15</v>
      </c>
      <c r="KV4" s="31">
        <v>16</v>
      </c>
      <c r="KW4" s="31">
        <v>17</v>
      </c>
      <c r="KX4" s="31">
        <v>18</v>
      </c>
      <c r="KY4" s="31">
        <v>19</v>
      </c>
      <c r="KZ4" s="31">
        <v>20</v>
      </c>
      <c r="LA4" s="31">
        <v>21</v>
      </c>
      <c r="LB4" s="31">
        <v>22</v>
      </c>
      <c r="LC4" s="31">
        <v>23</v>
      </c>
      <c r="LD4" s="31">
        <v>24</v>
      </c>
      <c r="LE4" s="31">
        <v>25</v>
      </c>
      <c r="LF4" s="31">
        <v>26</v>
      </c>
      <c r="LG4" s="31">
        <v>27</v>
      </c>
      <c r="LH4" s="31">
        <v>28</v>
      </c>
      <c r="LI4" s="31">
        <v>29</v>
      </c>
      <c r="LJ4" s="31">
        <v>30</v>
      </c>
      <c r="LK4" s="32">
        <v>31</v>
      </c>
      <c r="LL4" s="31"/>
      <c r="LM4" s="7">
        <v>1</v>
      </c>
      <c r="LN4" s="31">
        <v>2</v>
      </c>
      <c r="LO4" s="31">
        <v>3</v>
      </c>
      <c r="LP4" s="31">
        <v>4</v>
      </c>
      <c r="LQ4" s="31">
        <v>5</v>
      </c>
      <c r="LR4" s="31">
        <v>6</v>
      </c>
      <c r="LS4" s="31">
        <v>7</v>
      </c>
      <c r="LT4" s="31">
        <v>8</v>
      </c>
      <c r="LU4" s="31">
        <v>9</v>
      </c>
      <c r="LV4" s="31">
        <v>10</v>
      </c>
      <c r="LW4" s="31">
        <v>11</v>
      </c>
      <c r="LX4" s="31">
        <v>12</v>
      </c>
      <c r="LY4" s="31">
        <v>13</v>
      </c>
      <c r="LZ4" s="31">
        <v>14</v>
      </c>
      <c r="MA4" s="31">
        <v>15</v>
      </c>
      <c r="MB4" s="31">
        <v>16</v>
      </c>
      <c r="MC4" s="31">
        <v>17</v>
      </c>
      <c r="MD4" s="31">
        <v>18</v>
      </c>
      <c r="ME4" s="31">
        <v>19</v>
      </c>
      <c r="MF4" s="31">
        <v>20</v>
      </c>
      <c r="MG4" s="31">
        <v>21</v>
      </c>
      <c r="MH4" s="31">
        <v>22</v>
      </c>
      <c r="MI4" s="31">
        <v>23</v>
      </c>
      <c r="MJ4" s="31">
        <v>24</v>
      </c>
      <c r="MK4" s="31">
        <v>25</v>
      </c>
      <c r="ML4" s="31">
        <v>26</v>
      </c>
      <c r="MM4" s="31">
        <v>27</v>
      </c>
      <c r="MN4" s="31">
        <v>28</v>
      </c>
      <c r="MO4" s="31">
        <v>29</v>
      </c>
      <c r="MP4" s="32">
        <v>30</v>
      </c>
      <c r="MQ4" s="31"/>
      <c r="MR4" s="7">
        <v>1</v>
      </c>
      <c r="MS4" s="31">
        <v>2</v>
      </c>
      <c r="MT4" s="31">
        <v>3</v>
      </c>
      <c r="MU4" s="31">
        <v>4</v>
      </c>
      <c r="MV4" s="31">
        <v>5</v>
      </c>
      <c r="MW4" s="31">
        <v>6</v>
      </c>
      <c r="MX4" s="31">
        <v>7</v>
      </c>
      <c r="MY4" s="31">
        <v>8</v>
      </c>
      <c r="MZ4" s="31">
        <v>9</v>
      </c>
      <c r="NA4" s="31">
        <v>10</v>
      </c>
      <c r="NB4" s="31">
        <v>11</v>
      </c>
      <c r="NC4" s="31">
        <v>12</v>
      </c>
      <c r="ND4" s="31">
        <v>13</v>
      </c>
      <c r="NE4" s="31">
        <v>14</v>
      </c>
      <c r="NF4" s="31">
        <v>15</v>
      </c>
      <c r="NG4" s="31">
        <v>16</v>
      </c>
      <c r="NH4" s="31">
        <v>17</v>
      </c>
      <c r="NI4" s="31">
        <v>18</v>
      </c>
      <c r="NJ4" s="31">
        <v>19</v>
      </c>
      <c r="NK4" s="31">
        <v>20</v>
      </c>
      <c r="NL4" s="31">
        <v>21</v>
      </c>
      <c r="NM4" s="31">
        <v>22</v>
      </c>
      <c r="NN4" s="31">
        <v>23</v>
      </c>
      <c r="NO4" s="31">
        <v>24</v>
      </c>
      <c r="NP4" s="31">
        <v>25</v>
      </c>
      <c r="NQ4" s="31">
        <v>26</v>
      </c>
      <c r="NR4" s="31">
        <v>27</v>
      </c>
      <c r="NS4" s="31">
        <v>28</v>
      </c>
      <c r="NT4" s="31">
        <v>29</v>
      </c>
      <c r="NU4" s="31">
        <v>30</v>
      </c>
      <c r="NV4" s="32">
        <v>31</v>
      </c>
      <c r="NW4" s="41"/>
    </row>
    <row r="5" spans="1:387" ht="15" thickTop="1">
      <c r="A5" s="2">
        <v>1</v>
      </c>
      <c r="B5" s="34" t="s">
        <v>17</v>
      </c>
      <c r="C5" s="5"/>
      <c r="I5" s="43"/>
      <c r="P5" s="43"/>
      <c r="W5" s="43"/>
      <c r="AD5" s="43"/>
      <c r="AF5">
        <v>500</v>
      </c>
      <c r="AG5" s="86"/>
      <c r="AH5">
        <f>AG4-AF4</f>
        <v>1</v>
      </c>
      <c r="AI5" s="91"/>
      <c r="AJ5" s="87"/>
      <c r="AK5" s="87"/>
      <c r="AL5" s="88"/>
      <c r="AM5" s="87"/>
      <c r="AN5" s="87"/>
      <c r="AO5" s="87"/>
      <c r="AP5" s="87"/>
      <c r="AQ5" s="87"/>
      <c r="AR5" s="87"/>
      <c r="AS5" s="88"/>
      <c r="AT5" s="87"/>
      <c r="AU5" s="87"/>
      <c r="AV5" s="87"/>
      <c r="AW5" s="87"/>
      <c r="AX5" s="87"/>
      <c r="AY5" s="204"/>
      <c r="AZ5" s="80"/>
      <c r="BA5" s="93"/>
      <c r="BB5" s="93"/>
      <c r="BC5" s="93"/>
      <c r="BD5" s="93"/>
      <c r="BE5" s="93"/>
      <c r="BF5" s="93"/>
      <c r="BG5" s="80"/>
      <c r="BH5" s="93"/>
      <c r="BI5" s="93"/>
      <c r="BJ5" s="93"/>
      <c r="BK5" s="35">
        <f>BK13</f>
        <v>17</v>
      </c>
      <c r="BL5" s="5">
        <f>BL13</f>
        <v>11</v>
      </c>
      <c r="BM5" s="5">
        <v>0</v>
      </c>
      <c r="BN5" s="121"/>
      <c r="BO5" s="149"/>
      <c r="BP5" s="93">
        <v>500</v>
      </c>
      <c r="BQ5" s="122"/>
      <c r="BR5" s="123"/>
      <c r="BS5" s="123"/>
      <c r="BT5" s="123"/>
      <c r="BU5" s="123"/>
      <c r="BV5" s="123"/>
      <c r="BW5" s="123"/>
      <c r="BX5" s="122"/>
      <c r="BY5" s="123"/>
      <c r="BZ5" s="123"/>
      <c r="CA5" s="123"/>
      <c r="CB5" s="123"/>
      <c r="CC5" s="123"/>
      <c r="CD5" s="123"/>
      <c r="CE5" s="122"/>
      <c r="CF5" s="123"/>
      <c r="CG5" s="123"/>
      <c r="CH5" s="123"/>
      <c r="CI5" s="123"/>
      <c r="CJ5" s="123"/>
      <c r="CK5" s="123"/>
      <c r="CL5" s="122"/>
      <c r="CM5" s="123"/>
      <c r="CN5" s="123"/>
      <c r="CO5" s="123"/>
      <c r="CP5" s="123"/>
      <c r="CQ5" s="123"/>
      <c r="CR5" s="123"/>
      <c r="CS5" s="35">
        <f>$CS$13</f>
        <v>31</v>
      </c>
      <c r="CT5" s="5">
        <f>CR4-BP4</f>
        <v>28</v>
      </c>
      <c r="CU5" s="196"/>
      <c r="CV5" s="149"/>
      <c r="CW5" s="123">
        <v>500</v>
      </c>
      <c r="CX5" s="137"/>
      <c r="CY5" s="137"/>
      <c r="CZ5" s="137"/>
      <c r="DA5" s="137"/>
      <c r="DB5" s="137"/>
      <c r="DC5" s="164"/>
      <c r="DD5" s="165"/>
      <c r="DE5" s="137"/>
      <c r="DF5" s="137"/>
      <c r="DG5" s="137"/>
      <c r="DH5" s="137"/>
      <c r="DI5" s="137"/>
      <c r="DJ5" s="167"/>
      <c r="DK5" s="137"/>
      <c r="DL5" s="137"/>
      <c r="DM5" s="137"/>
      <c r="DN5" s="137"/>
      <c r="DO5" s="137"/>
      <c r="DP5" s="137"/>
      <c r="DQ5" s="167"/>
      <c r="DR5" s="137"/>
      <c r="DS5" s="137"/>
      <c r="DT5" s="137"/>
      <c r="DU5" s="137"/>
      <c r="DV5" s="137"/>
      <c r="DW5" s="136"/>
      <c r="DX5" s="179"/>
      <c r="DY5">
        <f>DY13</f>
        <v>30</v>
      </c>
      <c r="DZ5" s="35">
        <f>DX4-CW4</f>
        <v>27</v>
      </c>
      <c r="EA5" s="184"/>
      <c r="EB5" s="171">
        <v>500</v>
      </c>
      <c r="EC5" s="172"/>
      <c r="ED5" s="172"/>
      <c r="EE5" s="172"/>
      <c r="EF5" s="172"/>
      <c r="EG5" s="190"/>
      <c r="EH5" s="172"/>
      <c r="EI5" s="172"/>
      <c r="EJ5" s="172"/>
      <c r="EK5" s="172"/>
      <c r="EL5" s="172"/>
      <c r="EM5" s="172"/>
      <c r="EN5" s="190"/>
      <c r="EO5" s="172"/>
      <c r="EP5" s="172"/>
      <c r="EQ5" s="172"/>
      <c r="ER5" s="172"/>
      <c r="ES5" s="172"/>
      <c r="ET5" s="172"/>
      <c r="EU5" s="190"/>
      <c r="EV5" s="172"/>
      <c r="EW5" s="172"/>
      <c r="EX5" s="172"/>
      <c r="EY5" s="172"/>
      <c r="EZ5" s="207"/>
      <c r="FA5" s="180"/>
      <c r="FB5" s="172"/>
      <c r="FC5" s="172"/>
      <c r="FD5" s="172"/>
      <c r="FE5" s="181"/>
      <c r="FF5">
        <f>FF13</f>
        <v>26</v>
      </c>
      <c r="FG5" s="35">
        <f>FF5-EB4</f>
        <v>24</v>
      </c>
      <c r="FH5" s="5">
        <f>FH13</f>
        <v>5</v>
      </c>
      <c r="FI5" s="5"/>
      <c r="FJ5" s="185"/>
      <c r="FK5" s="177">
        <v>500</v>
      </c>
      <c r="FL5" s="193"/>
      <c r="FM5" s="193"/>
      <c r="FN5" s="193"/>
      <c r="GM5" s="30"/>
      <c r="GN5">
        <f>GN13</f>
        <v>5</v>
      </c>
      <c r="GO5" s="35">
        <f>GN5-FK4</f>
        <v>3</v>
      </c>
      <c r="GP5" s="5"/>
      <c r="HT5" s="30"/>
      <c r="HV5" s="5"/>
      <c r="IZ5" s="30"/>
      <c r="JB5" s="5"/>
      <c r="KE5" s="30"/>
      <c r="KG5" s="5"/>
      <c r="LK5" s="30"/>
      <c r="LM5" s="5"/>
      <c r="MP5" s="30"/>
      <c r="MR5" s="5"/>
      <c r="NV5" s="30"/>
      <c r="NW5" s="35"/>
    </row>
    <row r="6" spans="1:387">
      <c r="A6" s="5">
        <v>2</v>
      </c>
      <c r="B6" s="35" t="s">
        <v>18</v>
      </c>
      <c r="C6" s="5"/>
      <c r="I6" s="43"/>
      <c r="P6" s="43"/>
      <c r="W6" s="43"/>
      <c r="AD6" s="43"/>
      <c r="AF6">
        <v>500</v>
      </c>
      <c r="AG6" s="86"/>
      <c r="AH6">
        <f>AG4-AF4</f>
        <v>1</v>
      </c>
      <c r="AI6" s="91"/>
      <c r="AJ6" s="87"/>
      <c r="AK6" s="87"/>
      <c r="AL6" s="88"/>
      <c r="AM6" s="87"/>
      <c r="AN6" s="87"/>
      <c r="AO6" s="87"/>
      <c r="AP6" s="87"/>
      <c r="AQ6" s="87"/>
      <c r="AR6" s="87"/>
      <c r="AS6" s="88"/>
      <c r="AT6" s="87"/>
      <c r="AU6" s="87"/>
      <c r="AV6" s="87"/>
      <c r="AW6" s="87"/>
      <c r="AX6" s="87"/>
      <c r="AY6" s="205"/>
      <c r="AZ6" s="80"/>
      <c r="BA6" s="93"/>
      <c r="BB6" s="93"/>
      <c r="BC6" s="93"/>
      <c r="BD6" s="93"/>
      <c r="BE6" s="93"/>
      <c r="BF6" s="93"/>
      <c r="BG6" s="80"/>
      <c r="BH6" s="93"/>
      <c r="BI6" s="127">
        <v>500</v>
      </c>
      <c r="BJ6" s="123"/>
      <c r="BK6" s="35">
        <f>BK13</f>
        <v>17</v>
      </c>
      <c r="BL6" s="5">
        <f>BL13</f>
        <v>11</v>
      </c>
      <c r="BM6" s="5">
        <f>$BJ$4-$BI$4</f>
        <v>1</v>
      </c>
      <c r="BN6" s="124"/>
      <c r="BO6" s="123"/>
      <c r="BP6" s="123"/>
      <c r="BQ6" s="122"/>
      <c r="BR6" s="123"/>
      <c r="BS6" s="123"/>
      <c r="BT6" s="123"/>
      <c r="BU6" s="123"/>
      <c r="BV6" s="123"/>
      <c r="BW6" s="123"/>
      <c r="BX6" s="122"/>
      <c r="BY6" s="123"/>
      <c r="BZ6" s="123"/>
      <c r="CA6" s="123"/>
      <c r="CB6" s="123"/>
      <c r="CC6" s="123"/>
      <c r="CD6" s="123"/>
      <c r="CE6" s="122"/>
      <c r="CF6" s="123"/>
      <c r="CG6" s="123"/>
      <c r="CH6" s="123"/>
      <c r="CI6" s="123"/>
      <c r="CJ6" s="123"/>
      <c r="CK6" s="123"/>
      <c r="CL6" s="122"/>
      <c r="CM6" s="123"/>
      <c r="CN6" s="123"/>
      <c r="CO6" s="123"/>
      <c r="CP6" s="123"/>
      <c r="CQ6" s="123"/>
      <c r="CR6" s="123"/>
      <c r="CS6" s="35">
        <f t="shared" ref="CS6:CS11" si="0">$CS$13</f>
        <v>31</v>
      </c>
      <c r="CT6" s="5">
        <v>0</v>
      </c>
      <c r="CU6" s="197"/>
      <c r="CV6" s="149"/>
      <c r="CW6" s="149"/>
      <c r="CX6" s="149"/>
      <c r="CY6" s="149"/>
      <c r="CZ6" s="149"/>
      <c r="DA6" s="149"/>
      <c r="DB6" s="149"/>
      <c r="DC6" s="166"/>
      <c r="DD6" s="149"/>
      <c r="DE6" s="149"/>
      <c r="DF6" s="149"/>
      <c r="DG6" s="149"/>
      <c r="DH6" s="149"/>
      <c r="DI6" s="149"/>
      <c r="DJ6" s="166"/>
      <c r="DK6" s="149"/>
      <c r="DL6" s="149"/>
      <c r="DM6" s="149"/>
      <c r="DN6" s="149"/>
      <c r="DO6" s="149"/>
      <c r="DP6" s="149"/>
      <c r="DQ6" s="166"/>
      <c r="DR6" s="149"/>
      <c r="DS6" s="149"/>
      <c r="DT6" s="149"/>
      <c r="DU6" s="149"/>
      <c r="DV6" s="149"/>
      <c r="DW6" s="150"/>
      <c r="DX6" s="182"/>
      <c r="DY6">
        <f>DY13</f>
        <v>30</v>
      </c>
      <c r="DZ6" s="35">
        <v>0</v>
      </c>
      <c r="EA6" s="183"/>
      <c r="EB6" s="171">
        <v>1000</v>
      </c>
      <c r="EC6" s="172"/>
      <c r="ED6" s="172"/>
      <c r="EE6" s="172"/>
      <c r="EF6" s="172"/>
      <c r="EG6" s="190"/>
      <c r="EH6" s="172"/>
      <c r="EI6" s="172"/>
      <c r="EJ6" s="172"/>
      <c r="EK6" s="172"/>
      <c r="EL6" s="172"/>
      <c r="EM6" s="172"/>
      <c r="EN6" s="190"/>
      <c r="EO6" s="172"/>
      <c r="EP6" s="172"/>
      <c r="EQ6" s="172"/>
      <c r="ER6" s="172"/>
      <c r="ES6" s="172"/>
      <c r="ET6" s="172"/>
      <c r="EU6" s="190"/>
      <c r="EV6" s="172"/>
      <c r="EW6" s="172"/>
      <c r="EX6" s="172"/>
      <c r="EY6" s="172"/>
      <c r="EZ6" s="208"/>
      <c r="FA6" s="194">
        <v>500</v>
      </c>
      <c r="FB6" s="193"/>
      <c r="FC6" s="193"/>
      <c r="FD6" s="193"/>
      <c r="FE6" s="212"/>
      <c r="FF6">
        <f>FF13</f>
        <v>26</v>
      </c>
      <c r="FG6" s="35">
        <f>FF6-EB4</f>
        <v>24</v>
      </c>
      <c r="FH6" s="5">
        <f>FH13</f>
        <v>5</v>
      </c>
      <c r="FI6" s="5">
        <f>FH6-1</f>
        <v>4</v>
      </c>
      <c r="FJ6" s="213"/>
      <c r="FK6" s="193"/>
      <c r="FL6" s="193"/>
      <c r="FM6" s="193"/>
      <c r="FN6" s="193"/>
      <c r="GM6" s="30"/>
      <c r="GN6">
        <f>GN13</f>
        <v>5</v>
      </c>
      <c r="GO6" s="35"/>
      <c r="GP6" s="5"/>
      <c r="HT6" s="30"/>
      <c r="HV6" s="5"/>
      <c r="IZ6" s="30"/>
      <c r="JB6" s="5"/>
      <c r="KE6" s="30"/>
      <c r="KG6" s="5"/>
      <c r="LK6" s="30"/>
      <c r="LM6" s="5"/>
      <c r="MP6" s="30"/>
      <c r="MR6" s="5"/>
      <c r="NV6" s="30"/>
      <c r="NW6" s="35"/>
    </row>
    <row r="7" spans="1:387">
      <c r="A7" s="5">
        <v>3</v>
      </c>
      <c r="B7" s="35" t="s">
        <v>19</v>
      </c>
      <c r="C7" s="5"/>
      <c r="I7" s="43"/>
      <c r="P7" s="43"/>
      <c r="W7" s="43"/>
      <c r="AD7" s="43">
        <v>500</v>
      </c>
      <c r="AE7" s="87"/>
      <c r="AF7" s="87"/>
      <c r="AG7" s="86"/>
      <c r="AH7">
        <f>AG4-AD4</f>
        <v>3</v>
      </c>
      <c r="AI7" s="91"/>
      <c r="AJ7" s="87"/>
      <c r="AK7" s="87"/>
      <c r="AL7" s="88"/>
      <c r="AM7" s="87"/>
      <c r="AN7" s="87"/>
      <c r="AO7" s="87"/>
      <c r="AP7" s="87"/>
      <c r="AQ7" s="87"/>
      <c r="AR7" s="87"/>
      <c r="AS7" s="88"/>
      <c r="AT7" s="87"/>
      <c r="AU7" s="87"/>
      <c r="AV7" s="87"/>
      <c r="AW7" s="87"/>
      <c r="AX7" s="87"/>
      <c r="AY7" s="205"/>
      <c r="AZ7" s="80"/>
      <c r="BA7" s="93"/>
      <c r="BB7" s="93"/>
      <c r="BC7" s="93"/>
      <c r="BD7" s="93"/>
      <c r="BE7" s="93"/>
      <c r="BF7" s="93"/>
      <c r="BG7" s="80"/>
      <c r="BH7" s="93"/>
      <c r="BI7" s="93">
        <v>500</v>
      </c>
      <c r="BJ7" s="123"/>
      <c r="BK7" s="35">
        <f>BK13</f>
        <v>17</v>
      </c>
      <c r="BL7" s="5">
        <f>BL13</f>
        <v>11</v>
      </c>
      <c r="BM7" s="5">
        <f>$BJ$4-$BI$4</f>
        <v>1</v>
      </c>
      <c r="BN7" s="124"/>
      <c r="BO7" s="123"/>
      <c r="BP7" s="123"/>
      <c r="BQ7" s="122"/>
      <c r="BR7" s="123"/>
      <c r="BS7" s="123"/>
      <c r="BT7" s="123"/>
      <c r="BU7" s="123"/>
      <c r="BV7" s="123"/>
      <c r="BW7" s="123"/>
      <c r="BX7" s="122"/>
      <c r="BY7" s="123"/>
      <c r="BZ7" s="123"/>
      <c r="CA7" s="123"/>
      <c r="CB7" s="123"/>
      <c r="CC7" s="123"/>
      <c r="CD7" s="123"/>
      <c r="CE7" s="122"/>
      <c r="CF7" s="123"/>
      <c r="CG7" s="123"/>
      <c r="CH7" s="123"/>
      <c r="CI7" s="123"/>
      <c r="CJ7" s="123"/>
      <c r="CK7" s="123"/>
      <c r="CL7" s="122"/>
      <c r="CM7" s="123"/>
      <c r="CN7" s="123">
        <v>500</v>
      </c>
      <c r="CO7" s="137"/>
      <c r="CP7" s="137"/>
      <c r="CQ7" s="137"/>
      <c r="CR7" s="137"/>
      <c r="CS7" s="35">
        <f t="shared" si="0"/>
        <v>31</v>
      </c>
      <c r="CT7" s="5">
        <f>CR4-CN4</f>
        <v>4</v>
      </c>
      <c r="CU7" s="198"/>
      <c r="CV7" s="137"/>
      <c r="CW7" s="137"/>
      <c r="CX7" s="137"/>
      <c r="CY7" s="137"/>
      <c r="CZ7" s="137"/>
      <c r="DA7" s="137"/>
      <c r="DB7" s="137"/>
      <c r="DC7" s="167"/>
      <c r="DD7" s="137"/>
      <c r="DE7" s="137"/>
      <c r="DF7" s="137"/>
      <c r="DG7" s="137"/>
      <c r="DH7" s="137"/>
      <c r="DI7" s="137"/>
      <c r="DJ7" s="167"/>
      <c r="DK7" s="137"/>
      <c r="DL7" s="137"/>
      <c r="DM7" s="137"/>
      <c r="DN7" s="137"/>
      <c r="DO7" s="137"/>
      <c r="DP7" s="137"/>
      <c r="DQ7" s="167"/>
      <c r="DR7" s="137"/>
      <c r="DS7" s="137"/>
      <c r="DT7" s="171">
        <v>500</v>
      </c>
      <c r="DU7" s="177"/>
      <c r="DV7" s="177"/>
      <c r="DW7" s="180"/>
      <c r="DX7" s="181"/>
      <c r="DY7">
        <f>DY13</f>
        <v>30</v>
      </c>
      <c r="DZ7" s="35">
        <f>DX4-DT4</f>
        <v>4</v>
      </c>
      <c r="EA7" s="185"/>
      <c r="EB7" s="172"/>
      <c r="EC7" s="172"/>
      <c r="ED7" s="172"/>
      <c r="EE7" s="172"/>
      <c r="EF7" s="172"/>
      <c r="EG7" s="190"/>
      <c r="EH7" s="172"/>
      <c r="EI7" s="172"/>
      <c r="EJ7" s="172"/>
      <c r="EK7" s="172"/>
      <c r="EL7" s="172"/>
      <c r="EM7" s="172"/>
      <c r="EN7" s="190"/>
      <c r="EO7" s="172"/>
      <c r="EP7" s="172"/>
      <c r="EQ7" s="172"/>
      <c r="ER7" s="172"/>
      <c r="ES7" s="172"/>
      <c r="ET7" s="172"/>
      <c r="EU7" s="190"/>
      <c r="EV7" s="172"/>
      <c r="EW7" s="172"/>
      <c r="EX7" s="172"/>
      <c r="EY7" s="172"/>
      <c r="EZ7" s="208"/>
      <c r="FA7" s="194">
        <v>500</v>
      </c>
      <c r="FB7" s="193"/>
      <c r="FC7" s="193"/>
      <c r="FD7" s="193"/>
      <c r="FE7" s="212"/>
      <c r="FF7">
        <f>FF13</f>
        <v>26</v>
      </c>
      <c r="FG7" s="35"/>
      <c r="FH7" s="5">
        <f>FH13</f>
        <v>5</v>
      </c>
      <c r="FI7" s="5">
        <f>FH7-1</f>
        <v>4</v>
      </c>
      <c r="FJ7" s="213"/>
      <c r="FK7" s="193"/>
      <c r="FL7" s="193"/>
      <c r="FM7" s="193"/>
      <c r="FN7" s="193"/>
      <c r="GM7" s="30"/>
      <c r="GN7">
        <f>GN13</f>
        <v>5</v>
      </c>
      <c r="GO7" s="35"/>
      <c r="GP7" s="5"/>
      <c r="HT7" s="30"/>
      <c r="HV7" s="5"/>
      <c r="IZ7" s="30"/>
      <c r="JB7" s="5"/>
      <c r="KE7" s="30"/>
      <c r="KG7" s="5"/>
      <c r="LK7" s="30"/>
      <c r="LM7" s="5"/>
      <c r="MP7" s="30"/>
      <c r="MR7" s="5"/>
      <c r="NV7" s="30"/>
      <c r="NW7" s="35"/>
    </row>
    <row r="8" spans="1:387">
      <c r="A8" s="5">
        <v>4</v>
      </c>
      <c r="B8" s="35" t="s">
        <v>20</v>
      </c>
      <c r="C8" s="5"/>
      <c r="I8" s="43"/>
      <c r="P8" s="43"/>
      <c r="W8" s="43"/>
      <c r="AD8" s="43">
        <v>500</v>
      </c>
      <c r="AE8" s="87"/>
      <c r="AF8" s="87"/>
      <c r="AG8" s="86"/>
      <c r="AH8">
        <f>AG4-AD4</f>
        <v>3</v>
      </c>
      <c r="AI8" s="91"/>
      <c r="AJ8" s="87"/>
      <c r="AK8" s="87"/>
      <c r="AL8" s="88"/>
      <c r="AM8" s="87"/>
      <c r="AN8" s="87"/>
      <c r="AO8" s="87"/>
      <c r="AP8" s="87"/>
      <c r="AQ8" s="87"/>
      <c r="AR8" s="87"/>
      <c r="AS8" s="88"/>
      <c r="AT8" s="87"/>
      <c r="AU8" s="87"/>
      <c r="AV8" s="87"/>
      <c r="AW8" s="87"/>
      <c r="AX8" s="87"/>
      <c r="AY8" s="205"/>
      <c r="AZ8" s="80"/>
      <c r="BA8" s="93"/>
      <c r="BB8" s="93"/>
      <c r="BC8" s="93"/>
      <c r="BD8" s="93"/>
      <c r="BE8" s="93"/>
      <c r="BF8" s="93"/>
      <c r="BG8" s="80">
        <v>500</v>
      </c>
      <c r="BH8" s="123"/>
      <c r="BI8" s="123"/>
      <c r="BJ8" s="123"/>
      <c r="BK8" s="35">
        <f>BK13</f>
        <v>17</v>
      </c>
      <c r="BL8" s="5">
        <f>BL13</f>
        <v>11</v>
      </c>
      <c r="BM8" s="5">
        <f>$BJ$4-$BG$4</f>
        <v>3</v>
      </c>
      <c r="BN8" s="124"/>
      <c r="BO8" s="123"/>
      <c r="BP8" s="123"/>
      <c r="BQ8" s="122"/>
      <c r="BR8" s="123"/>
      <c r="BS8" s="123"/>
      <c r="BT8" s="123"/>
      <c r="BU8" s="123"/>
      <c r="BV8" s="123"/>
      <c r="BW8" s="123"/>
      <c r="BX8" s="122"/>
      <c r="BY8" s="123"/>
      <c r="BZ8" s="123"/>
      <c r="CA8" s="123"/>
      <c r="CB8" s="123"/>
      <c r="CC8" s="123"/>
      <c r="CD8" s="123"/>
      <c r="CE8" s="122"/>
      <c r="CF8" s="123"/>
      <c r="CG8" s="123"/>
      <c r="CH8" s="123"/>
      <c r="CI8" s="123"/>
      <c r="CJ8" s="123"/>
      <c r="CK8" s="123"/>
      <c r="CL8" s="122">
        <v>500</v>
      </c>
      <c r="CM8" s="137"/>
      <c r="CN8" s="137"/>
      <c r="CO8" s="137"/>
      <c r="CP8" s="137"/>
      <c r="CQ8" s="137"/>
      <c r="CR8" s="137"/>
      <c r="CS8" s="35">
        <f t="shared" si="0"/>
        <v>31</v>
      </c>
      <c r="CT8" s="5">
        <f>CR4-CL4</f>
        <v>6</v>
      </c>
      <c r="CU8" s="198"/>
      <c r="CV8" s="137"/>
      <c r="CW8" s="137"/>
      <c r="CX8" s="137"/>
      <c r="CY8" s="137"/>
      <c r="CZ8" s="137"/>
      <c r="DA8" s="137"/>
      <c r="DB8" s="137"/>
      <c r="DC8" s="167"/>
      <c r="DD8" s="137"/>
      <c r="DE8" s="137"/>
      <c r="DF8" s="137"/>
      <c r="DG8" s="137"/>
      <c r="DH8" s="137"/>
      <c r="DI8" s="137"/>
      <c r="DJ8" s="167"/>
      <c r="DK8" s="137"/>
      <c r="DL8" s="137"/>
      <c r="DM8" s="137"/>
      <c r="DN8" s="137"/>
      <c r="DO8" s="137"/>
      <c r="DP8" s="137"/>
      <c r="DQ8" s="167"/>
      <c r="DR8" s="137"/>
      <c r="DS8" s="137"/>
      <c r="DT8" s="171">
        <v>500</v>
      </c>
      <c r="DU8" s="172"/>
      <c r="DV8" s="172"/>
      <c r="DW8" s="180"/>
      <c r="DX8" s="181"/>
      <c r="DY8">
        <f>DY13</f>
        <v>30</v>
      </c>
      <c r="DZ8" s="35">
        <f>DX4-DT4</f>
        <v>4</v>
      </c>
      <c r="EA8" s="185"/>
      <c r="EB8" s="172"/>
      <c r="EC8" s="172"/>
      <c r="ED8" s="172"/>
      <c r="EE8" s="172"/>
      <c r="EF8" s="172"/>
      <c r="EG8" s="190"/>
      <c r="EH8" s="172"/>
      <c r="EI8" s="172"/>
      <c r="EJ8" s="172"/>
      <c r="EK8" s="172"/>
      <c r="EL8" s="172"/>
      <c r="EM8" s="172"/>
      <c r="EN8" s="190"/>
      <c r="EO8" s="172"/>
      <c r="EP8" s="172"/>
      <c r="EQ8" s="172"/>
      <c r="ER8" s="172"/>
      <c r="ES8" s="172"/>
      <c r="ET8" s="172"/>
      <c r="EU8" s="190"/>
      <c r="EV8" s="172"/>
      <c r="EW8" s="172"/>
      <c r="EX8" s="172"/>
      <c r="EY8" s="172"/>
      <c r="EZ8" s="208"/>
      <c r="FA8" s="194">
        <v>500</v>
      </c>
      <c r="FB8" s="193"/>
      <c r="FC8" s="193"/>
      <c r="FD8" s="193"/>
      <c r="FE8" s="212"/>
      <c r="FF8">
        <f>FF13</f>
        <v>26</v>
      </c>
      <c r="FG8" s="35"/>
      <c r="FH8" s="5">
        <f>FH13</f>
        <v>5</v>
      </c>
      <c r="FI8" s="5">
        <f>FH8-1</f>
        <v>4</v>
      </c>
      <c r="FJ8" s="213"/>
      <c r="FK8" s="193"/>
      <c r="FL8" s="193"/>
      <c r="FM8" s="193"/>
      <c r="FN8" s="193"/>
      <c r="GM8" s="30"/>
      <c r="GN8">
        <f>GN13</f>
        <v>5</v>
      </c>
      <c r="GO8" s="35"/>
      <c r="GP8" s="5"/>
      <c r="HT8" s="30"/>
      <c r="HV8" s="5"/>
      <c r="IZ8" s="30"/>
      <c r="JB8" s="5"/>
      <c r="KE8" s="30"/>
      <c r="KG8" s="5"/>
      <c r="LK8" s="30"/>
      <c r="LM8" s="5"/>
      <c r="MP8" s="30"/>
      <c r="MR8" s="5"/>
      <c r="NV8" s="30"/>
      <c r="NW8" s="35"/>
    </row>
    <row r="9" spans="1:387">
      <c r="A9" s="5">
        <v>5</v>
      </c>
      <c r="B9" s="35" t="s">
        <v>21</v>
      </c>
      <c r="C9" s="5"/>
      <c r="I9" s="43"/>
      <c r="P9" s="43"/>
      <c r="W9" s="43"/>
      <c r="AD9" s="43"/>
      <c r="AG9" s="30">
        <v>500</v>
      </c>
      <c r="AH9">
        <v>0</v>
      </c>
      <c r="AI9" s="91"/>
      <c r="AJ9" s="87"/>
      <c r="AK9" s="87"/>
      <c r="AL9" s="88"/>
      <c r="AM9" s="87"/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7"/>
      <c r="AY9" s="205"/>
      <c r="AZ9" s="80"/>
      <c r="BA9" s="93"/>
      <c r="BB9" s="93"/>
      <c r="BC9" s="93"/>
      <c r="BD9" s="93"/>
      <c r="BE9" s="93"/>
      <c r="BF9" s="93"/>
      <c r="BG9" s="80"/>
      <c r="BH9" s="93"/>
      <c r="BI9" s="93">
        <v>500</v>
      </c>
      <c r="BJ9" s="123"/>
      <c r="BK9" s="35">
        <f>BK13</f>
        <v>17</v>
      </c>
      <c r="BL9" s="5">
        <f>BL13</f>
        <v>11</v>
      </c>
      <c r="BM9" s="5">
        <f>$BJ$4-$BI$4</f>
        <v>1</v>
      </c>
      <c r="BN9" s="124"/>
      <c r="BO9" s="123"/>
      <c r="BP9" s="123"/>
      <c r="BQ9" s="122"/>
      <c r="BR9" s="123"/>
      <c r="BS9" s="123"/>
      <c r="BT9" s="123"/>
      <c r="BU9" s="123"/>
      <c r="BV9" s="123"/>
      <c r="BW9" s="123"/>
      <c r="BX9" s="122"/>
      <c r="BY9" s="123"/>
      <c r="BZ9" s="123"/>
      <c r="CA9" s="123"/>
      <c r="CB9" s="123"/>
      <c r="CC9" s="123"/>
      <c r="CD9" s="123"/>
      <c r="CE9" s="122"/>
      <c r="CF9" s="123"/>
      <c r="CG9" s="123"/>
      <c r="CH9" s="123"/>
      <c r="CI9" s="123"/>
      <c r="CJ9" s="123"/>
      <c r="CK9" s="123"/>
      <c r="CL9" s="122"/>
      <c r="CM9" s="123"/>
      <c r="CN9" s="123"/>
      <c r="CO9" s="123"/>
      <c r="CP9" s="123"/>
      <c r="CQ9" s="123"/>
      <c r="CR9" s="123">
        <v>500</v>
      </c>
      <c r="CS9" s="35">
        <f t="shared" si="0"/>
        <v>31</v>
      </c>
      <c r="CT9" s="5">
        <v>0</v>
      </c>
      <c r="CU9" s="198"/>
      <c r="CV9" s="137"/>
      <c r="CW9" s="137"/>
      <c r="CX9" s="137"/>
      <c r="CY9" s="137"/>
      <c r="CZ9" s="137"/>
      <c r="DA9" s="137"/>
      <c r="DB9" s="137"/>
      <c r="DC9" s="167"/>
      <c r="DD9" s="137"/>
      <c r="DE9" s="137"/>
      <c r="DF9" s="137"/>
      <c r="DG9" s="137"/>
      <c r="DH9" s="137"/>
      <c r="DI9" s="137"/>
      <c r="DJ9" s="167"/>
      <c r="DK9" s="137"/>
      <c r="DL9" s="137"/>
      <c r="DM9" s="137"/>
      <c r="DN9" s="137"/>
      <c r="DO9" s="137"/>
      <c r="DP9" s="137"/>
      <c r="DQ9" s="167"/>
      <c r="DR9" s="137"/>
      <c r="DS9" s="137"/>
      <c r="DT9" s="137"/>
      <c r="DU9" s="137"/>
      <c r="DV9" s="137"/>
      <c r="DW9" s="136"/>
      <c r="DX9" s="179"/>
      <c r="DY9">
        <f>DY13</f>
        <v>30</v>
      </c>
      <c r="DZ9" s="35">
        <v>0</v>
      </c>
      <c r="EA9" s="184"/>
      <c r="EB9" s="149"/>
      <c r="EC9" s="149"/>
      <c r="ED9" s="149"/>
      <c r="EE9" s="171">
        <v>500</v>
      </c>
      <c r="EF9" s="172"/>
      <c r="EG9" s="190"/>
      <c r="EH9" s="172"/>
      <c r="EI9" s="172"/>
      <c r="EJ9" s="172"/>
      <c r="EK9" s="172"/>
      <c r="EL9" s="172"/>
      <c r="EM9" s="172"/>
      <c r="EN9" s="190"/>
      <c r="EO9" s="172"/>
      <c r="EP9" s="172"/>
      <c r="EQ9" s="172"/>
      <c r="ER9" s="172"/>
      <c r="ES9" s="172"/>
      <c r="ET9" s="172"/>
      <c r="EU9" s="190"/>
      <c r="EV9" s="172"/>
      <c r="EW9" s="172"/>
      <c r="EX9" s="172"/>
      <c r="EY9" s="172"/>
      <c r="EZ9" s="208"/>
      <c r="FA9" s="180"/>
      <c r="FB9" s="172"/>
      <c r="FC9" s="172"/>
      <c r="FD9" s="172"/>
      <c r="FE9" s="181"/>
      <c r="FF9">
        <f>FF13</f>
        <v>26</v>
      </c>
      <c r="FG9" s="35">
        <f>FF9-EE4</f>
        <v>21</v>
      </c>
      <c r="FH9" s="5">
        <f>FH13</f>
        <v>5</v>
      </c>
      <c r="FI9" s="5"/>
      <c r="FJ9" s="185"/>
      <c r="FK9" s="149"/>
      <c r="FL9" s="149"/>
      <c r="FM9" s="149"/>
      <c r="FN9" s="149"/>
      <c r="GM9" s="30"/>
      <c r="GN9">
        <f>GN13</f>
        <v>5</v>
      </c>
      <c r="GO9" s="35"/>
      <c r="GP9" s="5"/>
      <c r="HT9" s="30"/>
      <c r="HV9" s="5"/>
      <c r="IZ9" s="30"/>
      <c r="JB9" s="5"/>
      <c r="KE9" s="30"/>
      <c r="KG9" s="5"/>
      <c r="LK9" s="30"/>
      <c r="LM9" s="5"/>
      <c r="MP9" s="30"/>
      <c r="MR9" s="5"/>
      <c r="NV9" s="30"/>
      <c r="NW9" s="35"/>
    </row>
    <row r="10" spans="1:387">
      <c r="A10" s="5">
        <v>6</v>
      </c>
      <c r="B10" s="35" t="s">
        <v>22</v>
      </c>
      <c r="C10" s="5"/>
      <c r="I10" s="43"/>
      <c r="P10" s="43"/>
      <c r="W10" s="43"/>
      <c r="AB10">
        <v>500</v>
      </c>
      <c r="AC10" s="87"/>
      <c r="AD10" s="88"/>
      <c r="AE10" s="87"/>
      <c r="AF10" s="87"/>
      <c r="AG10" s="86"/>
      <c r="AH10">
        <f>AG4-AB4</f>
        <v>5</v>
      </c>
      <c r="AI10" s="91"/>
      <c r="AJ10" s="87"/>
      <c r="AK10" s="87"/>
      <c r="AL10" s="88"/>
      <c r="AM10" s="87"/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7"/>
      <c r="AY10" s="205"/>
      <c r="AZ10" s="80"/>
      <c r="BA10" s="93"/>
      <c r="BB10" s="93"/>
      <c r="BC10" s="93"/>
      <c r="BD10" s="93"/>
      <c r="BE10" s="93"/>
      <c r="BF10" s="93">
        <v>500</v>
      </c>
      <c r="BG10" s="122"/>
      <c r="BH10" s="123"/>
      <c r="BI10" s="123"/>
      <c r="BJ10" s="123"/>
      <c r="BK10" s="35">
        <f>BK13</f>
        <v>17</v>
      </c>
      <c r="BL10" s="5">
        <f>BL13</f>
        <v>11</v>
      </c>
      <c r="BM10" s="5">
        <f>$BJ$4-$BF$4</f>
        <v>4</v>
      </c>
      <c r="BN10" s="124"/>
      <c r="BO10" s="123"/>
      <c r="BP10" s="123"/>
      <c r="BQ10" s="122"/>
      <c r="BR10" s="123"/>
      <c r="BS10" s="123"/>
      <c r="BT10" s="123"/>
      <c r="BU10" s="123"/>
      <c r="BV10" s="123"/>
      <c r="BW10" s="123"/>
      <c r="BX10" s="122"/>
      <c r="BY10" s="123"/>
      <c r="BZ10" s="123"/>
      <c r="CA10" s="123"/>
      <c r="CB10" s="123"/>
      <c r="CC10" s="123"/>
      <c r="CD10" s="123"/>
      <c r="CE10" s="122"/>
      <c r="CF10" s="123"/>
      <c r="CG10" s="123"/>
      <c r="CH10" s="123"/>
      <c r="CI10" s="123"/>
      <c r="CJ10" s="123"/>
      <c r="CK10" s="123">
        <v>500</v>
      </c>
      <c r="CL10" s="136"/>
      <c r="CM10" s="137"/>
      <c r="CN10" s="137"/>
      <c r="CO10" s="137"/>
      <c r="CP10" s="137"/>
      <c r="CQ10" s="137"/>
      <c r="CR10" s="137"/>
      <c r="CS10" s="35">
        <f t="shared" si="0"/>
        <v>31</v>
      </c>
      <c r="CT10" s="5">
        <f>CR4-CK4</f>
        <v>7</v>
      </c>
      <c r="CU10" s="198"/>
      <c r="CV10" s="137"/>
      <c r="CW10" s="137"/>
      <c r="CX10" s="137"/>
      <c r="CY10" s="137"/>
      <c r="CZ10" s="137"/>
      <c r="DA10" s="137"/>
      <c r="DB10" s="137"/>
      <c r="DC10" s="167"/>
      <c r="DD10" s="137"/>
      <c r="DE10" s="137"/>
      <c r="DF10" s="137"/>
      <c r="DG10" s="137"/>
      <c r="DH10" s="137"/>
      <c r="DI10" s="137"/>
      <c r="DJ10" s="167"/>
      <c r="DK10" s="137"/>
      <c r="DL10" s="137"/>
      <c r="DM10" s="137"/>
      <c r="DN10" s="137"/>
      <c r="DO10" s="137"/>
      <c r="DP10" s="137"/>
      <c r="DQ10" s="167"/>
      <c r="DR10" s="137"/>
      <c r="DS10" s="171">
        <v>500</v>
      </c>
      <c r="DT10" s="172"/>
      <c r="DU10" s="172"/>
      <c r="DV10" s="172"/>
      <c r="DW10" s="180"/>
      <c r="DX10" s="181"/>
      <c r="DY10">
        <f>DY13</f>
        <v>30</v>
      </c>
      <c r="DZ10" s="35">
        <f>DX4-DS4</f>
        <v>5</v>
      </c>
      <c r="EA10" s="185"/>
      <c r="EB10" s="172"/>
      <c r="EC10" s="172"/>
      <c r="ED10" s="172"/>
      <c r="EE10" s="172"/>
      <c r="EF10" s="172"/>
      <c r="EG10" s="190"/>
      <c r="EH10" s="172"/>
      <c r="EI10" s="172"/>
      <c r="EJ10" s="172"/>
      <c r="EK10" s="172"/>
      <c r="EL10" s="172"/>
      <c r="EM10" s="172"/>
      <c r="EN10" s="190"/>
      <c r="EO10" s="172"/>
      <c r="EP10" s="172"/>
      <c r="EQ10" s="172"/>
      <c r="ER10" s="172"/>
      <c r="ES10" s="172"/>
      <c r="ET10" s="172"/>
      <c r="EU10" s="190"/>
      <c r="EV10" s="172"/>
      <c r="EW10" s="172"/>
      <c r="EX10" s="172"/>
      <c r="EY10" s="177">
        <v>500</v>
      </c>
      <c r="EZ10" s="209"/>
      <c r="FA10" s="195"/>
      <c r="FB10" s="193"/>
      <c r="FC10" s="193"/>
      <c r="FD10" s="193"/>
      <c r="FE10" s="212"/>
      <c r="FF10">
        <f>FF13</f>
        <v>26</v>
      </c>
      <c r="FG10" s="35">
        <f>EZ4-FF13</f>
        <v>0</v>
      </c>
      <c r="FH10" s="5">
        <f>FH13</f>
        <v>5</v>
      </c>
      <c r="FI10" s="5">
        <v>0</v>
      </c>
      <c r="FJ10" s="213"/>
      <c r="FK10" s="193"/>
      <c r="FL10" s="193"/>
      <c r="FM10" s="193"/>
      <c r="FN10" s="193"/>
      <c r="GM10" s="30"/>
      <c r="GN10">
        <f>GN13</f>
        <v>5</v>
      </c>
      <c r="GO10" s="35"/>
      <c r="GP10" s="5"/>
      <c r="HT10" s="30"/>
      <c r="HV10" s="5"/>
      <c r="IZ10" s="30"/>
      <c r="JB10" s="5"/>
      <c r="KE10" s="30"/>
      <c r="KG10" s="5"/>
      <c r="LK10" s="30"/>
      <c r="LM10" s="5"/>
      <c r="MP10" s="30"/>
      <c r="MR10" s="5"/>
      <c r="NV10" s="30"/>
      <c r="NW10" s="35"/>
    </row>
    <row r="11" spans="1:387">
      <c r="A11" s="5">
        <v>7</v>
      </c>
      <c r="B11" s="35" t="s">
        <v>23</v>
      </c>
      <c r="C11" s="5"/>
      <c r="I11" s="43"/>
      <c r="P11" s="43"/>
      <c r="W11" s="43"/>
      <c r="AD11" s="43"/>
      <c r="AG11" s="30">
        <f>B3</f>
        <v>0</v>
      </c>
      <c r="AH11">
        <v>0</v>
      </c>
      <c r="AI11" s="5"/>
      <c r="AL11" s="43"/>
      <c r="AR11">
        <v>500</v>
      </c>
      <c r="AS11" s="88"/>
      <c r="AT11" s="87"/>
      <c r="AU11" s="87"/>
      <c r="AV11" s="87"/>
      <c r="AW11" s="87"/>
      <c r="AX11" s="87"/>
      <c r="AY11" s="205"/>
      <c r="AZ11" s="80"/>
      <c r="BA11" s="93"/>
      <c r="BB11" s="93"/>
      <c r="BC11" s="93"/>
      <c r="BD11" s="93"/>
      <c r="BE11" s="93"/>
      <c r="BF11" s="93"/>
      <c r="BG11" s="80"/>
      <c r="BH11" s="93"/>
      <c r="BI11" s="93"/>
      <c r="BJ11" s="93"/>
      <c r="BK11" s="35">
        <f>BK13-AR4</f>
        <v>7</v>
      </c>
      <c r="BL11" s="5">
        <f>BL13</f>
        <v>11</v>
      </c>
      <c r="BM11" s="5">
        <v>0</v>
      </c>
      <c r="BN11" s="121"/>
      <c r="BO11" s="149"/>
      <c r="BP11" s="149"/>
      <c r="BQ11" s="150"/>
      <c r="BR11" s="149"/>
      <c r="BS11" s="149"/>
      <c r="BT11" s="149"/>
      <c r="BU11" s="149"/>
      <c r="BV11" s="149"/>
      <c r="BW11" s="149"/>
      <c r="BX11" s="150"/>
      <c r="BY11" s="149"/>
      <c r="BZ11" s="149"/>
      <c r="CA11" s="149"/>
      <c r="CB11" s="149"/>
      <c r="CC11" s="149"/>
      <c r="CD11" s="149"/>
      <c r="CE11" s="150"/>
      <c r="CF11" s="149"/>
      <c r="CG11" s="149"/>
      <c r="CH11" s="149"/>
      <c r="CI11" s="149"/>
      <c r="CJ11" s="149"/>
      <c r="CK11" s="149"/>
      <c r="CL11" s="150"/>
      <c r="CM11" s="149"/>
      <c r="CN11" s="149"/>
      <c r="CO11" s="149"/>
      <c r="CP11" s="149"/>
      <c r="CQ11" s="149"/>
      <c r="CR11" s="149"/>
      <c r="CS11" s="35">
        <f t="shared" si="0"/>
        <v>31</v>
      </c>
      <c r="CT11" s="5">
        <v>0</v>
      </c>
      <c r="CU11" s="199"/>
      <c r="CV11" s="149"/>
      <c r="CW11" s="149"/>
      <c r="CX11" s="149"/>
      <c r="CY11" s="149"/>
      <c r="CZ11" s="149"/>
      <c r="DA11" s="149"/>
      <c r="DB11" s="149"/>
      <c r="DC11" s="166"/>
      <c r="DD11" s="149"/>
      <c r="DE11" s="149"/>
      <c r="DF11" s="149"/>
      <c r="DG11" s="149"/>
      <c r="DH11" s="149"/>
      <c r="DI11" s="149"/>
      <c r="DJ11" s="166"/>
      <c r="DK11" s="149"/>
      <c r="DL11" s="149"/>
      <c r="DM11" s="149"/>
      <c r="DN11" s="149"/>
      <c r="DO11" s="149"/>
      <c r="DP11" s="149"/>
      <c r="DQ11" s="166"/>
      <c r="DR11" s="149"/>
      <c r="DS11" s="149"/>
      <c r="DT11" s="149"/>
      <c r="DU11" s="149"/>
      <c r="DV11" s="149"/>
      <c r="DW11" s="150"/>
      <c r="DX11" s="182"/>
      <c r="DY11">
        <f>DY13</f>
        <v>30</v>
      </c>
      <c r="DZ11" s="35">
        <v>0</v>
      </c>
      <c r="EA11" s="183"/>
      <c r="EB11" s="149"/>
      <c r="EC11" s="149"/>
      <c r="ED11" s="149"/>
      <c r="EE11" s="149"/>
      <c r="EF11" s="149"/>
      <c r="EG11" s="166"/>
      <c r="EH11" s="149"/>
      <c r="EI11" s="149"/>
      <c r="EJ11" s="149"/>
      <c r="EK11" s="149"/>
      <c r="EL11" s="149"/>
      <c r="EM11" s="149"/>
      <c r="EN11" s="166"/>
      <c r="EO11" s="149"/>
      <c r="EP11" s="149"/>
      <c r="EQ11" s="149"/>
      <c r="ER11" s="149"/>
      <c r="ES11" s="149"/>
      <c r="ET11" s="149"/>
      <c r="EU11" s="166"/>
      <c r="EV11" s="149"/>
      <c r="EW11" s="149"/>
      <c r="EX11" s="149"/>
      <c r="EY11" s="149"/>
      <c r="EZ11" s="199"/>
      <c r="FA11" s="150"/>
      <c r="FB11" s="149"/>
      <c r="FC11" s="149"/>
      <c r="FD11" s="149"/>
      <c r="FE11" s="182"/>
      <c r="FF11">
        <f>FF13</f>
        <v>26</v>
      </c>
      <c r="FG11" s="35"/>
      <c r="FH11" s="5">
        <f>FH13</f>
        <v>5</v>
      </c>
      <c r="FI11" s="5"/>
      <c r="FJ11" s="183"/>
      <c r="FK11" s="149"/>
      <c r="FL11" s="149"/>
      <c r="FM11" s="149"/>
      <c r="FN11" s="149"/>
      <c r="GM11" s="30"/>
      <c r="GN11">
        <f>GN13</f>
        <v>5</v>
      </c>
      <c r="GO11" s="35"/>
      <c r="GP11" s="5"/>
      <c r="HT11" s="30"/>
      <c r="HV11" s="5"/>
      <c r="IZ11" s="30"/>
      <c r="JB11" s="5"/>
      <c r="KE11" s="30"/>
      <c r="KG11" s="5"/>
      <c r="LK11" s="30"/>
      <c r="LM11" s="5"/>
      <c r="MP11" s="30"/>
      <c r="MR11" s="5"/>
      <c r="NV11" s="30"/>
      <c r="NW11" s="35"/>
    </row>
    <row r="12" spans="1:387" ht="15" thickBot="1">
      <c r="A12" s="7">
        <v>8</v>
      </c>
      <c r="B12" s="36" t="s">
        <v>24</v>
      </c>
      <c r="C12" s="5"/>
      <c r="I12" s="43"/>
      <c r="P12" s="43"/>
      <c r="W12" s="43"/>
      <c r="AD12" s="43"/>
      <c r="AG12" s="30">
        <f>B3</f>
        <v>0</v>
      </c>
      <c r="AH12">
        <v>0</v>
      </c>
      <c r="AI12" s="5"/>
      <c r="AL12" s="43"/>
      <c r="AS12" s="43"/>
      <c r="AY12" s="206"/>
      <c r="AZ12" s="43"/>
      <c r="BG12" s="43"/>
      <c r="BK12" s="35">
        <v>0</v>
      </c>
      <c r="BL12" s="5">
        <v>0</v>
      </c>
      <c r="BM12" s="5"/>
      <c r="BN12" s="5"/>
      <c r="BQ12" s="43"/>
      <c r="BX12" s="43"/>
      <c r="CE12" s="43"/>
      <c r="CL12" s="43"/>
      <c r="CS12" s="36">
        <v>0</v>
      </c>
      <c r="CT12" s="7">
        <v>0</v>
      </c>
      <c r="CU12" s="200"/>
      <c r="DC12" s="168"/>
      <c r="DD12" s="31"/>
      <c r="DJ12" s="168"/>
      <c r="DQ12" s="168"/>
      <c r="DW12" s="43"/>
      <c r="DX12" s="30"/>
      <c r="DY12">
        <v>0</v>
      </c>
      <c r="DZ12" s="35"/>
      <c r="EA12" s="5"/>
      <c r="EG12" s="188"/>
      <c r="EN12" s="188"/>
      <c r="ET12" s="43"/>
      <c r="EZ12" s="206"/>
      <c r="FA12" s="43"/>
      <c r="FE12" s="30"/>
      <c r="FF12">
        <v>0</v>
      </c>
      <c r="FG12" s="35"/>
      <c r="FH12" s="5"/>
      <c r="FI12" s="5"/>
      <c r="FJ12" s="5"/>
      <c r="GM12" s="30"/>
      <c r="GO12" s="35"/>
      <c r="GP12" s="5"/>
      <c r="HT12" s="30"/>
      <c r="HV12" s="5"/>
      <c r="IZ12" s="30"/>
      <c r="JB12" s="5"/>
      <c r="KE12" s="30"/>
      <c r="KG12" s="5"/>
      <c r="LK12" s="30"/>
      <c r="LM12" s="5"/>
      <c r="MP12" s="30"/>
      <c r="MR12" s="5"/>
      <c r="NV12" s="30"/>
      <c r="NW12" s="36"/>
    </row>
    <row r="13" spans="1:387" ht="15" thickBot="1">
      <c r="A13" s="7"/>
      <c r="B13" s="40" t="s">
        <v>25</v>
      </c>
      <c r="C13" s="37" t="s">
        <v>26</v>
      </c>
      <c r="D13" s="38" t="s">
        <v>27</v>
      </c>
      <c r="E13" s="38" t="s">
        <v>28</v>
      </c>
      <c r="F13" s="38" t="s">
        <v>29</v>
      </c>
      <c r="G13" s="38" t="s">
        <v>28</v>
      </c>
      <c r="H13" s="38" t="s">
        <v>30</v>
      </c>
      <c r="I13" s="42" t="s">
        <v>26</v>
      </c>
      <c r="J13" s="38" t="s">
        <v>26</v>
      </c>
      <c r="K13" s="38" t="s">
        <v>27</v>
      </c>
      <c r="L13" s="38" t="s">
        <v>28</v>
      </c>
      <c r="M13" s="38" t="s">
        <v>29</v>
      </c>
      <c r="N13" s="38" t="s">
        <v>28</v>
      </c>
      <c r="O13" s="38" t="s">
        <v>30</v>
      </c>
      <c r="P13" s="42" t="s">
        <v>26</v>
      </c>
      <c r="Q13" s="38" t="s">
        <v>26</v>
      </c>
      <c r="R13" s="38" t="s">
        <v>27</v>
      </c>
      <c r="S13" s="38" t="s">
        <v>28</v>
      </c>
      <c r="T13" s="38" t="s">
        <v>29</v>
      </c>
      <c r="U13" s="38" t="s">
        <v>28</v>
      </c>
      <c r="V13" s="38" t="s">
        <v>30</v>
      </c>
      <c r="W13" s="42" t="s">
        <v>26</v>
      </c>
      <c r="X13" s="38" t="s">
        <v>26</v>
      </c>
      <c r="Y13" s="38" t="s">
        <v>27</v>
      </c>
      <c r="Z13" s="38" t="s">
        <v>28</v>
      </c>
      <c r="AA13" s="38" t="s">
        <v>29</v>
      </c>
      <c r="AB13" s="38" t="s">
        <v>28</v>
      </c>
      <c r="AC13" s="38" t="s">
        <v>30</v>
      </c>
      <c r="AD13" s="42" t="s">
        <v>26</v>
      </c>
      <c r="AE13" s="38" t="s">
        <v>26</v>
      </c>
      <c r="AF13" s="38" t="s">
        <v>27</v>
      </c>
      <c r="AG13" s="39" t="s">
        <v>28</v>
      </c>
      <c r="AH13" s="38"/>
      <c r="AI13" s="37" t="s">
        <v>29</v>
      </c>
      <c r="AJ13" s="38" t="s">
        <v>28</v>
      </c>
      <c r="AK13" s="38" t="s">
        <v>30</v>
      </c>
      <c r="AL13" s="42" t="s">
        <v>26</v>
      </c>
      <c r="AM13" s="38" t="s">
        <v>26</v>
      </c>
      <c r="AN13" s="38" t="s">
        <v>27</v>
      </c>
      <c r="AO13" s="38" t="s">
        <v>28</v>
      </c>
      <c r="AP13" s="38" t="s">
        <v>29</v>
      </c>
      <c r="AQ13" s="38" t="s">
        <v>28</v>
      </c>
      <c r="AR13" s="38" t="s">
        <v>30</v>
      </c>
      <c r="AS13" s="42" t="s">
        <v>26</v>
      </c>
      <c r="AT13" s="38" t="s">
        <v>26</v>
      </c>
      <c r="AU13" s="38" t="s">
        <v>27</v>
      </c>
      <c r="AV13" s="38" t="s">
        <v>28</v>
      </c>
      <c r="AW13" s="38" t="s">
        <v>29</v>
      </c>
      <c r="AX13" s="38" t="s">
        <v>28</v>
      </c>
      <c r="AY13" s="201" t="s">
        <v>30</v>
      </c>
      <c r="AZ13" s="42" t="s">
        <v>26</v>
      </c>
      <c r="BA13" s="38" t="s">
        <v>26</v>
      </c>
      <c r="BB13" s="38" t="s">
        <v>27</v>
      </c>
      <c r="BC13" s="38" t="s">
        <v>28</v>
      </c>
      <c r="BD13" s="38" t="s">
        <v>29</v>
      </c>
      <c r="BE13" s="38" t="s">
        <v>28</v>
      </c>
      <c r="BF13" s="38" t="s">
        <v>30</v>
      </c>
      <c r="BG13" s="42" t="s">
        <v>26</v>
      </c>
      <c r="BH13" s="38" t="s">
        <v>26</v>
      </c>
      <c r="BI13" s="38" t="s">
        <v>27</v>
      </c>
      <c r="BJ13" s="38" t="s">
        <v>28</v>
      </c>
      <c r="BK13" s="41">
        <f>AY4-AH4</f>
        <v>17</v>
      </c>
      <c r="BL13" s="37">
        <f>BJ4-AY4</f>
        <v>11</v>
      </c>
      <c r="BM13" s="37"/>
      <c r="BN13" s="37" t="s">
        <v>29</v>
      </c>
      <c r="BO13" s="38" t="s">
        <v>28</v>
      </c>
      <c r="BP13" s="38" t="s">
        <v>30</v>
      </c>
      <c r="BQ13" s="42" t="s">
        <v>26</v>
      </c>
      <c r="BR13" s="38" t="s">
        <v>26</v>
      </c>
      <c r="BS13" s="38" t="s">
        <v>27</v>
      </c>
      <c r="BT13" s="38" t="s">
        <v>28</v>
      </c>
      <c r="BU13" s="38" t="s">
        <v>29</v>
      </c>
      <c r="BV13" s="38" t="s">
        <v>28</v>
      </c>
      <c r="BW13" s="38" t="s">
        <v>30</v>
      </c>
      <c r="BX13" s="42" t="s">
        <v>26</v>
      </c>
      <c r="BY13" s="38" t="s">
        <v>26</v>
      </c>
      <c r="BZ13" s="38" t="s">
        <v>27</v>
      </c>
      <c r="CA13" s="38" t="s">
        <v>28</v>
      </c>
      <c r="CB13" s="38" t="s">
        <v>29</v>
      </c>
      <c r="CC13" s="38" t="s">
        <v>28</v>
      </c>
      <c r="CD13" s="38" t="s">
        <v>30</v>
      </c>
      <c r="CE13" s="42" t="s">
        <v>26</v>
      </c>
      <c r="CF13" s="38" t="s">
        <v>26</v>
      </c>
      <c r="CG13" s="38" t="s">
        <v>27</v>
      </c>
      <c r="CH13" s="38" t="s">
        <v>28</v>
      </c>
      <c r="CI13" s="38" t="s">
        <v>29</v>
      </c>
      <c r="CJ13" s="38" t="s">
        <v>28</v>
      </c>
      <c r="CK13" s="38" t="s">
        <v>30</v>
      </c>
      <c r="CL13" s="42" t="s">
        <v>26</v>
      </c>
      <c r="CM13" s="38" t="s">
        <v>26</v>
      </c>
      <c r="CN13" s="38" t="s">
        <v>27</v>
      </c>
      <c r="CO13" s="38" t="s">
        <v>28</v>
      </c>
      <c r="CP13" s="38" t="s">
        <v>29</v>
      </c>
      <c r="CQ13" s="38" t="s">
        <v>28</v>
      </c>
      <c r="CR13" s="38" t="s">
        <v>30</v>
      </c>
      <c r="CS13" s="41">
        <f>$CR$4-$BM$3</f>
        <v>31</v>
      </c>
      <c r="CT13" s="37"/>
      <c r="CU13" s="201" t="s">
        <v>26</v>
      </c>
      <c r="CV13" s="38" t="s">
        <v>26</v>
      </c>
      <c r="CW13" s="38" t="s">
        <v>27</v>
      </c>
      <c r="CX13" s="38" t="s">
        <v>28</v>
      </c>
      <c r="CY13" s="38" t="s">
        <v>29</v>
      </c>
      <c r="CZ13" s="38" t="s">
        <v>28</v>
      </c>
      <c r="DA13" s="38" t="s">
        <v>30</v>
      </c>
      <c r="DB13" s="42" t="s">
        <v>26</v>
      </c>
      <c r="DC13" s="38" t="s">
        <v>26</v>
      </c>
      <c r="DD13" s="38" t="s">
        <v>27</v>
      </c>
      <c r="DE13" s="38" t="s">
        <v>28</v>
      </c>
      <c r="DF13" s="38" t="s">
        <v>29</v>
      </c>
      <c r="DG13" s="38" t="s">
        <v>28</v>
      </c>
      <c r="DH13" s="38" t="s">
        <v>30</v>
      </c>
      <c r="DI13" s="42" t="s">
        <v>26</v>
      </c>
      <c r="DJ13" s="38" t="s">
        <v>26</v>
      </c>
      <c r="DK13" s="38" t="s">
        <v>27</v>
      </c>
      <c r="DL13" s="38" t="s">
        <v>28</v>
      </c>
      <c r="DM13" s="38" t="s">
        <v>29</v>
      </c>
      <c r="DN13" s="38" t="s">
        <v>28</v>
      </c>
      <c r="DO13" s="38" t="s">
        <v>30</v>
      </c>
      <c r="DP13" s="42" t="s">
        <v>26</v>
      </c>
      <c r="DQ13" s="38" t="s">
        <v>26</v>
      </c>
      <c r="DR13" s="38" t="s">
        <v>27</v>
      </c>
      <c r="DS13" s="38" t="s">
        <v>28</v>
      </c>
      <c r="DT13" s="38" t="s">
        <v>29</v>
      </c>
      <c r="DU13" s="38" t="s">
        <v>28</v>
      </c>
      <c r="DV13" s="38" t="s">
        <v>30</v>
      </c>
      <c r="DW13" s="42" t="s">
        <v>26</v>
      </c>
      <c r="DX13" s="38" t="s">
        <v>26</v>
      </c>
      <c r="DY13" s="37">
        <f>DX4</f>
        <v>30</v>
      </c>
      <c r="DZ13" s="41"/>
      <c r="EA13" s="37" t="s">
        <v>27</v>
      </c>
      <c r="EB13" s="38" t="s">
        <v>28</v>
      </c>
      <c r="EC13" s="38" t="s">
        <v>29</v>
      </c>
      <c r="ED13" s="38" t="s">
        <v>28</v>
      </c>
      <c r="EE13" s="38" t="s">
        <v>30</v>
      </c>
      <c r="EF13" s="38" t="s">
        <v>26</v>
      </c>
      <c r="EG13" s="187" t="s">
        <v>26</v>
      </c>
      <c r="EH13" s="38" t="s">
        <v>27</v>
      </c>
      <c r="EI13" s="38" t="s">
        <v>28</v>
      </c>
      <c r="EJ13" s="38" t="s">
        <v>29</v>
      </c>
      <c r="EK13" s="38" t="s">
        <v>28</v>
      </c>
      <c r="EL13" s="38" t="s">
        <v>30</v>
      </c>
      <c r="EM13" s="38" t="s">
        <v>26</v>
      </c>
      <c r="EN13" s="187" t="s">
        <v>26</v>
      </c>
      <c r="EO13" s="38" t="s">
        <v>27</v>
      </c>
      <c r="EP13" s="38" t="s">
        <v>28</v>
      </c>
      <c r="EQ13" s="38" t="s">
        <v>29</v>
      </c>
      <c r="ER13" s="38" t="s">
        <v>28</v>
      </c>
      <c r="ES13" s="38" t="s">
        <v>30</v>
      </c>
      <c r="ET13" s="42" t="s">
        <v>26</v>
      </c>
      <c r="EU13" s="38" t="s">
        <v>26</v>
      </c>
      <c r="EV13" s="38" t="s">
        <v>27</v>
      </c>
      <c r="EW13" s="38" t="s">
        <v>28</v>
      </c>
      <c r="EX13" s="38" t="s">
        <v>29</v>
      </c>
      <c r="EY13" s="38" t="s">
        <v>28</v>
      </c>
      <c r="EZ13" s="201" t="s">
        <v>30</v>
      </c>
      <c r="FA13" s="42" t="s">
        <v>26</v>
      </c>
      <c r="FB13" s="38" t="s">
        <v>26</v>
      </c>
      <c r="FC13" s="38" t="s">
        <v>27</v>
      </c>
      <c r="FD13" s="38" t="s">
        <v>28</v>
      </c>
      <c r="FE13" s="38" t="s">
        <v>29</v>
      </c>
      <c r="FF13" s="41">
        <f>EZ4</f>
        <v>26</v>
      </c>
      <c r="FG13" s="41"/>
      <c r="FH13" s="37">
        <f>FE4-EZ4</f>
        <v>5</v>
      </c>
      <c r="FI13" s="37"/>
      <c r="FJ13" s="37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9"/>
      <c r="GN13" s="38">
        <v>5</v>
      </c>
      <c r="GO13" s="41"/>
      <c r="GP13" s="37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9"/>
      <c r="HU13" s="38"/>
      <c r="HV13" s="37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9"/>
      <c r="JA13" s="38"/>
      <c r="JB13" s="37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9"/>
      <c r="KF13" s="38"/>
      <c r="KG13" s="37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9"/>
      <c r="LL13" s="38"/>
      <c r="LM13" s="37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9"/>
      <c r="MQ13" s="38"/>
      <c r="MR13" s="37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9"/>
    </row>
    <row r="14" spans="1:387" ht="15" thickBot="1"/>
    <row r="15" spans="1:387">
      <c r="B15" t="s">
        <v>31</v>
      </c>
      <c r="C15" s="245" t="s">
        <v>1</v>
      </c>
      <c r="D15" s="246"/>
      <c r="E15" s="251">
        <f>SUM(Jan)</f>
        <v>3000</v>
      </c>
      <c r="F15" s="251"/>
      <c r="G15" s="251"/>
      <c r="H15" s="251"/>
      <c r="I15" s="251"/>
      <c r="J15" s="251"/>
      <c r="K15" s="252"/>
    </row>
    <row r="16" spans="1:387">
      <c r="C16" s="243" t="s">
        <v>2</v>
      </c>
      <c r="D16" s="244"/>
      <c r="E16" s="249">
        <f>SUM(Feb)</f>
        <v>3000</v>
      </c>
      <c r="F16" s="249"/>
      <c r="G16" s="249"/>
      <c r="H16" s="249"/>
      <c r="I16" s="249"/>
      <c r="J16" s="249"/>
      <c r="K16" s="250"/>
    </row>
    <row r="17" spans="2:140">
      <c r="C17" s="243" t="s">
        <v>3</v>
      </c>
      <c r="D17" s="244"/>
      <c r="E17" s="249">
        <f>SUM(Mar)</f>
        <v>2500</v>
      </c>
      <c r="F17" s="249"/>
      <c r="G17" s="249"/>
      <c r="H17" s="249"/>
      <c r="I17" s="249"/>
      <c r="J17" s="249"/>
      <c r="K17" s="250"/>
    </row>
    <row r="18" spans="2:140">
      <c r="C18" s="243" t="s">
        <v>4</v>
      </c>
      <c r="D18" s="244"/>
      <c r="E18" s="249">
        <f>SUM(Apr)</f>
        <v>2000</v>
      </c>
      <c r="F18" s="249"/>
      <c r="G18" s="249"/>
      <c r="H18" s="249"/>
      <c r="I18" s="249"/>
      <c r="J18" s="249"/>
      <c r="K18" s="250"/>
    </row>
    <row r="19" spans="2:140">
      <c r="B19" s="75"/>
      <c r="C19" s="243" t="s">
        <v>5</v>
      </c>
      <c r="D19" s="244"/>
      <c r="E19" s="249">
        <f>SUM(May)</f>
        <v>4000</v>
      </c>
      <c r="F19" s="249"/>
      <c r="G19" s="249"/>
      <c r="H19" s="249"/>
      <c r="I19" s="249"/>
      <c r="J19" s="249"/>
      <c r="K19" s="250"/>
      <c r="EJ19" s="186"/>
    </row>
    <row r="20" spans="2:140">
      <c r="C20" s="243" t="s">
        <v>6</v>
      </c>
      <c r="D20" s="244"/>
      <c r="E20" s="249">
        <f>SUM(Jun)</f>
        <v>500</v>
      </c>
      <c r="F20" s="249"/>
      <c r="G20" s="249"/>
      <c r="H20" s="249"/>
      <c r="I20" s="249"/>
      <c r="J20" s="249"/>
      <c r="K20" s="250"/>
    </row>
    <row r="21" spans="2:140">
      <c r="C21" s="243" t="s">
        <v>7</v>
      </c>
      <c r="D21" s="244"/>
      <c r="E21" s="249">
        <f>SUM(Jul)</f>
        <v>0</v>
      </c>
      <c r="F21" s="249"/>
      <c r="G21" s="249"/>
      <c r="H21" s="249"/>
      <c r="I21" s="249"/>
      <c r="J21" s="249"/>
      <c r="K21" s="250"/>
    </row>
    <row r="22" spans="2:140">
      <c r="C22" s="243" t="s">
        <v>8</v>
      </c>
      <c r="D22" s="244"/>
      <c r="E22" s="249">
        <f>SUM(Aug)</f>
        <v>0</v>
      </c>
      <c r="F22" s="249"/>
      <c r="G22" s="249"/>
      <c r="H22" s="249"/>
      <c r="I22" s="249"/>
      <c r="J22" s="249"/>
      <c r="K22" s="250"/>
    </row>
    <row r="23" spans="2:140">
      <c r="C23" s="243" t="s">
        <v>9</v>
      </c>
      <c r="D23" s="244"/>
      <c r="E23" s="249">
        <f>SUM(Sep)</f>
        <v>0</v>
      </c>
      <c r="F23" s="249"/>
      <c r="G23" s="249"/>
      <c r="H23" s="249"/>
      <c r="I23" s="249"/>
      <c r="J23" s="249"/>
      <c r="K23" s="250"/>
    </row>
    <row r="24" spans="2:140">
      <c r="C24" s="243" t="s">
        <v>10</v>
      </c>
      <c r="D24" s="244"/>
      <c r="E24" s="249">
        <f>SUM(Oct)</f>
        <v>0</v>
      </c>
      <c r="F24" s="249"/>
      <c r="G24" s="249"/>
      <c r="H24" s="249"/>
      <c r="I24" s="249"/>
      <c r="J24" s="249"/>
      <c r="K24" s="250"/>
      <c r="Q24" s="76"/>
    </row>
    <row r="25" spans="2:140">
      <c r="C25" s="243" t="s">
        <v>11</v>
      </c>
      <c r="D25" s="244"/>
      <c r="E25" s="249">
        <f>SUM(Nov)</f>
        <v>0</v>
      </c>
      <c r="F25" s="249"/>
      <c r="G25" s="249"/>
      <c r="H25" s="249"/>
      <c r="I25" s="249"/>
      <c r="J25" s="249"/>
      <c r="K25" s="250"/>
    </row>
    <row r="26" spans="2:140" ht="15" thickBot="1">
      <c r="C26" s="270" t="s">
        <v>12</v>
      </c>
      <c r="D26" s="271"/>
      <c r="E26" s="247">
        <f>SUM(Dec)</f>
        <v>0</v>
      </c>
      <c r="F26" s="247"/>
      <c r="G26" s="247"/>
      <c r="H26" s="247"/>
      <c r="I26" s="247"/>
      <c r="J26" s="247"/>
      <c r="K26" s="248"/>
    </row>
    <row r="27" spans="2:140" ht="15" thickBot="1">
      <c r="E27" s="253">
        <f>SUM(E15:K26)</f>
        <v>15000</v>
      </c>
      <c r="F27" s="254"/>
      <c r="G27" s="254"/>
      <c r="H27" s="254"/>
      <c r="I27" s="254"/>
      <c r="J27" s="254"/>
      <c r="K27" s="255"/>
    </row>
    <row r="28" spans="2:140" ht="15" thickBot="1">
      <c r="B28" s="140" t="s">
        <v>32</v>
      </c>
      <c r="N28" t="s">
        <v>33</v>
      </c>
    </row>
    <row r="29" spans="2:140">
      <c r="B29" s="145" t="s">
        <v>34</v>
      </c>
      <c r="C29" s="146">
        <f>(BJ4-AI4)+CR4+DX4+FE4+FN4</f>
        <v>124</v>
      </c>
      <c r="D29" s="217" t="s">
        <v>35</v>
      </c>
      <c r="E29" s="218"/>
      <c r="F29" s="218"/>
      <c r="G29" s="218"/>
      <c r="H29" s="218"/>
      <c r="I29" s="218"/>
      <c r="J29" s="218"/>
      <c r="K29" s="218"/>
      <c r="L29" s="218"/>
      <c r="M29" s="219"/>
      <c r="N29" s="235" t="s">
        <v>204</v>
      </c>
      <c r="O29" s="220"/>
      <c r="P29" s="221"/>
      <c r="Q29" s="228" t="s">
        <v>37</v>
      </c>
      <c r="R29" s="228"/>
      <c r="S29" s="228"/>
      <c r="T29" s="228"/>
      <c r="U29" s="228"/>
      <c r="V29" s="228"/>
      <c r="W29" s="228"/>
    </row>
    <row r="30" spans="2:140" ht="15" thickBot="1">
      <c r="B30" s="147"/>
      <c r="C30" s="148">
        <v>5</v>
      </c>
      <c r="D30" s="225" t="s">
        <v>38</v>
      </c>
      <c r="E30" s="226"/>
      <c r="F30" s="226"/>
      <c r="G30" s="226"/>
      <c r="H30" s="226"/>
      <c r="I30" s="226"/>
      <c r="J30" s="226"/>
      <c r="K30" s="226"/>
      <c r="L30" s="226"/>
      <c r="M30" s="227"/>
      <c r="N30" s="222"/>
      <c r="O30" s="223"/>
      <c r="P30" s="224"/>
      <c r="Q30" s="228"/>
      <c r="R30" s="228"/>
      <c r="S30" s="228"/>
      <c r="T30" s="228"/>
      <c r="U30" s="228"/>
      <c r="V30" s="228"/>
      <c r="W30" s="228"/>
    </row>
    <row r="31" spans="2:140">
      <c r="B31" s="141" t="s">
        <v>39</v>
      </c>
      <c r="C31" s="142">
        <f>(CR4-BN4)+DX4+FE4+FN4</f>
        <v>96</v>
      </c>
      <c r="D31" s="229" t="s">
        <v>35</v>
      </c>
      <c r="E31" s="230"/>
      <c r="F31" s="230"/>
      <c r="G31" s="230"/>
      <c r="H31" s="230"/>
      <c r="I31" s="230"/>
      <c r="J31" s="230"/>
      <c r="K31" s="230"/>
      <c r="L31" s="230"/>
      <c r="M31" s="231"/>
      <c r="N31" s="236" t="s">
        <v>36</v>
      </c>
      <c r="O31" s="237"/>
      <c r="P31" s="238"/>
    </row>
    <row r="32" spans="2:140" ht="15" thickBot="1">
      <c r="B32" s="143"/>
      <c r="C32" s="144">
        <v>4</v>
      </c>
      <c r="D32" s="232" t="s">
        <v>38</v>
      </c>
      <c r="E32" s="233"/>
      <c r="F32" s="233"/>
      <c r="G32" s="233"/>
      <c r="H32" s="233"/>
      <c r="I32" s="233"/>
      <c r="J32" s="233"/>
      <c r="K32" s="233"/>
      <c r="L32" s="233"/>
      <c r="M32" s="234"/>
      <c r="N32" s="239"/>
      <c r="O32" s="240"/>
      <c r="P32" s="241"/>
    </row>
    <row r="33" spans="2:17">
      <c r="B33" s="141" t="s">
        <v>40</v>
      </c>
      <c r="C33" s="142">
        <v>4</v>
      </c>
      <c r="D33" s="229" t="s">
        <v>35</v>
      </c>
      <c r="E33" s="230"/>
      <c r="F33" s="230"/>
      <c r="G33" s="230"/>
      <c r="H33" s="230"/>
      <c r="I33" s="230"/>
      <c r="J33" s="230"/>
      <c r="K33" s="230"/>
      <c r="L33" s="230"/>
      <c r="M33" s="231"/>
      <c r="N33" s="242">
        <v>500</v>
      </c>
      <c r="O33" s="237"/>
      <c r="P33" s="238"/>
      <c r="Q33" t="s">
        <v>205</v>
      </c>
    </row>
    <row r="34" spans="2:17" ht="15" thickBot="1">
      <c r="B34" s="189" t="s">
        <v>206</v>
      </c>
      <c r="C34" s="144">
        <v>1</v>
      </c>
      <c r="D34" s="300" t="s">
        <v>38</v>
      </c>
      <c r="E34" s="301"/>
      <c r="F34" s="301"/>
      <c r="G34" s="301"/>
      <c r="H34" s="301"/>
      <c r="I34" s="301"/>
      <c r="J34" s="301"/>
      <c r="K34" s="301"/>
      <c r="L34" s="301"/>
      <c r="M34" s="302"/>
      <c r="N34" s="239"/>
      <c r="O34" s="240"/>
      <c r="P34" s="241"/>
    </row>
  </sheetData>
  <mergeCells count="47">
    <mergeCell ref="E27:K27"/>
    <mergeCell ref="LM3:MP3"/>
    <mergeCell ref="MR3:NV3"/>
    <mergeCell ref="C3:AG3"/>
    <mergeCell ref="AI3:BJ3"/>
    <mergeCell ref="BN3:CR3"/>
    <mergeCell ref="CU3:DX3"/>
    <mergeCell ref="EA3:FE3"/>
    <mergeCell ref="FJ3:GM3"/>
    <mergeCell ref="C18:D18"/>
    <mergeCell ref="GP3:HT3"/>
    <mergeCell ref="HV3:IZ3"/>
    <mergeCell ref="JB3:KE3"/>
    <mergeCell ref="KG3:LK3"/>
    <mergeCell ref="C25:D25"/>
    <mergeCell ref="C26:D26"/>
    <mergeCell ref="E15:K15"/>
    <mergeCell ref="E16:K16"/>
    <mergeCell ref="E17:K17"/>
    <mergeCell ref="E18:K18"/>
    <mergeCell ref="E19:K19"/>
    <mergeCell ref="C24:D24"/>
    <mergeCell ref="C15:D15"/>
    <mergeCell ref="C16:D16"/>
    <mergeCell ref="C17:D17"/>
    <mergeCell ref="E26:K26"/>
    <mergeCell ref="E20:K20"/>
    <mergeCell ref="E21:K21"/>
    <mergeCell ref="E22:K22"/>
    <mergeCell ref="E23:K23"/>
    <mergeCell ref="E24:K24"/>
    <mergeCell ref="E25:K25"/>
    <mergeCell ref="C19:D19"/>
    <mergeCell ref="C20:D20"/>
    <mergeCell ref="C21:D21"/>
    <mergeCell ref="C22:D22"/>
    <mergeCell ref="C23:D23"/>
    <mergeCell ref="D33:M33"/>
    <mergeCell ref="N33:P34"/>
    <mergeCell ref="D34:M34"/>
    <mergeCell ref="Q29:W30"/>
    <mergeCell ref="D30:M30"/>
    <mergeCell ref="D29:M29"/>
    <mergeCell ref="D31:M31"/>
    <mergeCell ref="D32:M32"/>
    <mergeCell ref="N29:P30"/>
    <mergeCell ref="N31:P32"/>
  </mergeCells>
  <phoneticPr fontId="2" type="noConversion"/>
  <pageMargins left="0.7" right="0.7" top="0.75" bottom="0.75" header="0.3" footer="0.3"/>
  <pageSetup orientation="portrait" r:id="rId1"/>
  <ignoredErrors>
    <ignoredError sqref="BM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CD23-FFA3-4AC4-9DFD-96CFABEA8448}">
  <sheetPr>
    <tabColor rgb="FF00B0F0"/>
  </sheetPr>
  <dimension ref="A1:AA58"/>
  <sheetViews>
    <sheetView zoomScale="85" zoomScaleNormal="85" workbookViewId="0">
      <pane xSplit="1" topLeftCell="B1" activePane="topRight" state="frozen"/>
      <selection pane="topRight" activeCell="O10" sqref="O10"/>
    </sheetView>
  </sheetViews>
  <sheetFormatPr defaultRowHeight="14.4"/>
  <cols>
    <col min="1" max="1" width="19" bestFit="1" customWidth="1"/>
    <col min="2" max="2" width="12.44140625" bestFit="1" customWidth="1"/>
    <col min="3" max="4" width="10.6640625" bestFit="1" customWidth="1"/>
    <col min="5" max="5" width="10.6640625" customWidth="1"/>
    <col min="6" max="7" width="11.109375" customWidth="1"/>
    <col min="8" max="13" width="11.44140625" customWidth="1"/>
    <col min="14" max="20" width="11.44140625" bestFit="1" customWidth="1"/>
    <col min="21" max="21" width="11.33203125" customWidth="1"/>
    <col min="22" max="24" width="11.44140625" bestFit="1" customWidth="1"/>
    <col min="25" max="25" width="12.109375" bestFit="1" customWidth="1"/>
    <col min="26" max="26" width="13.88671875" bestFit="1" customWidth="1"/>
    <col min="27" max="27" width="14.109375" bestFit="1" customWidth="1"/>
  </cols>
  <sheetData>
    <row r="1" spans="1:19">
      <c r="A1" s="274" t="s">
        <v>41</v>
      </c>
      <c r="B1" s="275"/>
      <c r="C1" s="275"/>
      <c r="D1" s="275"/>
      <c r="E1" s="275"/>
      <c r="F1" s="275"/>
      <c r="G1" s="275"/>
      <c r="H1" s="275"/>
      <c r="I1" s="276"/>
    </row>
    <row r="2" spans="1:19" ht="15" thickBot="1">
      <c r="A2" s="277"/>
      <c r="B2" s="278"/>
      <c r="C2" s="278"/>
      <c r="D2" s="278"/>
      <c r="E2" s="278"/>
      <c r="F2" s="278"/>
      <c r="G2" s="278"/>
      <c r="H2" s="278"/>
      <c r="I2" s="279"/>
    </row>
    <row r="3" spans="1:19" ht="15" thickBot="1">
      <c r="A3" s="280"/>
      <c r="B3" s="281"/>
      <c r="C3" s="281"/>
      <c r="D3" s="281"/>
      <c r="E3" s="281"/>
      <c r="F3" s="281"/>
      <c r="G3" s="281"/>
      <c r="H3" s="281"/>
      <c r="I3" s="282"/>
      <c r="P3" s="283" t="s">
        <v>42</v>
      </c>
      <c r="Q3" s="255"/>
      <c r="R3" s="78" t="s">
        <v>43</v>
      </c>
      <c r="S3" s="133" t="s">
        <v>44</v>
      </c>
    </row>
    <row r="4" spans="1:19" ht="15" thickBot="1">
      <c r="B4" s="191" t="s">
        <v>1</v>
      </c>
      <c r="C4" s="192" t="s">
        <v>2</v>
      </c>
      <c r="D4" s="192" t="s">
        <v>3</v>
      </c>
      <c r="E4" s="192" t="s">
        <v>4</v>
      </c>
      <c r="F4" s="192" t="s">
        <v>5</v>
      </c>
      <c r="G4" s="192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4" t="s">
        <v>11</v>
      </c>
      <c r="M4" s="25" t="s">
        <v>12</v>
      </c>
      <c r="P4" s="128" t="s">
        <v>1</v>
      </c>
      <c r="Q4" s="129">
        <f>B17</f>
        <v>0.04</v>
      </c>
      <c r="R4" s="129">
        <v>0</v>
      </c>
      <c r="S4" s="130"/>
    </row>
    <row r="5" spans="1:19">
      <c r="A5" s="26" t="s">
        <v>45</v>
      </c>
      <c r="B5" s="11">
        <f>SUM(Contributions!C5:AG5)</f>
        <v>500</v>
      </c>
      <c r="C5" s="1">
        <f>SUM(Contributions!AI5:BJ5)</f>
        <v>0</v>
      </c>
      <c r="D5" s="1">
        <f>SUM(Contributions!BN5:CR5)</f>
        <v>500</v>
      </c>
      <c r="E5" s="1">
        <f>SUM(Contributions!CU5:DX5)</f>
        <v>500</v>
      </c>
      <c r="F5" s="1">
        <f>SUM(Contributions!EA5:FE5)</f>
        <v>500</v>
      </c>
      <c r="G5" s="1">
        <f>SUM(Contributions!FJ5:GM5)</f>
        <v>500</v>
      </c>
      <c r="H5" s="1">
        <f>SUM(Contributions!GP5:HT5)</f>
        <v>0</v>
      </c>
      <c r="I5" s="1">
        <f>SUM(Contributions!HV5:IZ5)</f>
        <v>0</v>
      </c>
      <c r="J5" s="1">
        <f>SUM(Contributions!JB5:KE5)</f>
        <v>0</v>
      </c>
      <c r="K5" s="1">
        <f>SUM(Contributions!KG5:LK5)</f>
        <v>0</v>
      </c>
      <c r="L5" s="1">
        <f>SUM(Contributions!LM5:MP5)</f>
        <v>0</v>
      </c>
      <c r="M5" s="6">
        <f>SUM(Contributions!MR5:NV5)</f>
        <v>0</v>
      </c>
      <c r="N5" s="13">
        <f t="shared" ref="N5:N12" si="0">SUM(B5:M5)</f>
        <v>2500</v>
      </c>
      <c r="P5" s="124" t="s">
        <v>2</v>
      </c>
      <c r="Q5" s="131">
        <f>D17</f>
        <v>0.04</v>
      </c>
      <c r="R5" s="132">
        <f>E17</f>
        <v>6.0499999999999998E-2</v>
      </c>
      <c r="S5" s="130" t="s">
        <v>46</v>
      </c>
    </row>
    <row r="6" spans="1:19">
      <c r="A6" s="27" t="s">
        <v>47</v>
      </c>
      <c r="B6" s="11">
        <f>SUM(Contributions!C6:AG6)</f>
        <v>500</v>
      </c>
      <c r="C6" s="1">
        <f>SUM(Contributions!AI6:BJ6)</f>
        <v>500</v>
      </c>
      <c r="D6" s="1">
        <f>SUM(Contributions!BN6:CR6)</f>
        <v>0</v>
      </c>
      <c r="E6" s="1">
        <f>SUM(Contributions!CU6:DX6)</f>
        <v>0</v>
      </c>
      <c r="F6" s="1">
        <f>SUM(Contributions!EA6:FE6)</f>
        <v>1500</v>
      </c>
      <c r="G6" s="1">
        <f>SUM(Contributions!FJ6:GM6)</f>
        <v>0</v>
      </c>
      <c r="H6" s="1">
        <f>SUM(Contributions!GP6:HT6)</f>
        <v>0</v>
      </c>
      <c r="I6" s="1">
        <f>SUM(Contributions!HV6:IZ6)</f>
        <v>0</v>
      </c>
      <c r="J6" s="1">
        <f>SUM(Contributions!JB6:KE6)</f>
        <v>0</v>
      </c>
      <c r="K6" s="1">
        <f>SUM(Contributions!KG6:LK6)</f>
        <v>0</v>
      </c>
      <c r="L6" s="1">
        <f>SUM(Contributions!LM6:MP6)</f>
        <v>0</v>
      </c>
      <c r="M6" s="6">
        <f>SUM(Contributions!MR6:NV6)</f>
        <v>0</v>
      </c>
      <c r="N6" s="14">
        <f t="shared" si="0"/>
        <v>2500</v>
      </c>
      <c r="P6" s="124" t="s">
        <v>3</v>
      </c>
      <c r="Q6" s="131">
        <f>F17</f>
        <v>6.0499999999999998E-2</v>
      </c>
      <c r="R6" s="131">
        <v>0</v>
      </c>
      <c r="S6" s="130"/>
    </row>
    <row r="7" spans="1:19">
      <c r="A7" s="27" t="s">
        <v>48</v>
      </c>
      <c r="B7" s="11">
        <f>SUM(Contributions!C7:AG7)</f>
        <v>500</v>
      </c>
      <c r="C7" s="1">
        <f>SUM(Contributions!AI7:BJ7)</f>
        <v>500</v>
      </c>
      <c r="D7" s="1">
        <f>SUM(Contributions!BN7:CR7)</f>
        <v>500</v>
      </c>
      <c r="E7" s="1">
        <f>SUM(Contributions!CU7:DX7)</f>
        <v>500</v>
      </c>
      <c r="F7" s="1">
        <f>SUM(Contributions!EA7:FE7)</f>
        <v>500</v>
      </c>
      <c r="G7" s="1">
        <f>SUM(Contributions!FJ7:GM7)</f>
        <v>0</v>
      </c>
      <c r="H7" s="1">
        <f>SUM(Contributions!GP7:HT7)</f>
        <v>0</v>
      </c>
      <c r="I7" s="1">
        <f>SUM(Contributions!HV7:IZ7)</f>
        <v>0</v>
      </c>
      <c r="J7" s="1">
        <f>SUM(Contributions!JB7:KE7)</f>
        <v>0</v>
      </c>
      <c r="K7" s="1">
        <f>SUM(Contributions!KG7:LK7)</f>
        <v>0</v>
      </c>
      <c r="L7" s="1">
        <f>SUM(Contributions!LM7:MP7)</f>
        <v>0</v>
      </c>
      <c r="M7" s="6">
        <f>SUM(Contributions!MR7:NV7)</f>
        <v>0</v>
      </c>
      <c r="N7" s="14">
        <f t="shared" si="0"/>
        <v>2500</v>
      </c>
      <c r="P7" s="124" t="s">
        <v>4</v>
      </c>
      <c r="Q7" s="131">
        <f>H17</f>
        <v>6.0499999999999998E-2</v>
      </c>
      <c r="R7" s="132">
        <f>I17</f>
        <v>6.5500000000000003E-2</v>
      </c>
      <c r="S7" s="130" t="s">
        <v>49</v>
      </c>
    </row>
    <row r="8" spans="1:19">
      <c r="A8" s="27" t="s">
        <v>50</v>
      </c>
      <c r="B8" s="11">
        <f>SUM(Contributions!C8:AG8)</f>
        <v>500</v>
      </c>
      <c r="C8" s="1">
        <f>SUM(Contributions!AI8:BJ8)</f>
        <v>500</v>
      </c>
      <c r="D8" s="1">
        <f>SUM(Contributions!BN8:CR8)</f>
        <v>500</v>
      </c>
      <c r="E8" s="1">
        <f>SUM(Contributions!CU8:DX8)</f>
        <v>500</v>
      </c>
      <c r="F8" s="1">
        <f>SUM(Contributions!EA8:FE8)</f>
        <v>500</v>
      </c>
      <c r="G8" s="1">
        <f>SUM(Contributions!FJ8:GM8)</f>
        <v>0</v>
      </c>
      <c r="H8" s="1">
        <f>SUM(Contributions!GP8:HT8)</f>
        <v>0</v>
      </c>
      <c r="I8" s="1">
        <f>SUM(Contributions!HV8:IZ8)</f>
        <v>0</v>
      </c>
      <c r="J8" s="1">
        <f>SUM(Contributions!JB8:KE8)</f>
        <v>0</v>
      </c>
      <c r="K8" s="1">
        <f>SUM(Contributions!KG8:LK8)</f>
        <v>0</v>
      </c>
      <c r="L8" s="1">
        <f>SUM(Contributions!LM8:MP8)</f>
        <v>0</v>
      </c>
      <c r="M8" s="6">
        <f>SUM(Contributions!MR8:NV8)</f>
        <v>0</v>
      </c>
      <c r="N8" s="14">
        <f t="shared" si="0"/>
        <v>2500</v>
      </c>
      <c r="P8" s="124" t="s">
        <v>5</v>
      </c>
      <c r="Q8" s="131">
        <f>J17</f>
        <v>6.5500000000000003E-2</v>
      </c>
      <c r="R8" s="132">
        <f>K17</f>
        <v>7.0499999999999993E-2</v>
      </c>
      <c r="S8" s="130" t="s">
        <v>200</v>
      </c>
    </row>
    <row r="9" spans="1:19">
      <c r="A9" s="27" t="s">
        <v>51</v>
      </c>
      <c r="B9" s="11">
        <f>SUM(Contributions!C9:AG9)</f>
        <v>500</v>
      </c>
      <c r="C9" s="1">
        <f>SUM(Contributions!AI9:BJ9)</f>
        <v>500</v>
      </c>
      <c r="D9" s="1">
        <f>SUM(Contributions!BN9:CR9)</f>
        <v>500</v>
      </c>
      <c r="E9" s="1">
        <f>SUM(Contributions!CU9:DX9)</f>
        <v>0</v>
      </c>
      <c r="F9" s="1">
        <f>SUM(Contributions!EA9:FE9)</f>
        <v>500</v>
      </c>
      <c r="G9" s="1">
        <f>SUM(Contributions!FJ9:GM9)</f>
        <v>0</v>
      </c>
      <c r="H9" s="1">
        <f>SUM(Contributions!GP9:HT9)</f>
        <v>0</v>
      </c>
      <c r="I9" s="1">
        <f>SUM(Contributions!HV9:IZ9)</f>
        <v>0</v>
      </c>
      <c r="J9" s="1">
        <f>SUM(Contributions!JB9:KE9)</f>
        <v>0</v>
      </c>
      <c r="K9" s="1">
        <f>SUM(Contributions!KG9:LK9)</f>
        <v>0</v>
      </c>
      <c r="L9" s="1">
        <f>SUM(Contributions!LM9:MP9)</f>
        <v>0</v>
      </c>
      <c r="M9" s="6">
        <f>SUM(Contributions!MR9:NV9)</f>
        <v>0</v>
      </c>
      <c r="N9" s="14">
        <f t="shared" si="0"/>
        <v>2000</v>
      </c>
      <c r="P9" s="124" t="s">
        <v>6</v>
      </c>
      <c r="Q9" s="131">
        <f>L17</f>
        <v>7.0499999999999993E-2</v>
      </c>
      <c r="R9" s="131">
        <v>0</v>
      </c>
      <c r="S9" s="130"/>
    </row>
    <row r="10" spans="1:19">
      <c r="A10" s="27" t="s">
        <v>52</v>
      </c>
      <c r="B10" s="11">
        <f>SUM(Contributions!C10:AG10)</f>
        <v>500</v>
      </c>
      <c r="C10" s="1">
        <f>SUM(Contributions!AI10:BJ10)</f>
        <v>500</v>
      </c>
      <c r="D10" s="1">
        <f>SUM(Contributions!BN10:CR10)</f>
        <v>500</v>
      </c>
      <c r="E10" s="1">
        <f>SUM(Contributions!CU10:DX10)</f>
        <v>500</v>
      </c>
      <c r="F10" s="1">
        <f>SUM(Contributions!EA10:FE10)</f>
        <v>500</v>
      </c>
      <c r="G10" s="1">
        <f>SUM(Contributions!FJ10:GM10)</f>
        <v>0</v>
      </c>
      <c r="H10" s="1">
        <f>SUM(Contributions!GP10:HT10)</f>
        <v>0</v>
      </c>
      <c r="I10" s="1">
        <f>SUM(Contributions!HV10:IZ10)</f>
        <v>0</v>
      </c>
      <c r="J10" s="1">
        <f>SUM(Contributions!JB10:KE10)</f>
        <v>0</v>
      </c>
      <c r="K10" s="1">
        <f>SUM(Contributions!KG10:LK10)</f>
        <v>0</v>
      </c>
      <c r="L10" s="1">
        <f>SUM(Contributions!LM10:MP10)</f>
        <v>0</v>
      </c>
      <c r="M10" s="6">
        <f>SUM(Contributions!MR10:NV10)</f>
        <v>0</v>
      </c>
      <c r="N10" s="14">
        <f t="shared" si="0"/>
        <v>2500</v>
      </c>
      <c r="P10" s="5" t="s">
        <v>7</v>
      </c>
      <c r="Q10" s="52">
        <f>N17</f>
        <v>6.5500000000000003E-2</v>
      </c>
      <c r="R10" s="52">
        <v>0</v>
      </c>
      <c r="S10" s="35"/>
    </row>
    <row r="11" spans="1:19">
      <c r="A11" s="27" t="s">
        <v>23</v>
      </c>
      <c r="B11" s="11">
        <f>SUM(Contributions!C11:AG11)</f>
        <v>0</v>
      </c>
      <c r="C11" s="1">
        <f>SUM(Contributions!AI11:BJ11)</f>
        <v>500</v>
      </c>
      <c r="D11" s="1">
        <f>SUM(Contributions!BN11:CR11)</f>
        <v>0</v>
      </c>
      <c r="E11" s="1">
        <f>SUM(Contributions!CU11:DX11)</f>
        <v>0</v>
      </c>
      <c r="F11" s="1">
        <f>SUM(Contributions!EA11:FE11)</f>
        <v>0</v>
      </c>
      <c r="G11" s="1">
        <f>SUM(Contributions!FJ11:GM11)</f>
        <v>0</v>
      </c>
      <c r="H11" s="1">
        <f>SUM(Contributions!GP11:HT11)</f>
        <v>0</v>
      </c>
      <c r="I11" s="1">
        <f>SUM(Contributions!HV11:IZ11)</f>
        <v>0</v>
      </c>
      <c r="J11" s="1">
        <f>SUM(Contributions!JB11:KE11)</f>
        <v>0</v>
      </c>
      <c r="K11" s="1">
        <f>SUM(Contributions!KG11:LK11)</f>
        <v>0</v>
      </c>
      <c r="L11" s="1">
        <f>SUM(Contributions!LM11:MP11)</f>
        <v>0</v>
      </c>
      <c r="M11" s="6">
        <f>SUM(Contributions!MR11:NV11)</f>
        <v>0</v>
      </c>
      <c r="N11" s="14">
        <f t="shared" si="0"/>
        <v>500</v>
      </c>
      <c r="P11" s="5" t="s">
        <v>8</v>
      </c>
      <c r="Q11" s="52">
        <f>P17</f>
        <v>6.5500000000000003E-2</v>
      </c>
      <c r="R11" s="52">
        <v>0</v>
      </c>
      <c r="S11" s="35"/>
    </row>
    <row r="12" spans="1:19" ht="15" thickBot="1">
      <c r="A12" s="28" t="s">
        <v>53</v>
      </c>
      <c r="B12" s="11">
        <f>SUM(Contributions!C12:AG12)</f>
        <v>0</v>
      </c>
      <c r="C12" s="1">
        <f>SUM(Contributions!AI12:BJ12)</f>
        <v>0</v>
      </c>
      <c r="D12" s="1">
        <f>SUM(Contributions!BN12:CR12)</f>
        <v>0</v>
      </c>
      <c r="E12" s="1">
        <f>SUM(Contributions!CU12:DX12)</f>
        <v>0</v>
      </c>
      <c r="F12" s="1">
        <f>SUM(Contributions!EA12:FE12)</f>
        <v>0</v>
      </c>
      <c r="G12" s="1">
        <f>SUM(Contributions!FJ12:GM12)</f>
        <v>0</v>
      </c>
      <c r="H12" s="1">
        <f>SUM(Contributions!GP12:HT12)</f>
        <v>0</v>
      </c>
      <c r="I12" s="1">
        <f>SUM(Contributions!HV12:IZ12)</f>
        <v>0</v>
      </c>
      <c r="J12" s="1">
        <f>SUM(Contributions!JB12:KE12)</f>
        <v>0</v>
      </c>
      <c r="K12" s="1">
        <f>SUM(Contributions!KG12:LK12)</f>
        <v>0</v>
      </c>
      <c r="L12" s="1">
        <f>SUM(Contributions!LM12:MP12)</f>
        <v>0</v>
      </c>
      <c r="M12" s="6">
        <f>SUM(Contributions!MR12:NV12)</f>
        <v>0</v>
      </c>
      <c r="N12" s="15">
        <f t="shared" si="0"/>
        <v>0</v>
      </c>
      <c r="P12" s="5" t="s">
        <v>9</v>
      </c>
      <c r="Q12" s="52">
        <f>T17</f>
        <v>6.5500000000000003E-2</v>
      </c>
      <c r="R12" s="52">
        <v>0</v>
      </c>
      <c r="S12" s="35"/>
    </row>
    <row r="13" spans="1:19" ht="15" thickBot="1">
      <c r="A13" s="17" t="s">
        <v>54</v>
      </c>
      <c r="B13" s="18">
        <f>SUM(B5:B12)</f>
        <v>3000</v>
      </c>
      <c r="C13" s="19">
        <f>SUM(C5:C12)</f>
        <v>3000</v>
      </c>
      <c r="D13" s="19">
        <f t="shared" ref="D13:L13" si="1">SUM(D5:D12)</f>
        <v>2500</v>
      </c>
      <c r="E13" s="19">
        <f t="shared" si="1"/>
        <v>2000</v>
      </c>
      <c r="F13" s="19">
        <f t="shared" si="1"/>
        <v>4000</v>
      </c>
      <c r="G13" s="19">
        <f t="shared" si="1"/>
        <v>500</v>
      </c>
      <c r="H13" s="19">
        <f t="shared" si="1"/>
        <v>0</v>
      </c>
      <c r="I13" s="19">
        <f t="shared" si="1"/>
        <v>0</v>
      </c>
      <c r="J13" s="19">
        <f t="shared" si="1"/>
        <v>0</v>
      </c>
      <c r="K13" s="19">
        <f t="shared" si="1"/>
        <v>0</v>
      </c>
      <c r="L13" s="19">
        <f t="shared" si="1"/>
        <v>0</v>
      </c>
      <c r="M13" s="20">
        <f>SUM(M5:M12)</f>
        <v>0</v>
      </c>
      <c r="N13" s="16">
        <f>SUM(N5:N12)</f>
        <v>15000</v>
      </c>
      <c r="P13" s="5" t="s">
        <v>10</v>
      </c>
      <c r="Q13" s="52">
        <f>T17</f>
        <v>6.5500000000000003E-2</v>
      </c>
      <c r="R13" s="52">
        <v>0</v>
      </c>
      <c r="S13" s="35"/>
    </row>
    <row r="14" spans="1:19">
      <c r="P14" s="5" t="s">
        <v>11</v>
      </c>
      <c r="Q14" s="52">
        <f>V17</f>
        <v>6.5500000000000003E-2</v>
      </c>
      <c r="R14" s="52">
        <v>0</v>
      </c>
      <c r="S14" s="35"/>
    </row>
    <row r="15" spans="1:19" ht="15" thickBot="1">
      <c r="N15" s="1"/>
      <c r="P15" s="7" t="s">
        <v>12</v>
      </c>
      <c r="Q15" s="53">
        <f>X17</f>
        <v>6.5500000000000003E-2</v>
      </c>
      <c r="R15" s="53">
        <v>0</v>
      </c>
      <c r="S15" s="36"/>
    </row>
    <row r="16" spans="1:19" ht="15" thickBot="1">
      <c r="D16" t="s">
        <v>55</v>
      </c>
      <c r="E16" t="s">
        <v>15</v>
      </c>
    </row>
    <row r="17" spans="1:27" ht="15.6" thickTop="1" thickBot="1">
      <c r="A17">
        <v>4</v>
      </c>
      <c r="B17" s="115">
        <v>0.04</v>
      </c>
      <c r="C17" s="116">
        <v>0</v>
      </c>
      <c r="D17" s="117">
        <v>0.04</v>
      </c>
      <c r="E17" s="118">
        <v>6.0499999999999998E-2</v>
      </c>
      <c r="F17" s="117">
        <v>6.0499999999999998E-2</v>
      </c>
      <c r="G17" s="118">
        <v>0</v>
      </c>
      <c r="H17" s="117">
        <v>6.0499999999999998E-2</v>
      </c>
      <c r="I17" s="118">
        <v>6.5500000000000003E-2</v>
      </c>
      <c r="J17" s="117">
        <v>6.5500000000000003E-2</v>
      </c>
      <c r="K17" s="118">
        <v>7.0499999999999993E-2</v>
      </c>
      <c r="L17" s="117">
        <v>7.0499999999999993E-2</v>
      </c>
      <c r="M17" s="118">
        <v>0</v>
      </c>
      <c r="N17" s="117">
        <v>6.5500000000000003E-2</v>
      </c>
      <c r="O17" s="118">
        <v>0</v>
      </c>
      <c r="P17" s="117">
        <v>6.5500000000000003E-2</v>
      </c>
      <c r="Q17" s="118">
        <v>0</v>
      </c>
      <c r="R17" s="117">
        <v>6.5500000000000003E-2</v>
      </c>
      <c r="S17" s="118">
        <v>0</v>
      </c>
      <c r="T17" s="117">
        <v>6.5500000000000003E-2</v>
      </c>
      <c r="U17" s="118">
        <v>0</v>
      </c>
      <c r="V17" s="117">
        <v>6.5500000000000003E-2</v>
      </c>
      <c r="W17" s="118">
        <v>0</v>
      </c>
      <c r="X17" s="115">
        <v>6.5500000000000003E-2</v>
      </c>
      <c r="Y17" s="119">
        <v>0</v>
      </c>
    </row>
    <row r="18" spans="1:27" ht="15.6" thickTop="1" thickBot="1">
      <c r="A18" s="102" t="s">
        <v>56</v>
      </c>
      <c r="B18" s="66" t="s">
        <v>1</v>
      </c>
      <c r="C18" s="66" t="s">
        <v>57</v>
      </c>
      <c r="D18" s="110" t="s">
        <v>2</v>
      </c>
      <c r="E18" s="101" t="s">
        <v>58</v>
      </c>
      <c r="F18" s="110" t="s">
        <v>3</v>
      </c>
      <c r="G18" s="101" t="s">
        <v>59</v>
      </c>
      <c r="H18" s="110" t="s">
        <v>4</v>
      </c>
      <c r="I18" s="101" t="s">
        <v>60</v>
      </c>
      <c r="J18" s="110" t="s">
        <v>5</v>
      </c>
      <c r="K18" s="101" t="s">
        <v>61</v>
      </c>
      <c r="L18" s="110" t="s">
        <v>6</v>
      </c>
      <c r="M18" s="101" t="s">
        <v>62</v>
      </c>
      <c r="N18" s="110" t="s">
        <v>7</v>
      </c>
      <c r="O18" s="101" t="s">
        <v>63</v>
      </c>
      <c r="P18" s="110" t="s">
        <v>8</v>
      </c>
      <c r="Q18" s="101" t="s">
        <v>64</v>
      </c>
      <c r="R18" s="110" t="s">
        <v>9</v>
      </c>
      <c r="S18" s="101" t="s">
        <v>65</v>
      </c>
      <c r="T18" s="110" t="s">
        <v>10</v>
      </c>
      <c r="U18" s="101" t="s">
        <v>66</v>
      </c>
      <c r="V18" s="110" t="s">
        <v>11</v>
      </c>
      <c r="W18" s="101" t="s">
        <v>67</v>
      </c>
      <c r="X18" s="66" t="s">
        <v>12</v>
      </c>
      <c r="Y18" s="101" t="s">
        <v>68</v>
      </c>
      <c r="Z18" s="102" t="s">
        <v>69</v>
      </c>
      <c r="AA18" s="102" t="s">
        <v>70</v>
      </c>
    </row>
    <row r="19" spans="1:27" ht="15" thickTop="1">
      <c r="A19" s="103" t="s">
        <v>45</v>
      </c>
      <c r="B19" s="1">
        <f t="shared" ref="B19:B26" si="2">B5</f>
        <v>500</v>
      </c>
      <c r="C19" s="1">
        <f>ROUND(B19*(1+$Q$4/(365)*Contributions!AH5),B29)</f>
        <v>500.1</v>
      </c>
      <c r="D19" s="111">
        <f>ROUND(C5+MAX(Table13[[#This Row],[Jan]:[Jan_Int]]),A17)</f>
        <v>500.1</v>
      </c>
      <c r="E19" s="99">
        <f>ROUND(Table13[[#This Row],[Jan_Int]]*(1+$Q$5/(365)*Contributions!BK5)  *  (1  +  $R$5/(365)*Contributions!BL5),A17)</f>
        <v>501.9452</v>
      </c>
      <c r="F19" s="111">
        <f>ROUND(D5+MAX(Table13[[#This Row],[Jan]:[Feb_Int]]),A17)</f>
        <v>1001.9452</v>
      </c>
      <c r="G19" s="99">
        <f>ROUND(Table13[[#This Row],[Feb_Int]]*(1+$Q$6/(365)*Contributions!CS5)  +  D5*(1+$Q$6/365*Contributions!CT5),F29)</f>
        <v>1006.84</v>
      </c>
      <c r="H19" s="111">
        <f>ROUND(E5+MAX(Table13[[#This Row],[Jan]:[Mar_Int]]),A17)</f>
        <v>1506.84</v>
      </c>
      <c r="I19" s="99">
        <f>ROUND(Table13[[#This Row],[Mar_Int]]*(1+$R$7/(365)*Contributions!DY5)  +  E5*(1+$R$7/(365)*Contributions!DZ5),H29)</f>
        <v>1514.7</v>
      </c>
      <c r="J19" s="111">
        <f>ROUND(F5+MAX(Table13[[#This Row],[Jan]:[Apr_Int]]),A17)</f>
        <v>2014.7</v>
      </c>
      <c r="K19" s="99">
        <f>ROUND((Table13[[#This Row],[Apr_Int]]*(1+$Q$8/(365)*Contributions!FF5)  +  F5*(1+$Q$8/(365)*Contributions!FG5))  *  (1  +  ($R$8/(365)*Contributions!FH5)),J29)</f>
        <v>2025.875</v>
      </c>
      <c r="L19" s="111">
        <f>ROUND(G5+MAX(Table13[[#This Row],[Jan]:[May_Int]]),A17)</f>
        <v>2525.875</v>
      </c>
      <c r="M19" s="99">
        <f>ROUND(Table13[[#This Row],[May_Int]]*(1+$Q$9/(365)*Contributions!GN5)  +  G5*(1+$Q$9/(365)*Contributions!GO5),L29)</f>
        <v>2528.1212</v>
      </c>
      <c r="N19" s="111">
        <f>IF(H5=0,0,H5+MAX(Table13[[#This Row],[Jan]:[Jun_Int]]))</f>
        <v>0</v>
      </c>
      <c r="O19" s="99">
        <f>N19*(1+$Q$10/(365)*Contributions!HU5)</f>
        <v>0</v>
      </c>
      <c r="P19" s="111">
        <f>IF(I5=0,0,I5+MAX(Table13[[#This Row],[Jan]:[Jul_Int]]))</f>
        <v>0</v>
      </c>
      <c r="Q19" s="99">
        <f>P19*(1+$Q$11/(365)*Contributions!JA5)</f>
        <v>0</v>
      </c>
      <c r="R19" s="111">
        <f>IF(J5=0,0,J5+MAX(Table13[[#This Row],[Jan]:[Aug_Int]]))</f>
        <v>0</v>
      </c>
      <c r="S19" s="99">
        <f>R19*(1+$Q$12/(365)*Contributions!KF5)</f>
        <v>0</v>
      </c>
      <c r="T19" s="111">
        <f>IF(K5=0,0,K5+MAX(Table13[[#This Row],[Jan]:[Sep_Int]]))</f>
        <v>0</v>
      </c>
      <c r="U19" s="99">
        <f>T19*(1+$Q$13/(365)*Contributions!LL5)</f>
        <v>0</v>
      </c>
      <c r="V19" s="111">
        <f>IF(L5=0,0,L5+MAX(Table13[[#This Row],[Jan]:[Oct_Int]]))</f>
        <v>0</v>
      </c>
      <c r="W19" s="99">
        <f>V19*(1+$Q$14/(365)*Contributions!MQ5)</f>
        <v>0</v>
      </c>
      <c r="X19" s="1">
        <f>IF(M5=0,0,M5+MAX(Table13[[#This Row],[Jan]:[Nov_Int]]))</f>
        <v>0</v>
      </c>
      <c r="Y19" s="99">
        <f>X19*(1+$Q$15/(365)*Contributions!NW5)</f>
        <v>0</v>
      </c>
      <c r="Z19" s="105">
        <f>MAX(Table13[[#This Row],[Jan]:[Dec_Int]])/$Y$27</f>
        <v>0.16649526204070519</v>
      </c>
      <c r="AA19" s="108">
        <f>Table13[[#This Row],[Share %]]*$Y$27</f>
        <v>2528.1212</v>
      </c>
    </row>
    <row r="20" spans="1:27">
      <c r="A20" s="103" t="s">
        <v>47</v>
      </c>
      <c r="B20" s="1">
        <f t="shared" si="2"/>
        <v>500</v>
      </c>
      <c r="C20" s="1">
        <f>ROUND(B20*(1+$Q$4/(365)*Contributions!AH6),B29)</f>
        <v>500.1</v>
      </c>
      <c r="D20" s="111">
        <f>ROUND(C6+MAX(Table13[[#This Row],[Jan]:[Jan_Int]]),A17)</f>
        <v>1000.1</v>
      </c>
      <c r="E20" s="99">
        <f>ROUND(Table13[[#This Row],[Jan_Int]]*(1+$Q$5/(365)*Contributions!BK6)  *  (1  +  $R$5/(365)*Contributions!BL6 ) +  C6*(1+R5/365*Contributions!BM6),A17)</f>
        <v>1002.0281</v>
      </c>
      <c r="F20" s="111">
        <f>ROUND(D6+MAX(Table13[[#This Row],[Jan]:[Feb_Int]]),A17)</f>
        <v>1002.0281</v>
      </c>
      <c r="G20" s="99">
        <f>ROUND(Table13[[#This Row],[Feb_Int]]*(1+$Q$6/(365)*Contributions!CS6)  +  D6*(1+$Q$6/365*Contributions!CT6),F29)</f>
        <v>1007.18</v>
      </c>
      <c r="H20" s="111">
        <f>ROUND(E6+MAX(Table13[[#This Row],[Jan]:[Mar_Int]]),A17)</f>
        <v>1007.18</v>
      </c>
      <c r="I20" s="99">
        <f>ROUND(Table13[[#This Row],[Mar_Int]]*(1+$R$7/(365)*Contributions!DY6)  +  E6*(1+$R$7/(365)*Contributions!DZ6),H29)</f>
        <v>1012.6</v>
      </c>
      <c r="J20" s="111">
        <f>ROUND(F6+MAX(Table13[[#This Row],[Jan]:[Apr_Int]]),A17)</f>
        <v>2512.6</v>
      </c>
      <c r="K20" s="99">
        <f>ROUND((Table13[[#This Row],[Apr_Int]]*(1+$Q$8/(365)*Contributions!FF6)  +  1000*(1+$Q$8/(365)*Contributions!FG6))  *  (1  +  ($R$8/(365)*Contributions!FH6))  +  500*(1+$R$8/(365)*Contributions!FI6),J29)</f>
        <v>2523.9699999999998</v>
      </c>
      <c r="L20" s="111">
        <f>ROUND(G6+MAX(Table13[[#This Row],[Jan]:[May_Int]]),A17)</f>
        <v>2523.9699999999998</v>
      </c>
      <c r="M20" s="99">
        <f>ROUND(Table13[[#This Row],[May_Int]]*(1+$Q$9/(365)*Contributions!GN6),L29)</f>
        <v>2526.4074999999998</v>
      </c>
      <c r="N20" s="111">
        <f>IF(H6=0,0,H6+MAX(Table13[[#This Row],[Jan]:[Jun_Int]]))</f>
        <v>0</v>
      </c>
      <c r="O20" s="99">
        <f>N20*(1+$Q$10/(365)*Contributions!HU6)</f>
        <v>0</v>
      </c>
      <c r="P20" s="111">
        <f>IF(I6=0,0,I6+MAX(Table13[[#This Row],[Jan]:[Jul_Int]]))</f>
        <v>0</v>
      </c>
      <c r="Q20" s="99">
        <f>P20*(1+$Q$11/(365)*Contributions!JA6)</f>
        <v>0</v>
      </c>
      <c r="R20" s="111">
        <f>IF(J6=0,0,J6+MAX(Table13[[#This Row],[Jan]:[Aug_Int]]))</f>
        <v>0</v>
      </c>
      <c r="S20" s="99">
        <f>R20*(1+$Q$12/(365)*Contributions!KF6)</f>
        <v>0</v>
      </c>
      <c r="T20" s="111">
        <f>IF(K6=0,0,K6+MAX(Table13[[#This Row],[Jan]:[Sep_Int]]))</f>
        <v>0</v>
      </c>
      <c r="U20" s="99">
        <f>T20*(1+$Q$13/(365)*Contributions!LL6)</f>
        <v>0</v>
      </c>
      <c r="V20" s="111">
        <f>IF(L6=0,0,L6+MAX(Table13[[#This Row],[Jan]:[Oct_Int]]))</f>
        <v>0</v>
      </c>
      <c r="W20" s="99">
        <f>V20*(1+$Q$14/(365)*Contributions!MQ6)</f>
        <v>0</v>
      </c>
      <c r="X20" s="1">
        <f>IF(M6=0,0,M6+MAX(Table13[[#This Row],[Jan]:[Nov_Int]]))</f>
        <v>0</v>
      </c>
      <c r="Y20" s="99">
        <f>X20*(1+$Q$15/(365)*Contributions!NW6)</f>
        <v>0</v>
      </c>
      <c r="Z20" s="105">
        <f>MAX(Table13[[#This Row],[Jan]:[Dec_Int]])/$Y$27</f>
        <v>0.16638240236824994</v>
      </c>
      <c r="AA20" s="108">
        <f>Table13[[#This Row],[Share %]]*$Y$27</f>
        <v>2526.4074999999998</v>
      </c>
    </row>
    <row r="21" spans="1:27">
      <c r="A21" s="103" t="s">
        <v>48</v>
      </c>
      <c r="B21" s="1">
        <f t="shared" si="2"/>
        <v>500</v>
      </c>
      <c r="C21" s="1">
        <f>ROUND(B21*(1+$Q$4/(365)*Contributions!AH7),B29)</f>
        <v>500.2</v>
      </c>
      <c r="D21" s="111">
        <f>ROUND(C7+MAX(Table13[[#This Row],[Jan]:[Jan_Int]]),A17)</f>
        <v>1000.2</v>
      </c>
      <c r="E21" s="99">
        <f>ROUND(Table13[[#This Row],[Jan_Int]]*(1+$Q$5/(365)*Contributions!BK7)  *  (1  +  $R$5/(365)*Contributions!BL7)  +  C7*(1+R5/365*Contributions!BM7),A17)</f>
        <v>1002.1285</v>
      </c>
      <c r="F21" s="111">
        <f>ROUND(D7+MAX(Table13[[#This Row],[Jan]:[Feb_Int]]),A17)</f>
        <v>1502.1285</v>
      </c>
      <c r="G21" s="99">
        <f>ROUND(Table13[[#This Row],[Feb_Int]]*(1+$Q$6/(365)*Contributions!CS7)  +  D7*(1+$Q$6/365*Contributions!CT7),F29)</f>
        <v>1507.61</v>
      </c>
      <c r="H21" s="111">
        <f>ROUND(E7+MAX(Table13[[#This Row],[Jan]:[Mar_Int]]),A17)</f>
        <v>2007.61</v>
      </c>
      <c r="I21" s="99">
        <f>ROUND(Table13[[#This Row],[Mar_Int]]*(1+$R$7/(365)*Contributions!DY7)  +  E7*(1+$R$7/(365)*Contributions!DZ7),H29)</f>
        <v>2016.1</v>
      </c>
      <c r="J21" s="111">
        <f>ROUND(F7+MAX(Table13[[#This Row],[Jan]:[Apr_Int]]),A17)</f>
        <v>2516.1</v>
      </c>
      <c r="K21" s="99">
        <f>ROUND(Table13[[#This Row],[Apr_Int]]*(1+$Q$8/(365)*Contributions!FF7)   *  (1 +  ($R$8/(365)*Contributions!FH7))  +  F7*(1+$R$8/(365)*Contributions!FI7),J29)</f>
        <v>2527.8490000000002</v>
      </c>
      <c r="L21" s="111">
        <f>ROUND(G7+MAX(Table13[[#This Row],[Jan]:[May_Int]]),A17)</f>
        <v>2527.8490000000002</v>
      </c>
      <c r="M21" s="99">
        <f>ROUND(Table13[[#This Row],[May_Int]]*(1+$Q$9/(365)*Contributions!GN7),L29)</f>
        <v>2530.2903000000001</v>
      </c>
      <c r="N21" s="111">
        <f>IF(H7=0,0,H7+MAX(Table13[[#This Row],[Jan]:[Jun_Int]]))</f>
        <v>0</v>
      </c>
      <c r="O21" s="99">
        <f>N21*(1+$Q$10/(365)*Contributions!HU7)</f>
        <v>0</v>
      </c>
      <c r="P21" s="111">
        <f>IF(I7=0,0,I7+MAX(Table13[[#This Row],[Jan]:[Jul_Int]]))</f>
        <v>0</v>
      </c>
      <c r="Q21" s="99">
        <f>P21*(1+$Q$11/(365)*Contributions!JA7)</f>
        <v>0</v>
      </c>
      <c r="R21" s="111">
        <f>IF(J7=0,0,J7+MAX(Table13[[#This Row],[Jan]:[Aug_Int]]))</f>
        <v>0</v>
      </c>
      <c r="S21" s="99">
        <f>R21*(1+$Q$12/(365)*Contributions!KF7)</f>
        <v>0</v>
      </c>
      <c r="T21" s="111">
        <f>IF(K7=0,0,K7+MAX(Table13[[#This Row],[Jan]:[Sep_Int]]))</f>
        <v>0</v>
      </c>
      <c r="U21" s="99">
        <f>T21*(1+$Q$13/(365)*Contributions!LL7)</f>
        <v>0</v>
      </c>
      <c r="V21" s="111">
        <f>IF(L7=0,0,L7+MAX(Table13[[#This Row],[Jan]:[Oct_Int]]))</f>
        <v>0</v>
      </c>
      <c r="W21" s="99">
        <f>V21*(1+$Q$14/(365)*Contributions!MQ7)</f>
        <v>0</v>
      </c>
      <c r="X21" s="1">
        <f>IF(M7=0,0,M7+MAX(Table13[[#This Row],[Jan]:[Nov_Int]]))</f>
        <v>0</v>
      </c>
      <c r="Y21" s="99">
        <f>X21*(1+$Q$15/(365)*Contributions!NW7)</f>
        <v>0</v>
      </c>
      <c r="Z21" s="105">
        <f>MAX(Table13[[#This Row],[Jan]:[Dec_Int]])/$Y$27</f>
        <v>0.16663811313221635</v>
      </c>
      <c r="AA21" s="108">
        <f>Table13[[#This Row],[Share %]]*$Y$27</f>
        <v>2530.2903000000001</v>
      </c>
    </row>
    <row r="22" spans="1:27">
      <c r="A22" s="103" t="s">
        <v>50</v>
      </c>
      <c r="B22" s="1">
        <f t="shared" si="2"/>
        <v>500</v>
      </c>
      <c r="C22" s="1">
        <f>ROUND(B22*(1+$Q$4/(365)*Contributions!AH8),B29)</f>
        <v>500.2</v>
      </c>
      <c r="D22" s="111">
        <f>ROUND(C8+MAX(Table13[[#This Row],[Jan]:[Jan_Int]]),A17)</f>
        <v>1000.2</v>
      </c>
      <c r="E22" s="99">
        <f>ROUND(Table13[[#This Row],[Jan_Int]]*(1+$Q$5/(365)*Contributions!BK8)  *  (1  +  $R$5/(365)*Contributions!BL8)  +  C8*(1+R5/365*Contributions!BM8),A17)</f>
        <v>1002.2942</v>
      </c>
      <c r="F22" s="111">
        <f>ROUND(D8+MAX(Table13[[#This Row],[Jan]:[Feb_Int]]),A17)</f>
        <v>1502.2942</v>
      </c>
      <c r="G22" s="99">
        <f>ROUND(Table13[[#This Row],[Feb_Int]]*(1+$Q$6/(365)*Contributions!CS8)  +  D8*(1+$Q$6/365*Contributions!CT8),F29)</f>
        <v>1507.94</v>
      </c>
      <c r="H22" s="111">
        <f>ROUND(E8+MAX(Table13[[#This Row],[Jan]:[Mar_Int]]),A17)</f>
        <v>2007.94</v>
      </c>
      <c r="I22" s="99">
        <f>ROUND(Table13[[#This Row],[Mar_Int]]*(1+$R$7/(365)*Contributions!DY8)  +  E8*(1+$R$7/(365)*Contributions!DZ8),H29)</f>
        <v>2016.4</v>
      </c>
      <c r="J22" s="111">
        <f>ROUND(F8+MAX(Table13[[#This Row],[Jan]:[Apr_Int]]),A17)</f>
        <v>2516.4</v>
      </c>
      <c r="K22" s="99">
        <f>ROUND(Table13[[#This Row],[Apr_Int]]*(1+$Q$8/(365)*Contributions!FF8)  *  (1  +  ($R$8/(365)*Contributions!FH8))  +  F8*(1+$R$8/(365)*Contributions!FI8),J29)</f>
        <v>2528.1509999999998</v>
      </c>
      <c r="L22" s="111">
        <f>ROUND(G8+MAX(Table13[[#This Row],[Jan]:[May_Int]]),A17)</f>
        <v>2528.1509999999998</v>
      </c>
      <c r="M22" s="99">
        <f>ROUND(Table13[[#This Row],[May_Int]]*(1+$Q$9/(365)*Contributions!GN8),L29)</f>
        <v>2530.5925999999999</v>
      </c>
      <c r="N22" s="111">
        <f>IF(H8=0,0,H8+MAX(Table13[[#This Row],[Jan]:[Jun_Int]]))</f>
        <v>0</v>
      </c>
      <c r="O22" s="99">
        <f>N22*(1+$Q$10/(365)*Contributions!HU8)</f>
        <v>0</v>
      </c>
      <c r="P22" s="111">
        <f>IF(I8=0,0,I8+MAX(Table13[[#This Row],[Jan]:[Jul_Int]]))</f>
        <v>0</v>
      </c>
      <c r="Q22" s="99">
        <f>P22*(1+$Q$11/(365)*Contributions!JA8)</f>
        <v>0</v>
      </c>
      <c r="R22" s="111">
        <f>IF(J8=0,0,J8+MAX(Table13[[#This Row],[Jan]:[Aug_Int]]))</f>
        <v>0</v>
      </c>
      <c r="S22" s="99">
        <f>R22*(1+$Q$12/(365)*Contributions!KF8)</f>
        <v>0</v>
      </c>
      <c r="T22" s="111">
        <f>IF(K8=0,0,K8+MAX(Table13[[#This Row],[Jan]:[Sep_Int]]))</f>
        <v>0</v>
      </c>
      <c r="U22" s="99">
        <f>T22*(1+$Q$13/(365)*Contributions!LL8)</f>
        <v>0</v>
      </c>
      <c r="V22" s="111">
        <f>IF(L8=0,0,L8+MAX(Table13[[#This Row],[Jan]:[Oct_Int]]))</f>
        <v>0</v>
      </c>
      <c r="W22" s="99">
        <f>V22*(1+$Q$14/(365)*Contributions!MQ8)</f>
        <v>0</v>
      </c>
      <c r="X22" s="1">
        <f>IF(M8=0,0,M8+MAX(Table13[[#This Row],[Jan]:[Nov_Int]]))</f>
        <v>0</v>
      </c>
      <c r="Y22" s="99">
        <f>X22*(1+$Q$15/(365)*Contributions!NW8)</f>
        <v>0</v>
      </c>
      <c r="Z22" s="105">
        <f>MAX(Table13[[#This Row],[Jan]:[Dec_Int]])/$Y$27</f>
        <v>0.16665802179708372</v>
      </c>
      <c r="AA22" s="108">
        <f>Table13[[#This Row],[Share %]]*$Y$27</f>
        <v>2530.5925999999999</v>
      </c>
    </row>
    <row r="23" spans="1:27">
      <c r="A23" s="103" t="s">
        <v>51</v>
      </c>
      <c r="B23" s="1">
        <f t="shared" si="2"/>
        <v>500</v>
      </c>
      <c r="C23" s="1">
        <f>ROUND(B23*(1+$Q$4/(365)*Contributions!AH9),B29)</f>
        <v>500</v>
      </c>
      <c r="D23" s="111">
        <f>ROUND(C9+MAX(Table13[[#This Row],[Jan]:[Jan_Int]]),A17)</f>
        <v>1000</v>
      </c>
      <c r="E23" s="99">
        <f>ROUND(Table13[[#This Row],[Jan_Int]]*(1+$Q$5/(365)*Contributions!BK9)  *  (1  +  $R$5/(365)*Contributions!BL9)  +  C9*(1+R5/365*Contributions!BM9),A17)</f>
        <v>1001.9277</v>
      </c>
      <c r="F23" s="111">
        <f>ROUND(D9+MAX(Table13[[#This Row],[Jan]:[Feb_Int]]),A17)</f>
        <v>1501.9277</v>
      </c>
      <c r="G23" s="99">
        <f>ROUND(Table13[[#This Row],[Feb_Int]]*(1+$Q$6/(365)*Contributions!CS9)  +  D9*(1+$Q$6/365*Contributions!CT9),F29)</f>
        <v>1507.08</v>
      </c>
      <c r="H23" s="111">
        <f>ROUND(E9+MAX(Table13[[#This Row],[Jan]:[Mar_Int]]),A17)</f>
        <v>1507.08</v>
      </c>
      <c r="I23" s="99">
        <f>ROUND(Table13[[#This Row],[Mar_Int]]*(1+$R$7/(365)*Contributions!DY9)  +  E9*(1+$R$7/(365)*Contributions!DZ9),H29)</f>
        <v>1515.2</v>
      </c>
      <c r="J23" s="111">
        <f>ROUND(F9+MAX(Table13[[#This Row],[Jan]:[Apr_Int]]),A17)</f>
        <v>2015.2</v>
      </c>
      <c r="K23" s="99">
        <f>ROUND((Table13[[#This Row],[Apr_Int]]*(1+$Q$8/(365)*Contributions!FF9)  +  F9*(1+$Q$8/(365)*Contributions!FG9))  *  (1  +  ($R$8/(365)*Contributions!FH9)),J29)</f>
        <v>2026.1089999999999</v>
      </c>
      <c r="L23" s="111">
        <f>ROUND(G9+MAX(Table13[[#This Row],[Jan]:[May_Int]]),A17)</f>
        <v>2026.1089999999999</v>
      </c>
      <c r="M23" s="99">
        <f>ROUND(Table13[[#This Row],[May_Int]]*(1+$Q$9/(365)*Contributions!GN9),L29)</f>
        <v>2028.0657000000001</v>
      </c>
      <c r="N23" s="111">
        <f>IF(H9=0,0,H9+MAX(Table13[[#This Row],[Jan]:[Jun_Int]]))</f>
        <v>0</v>
      </c>
      <c r="O23" s="99">
        <f>N23*(1+$Q$10/(365)*Contributions!HU9)</f>
        <v>0</v>
      </c>
      <c r="P23" s="111">
        <f>IF(I9=0,0,I9+MAX(Table13[[#This Row],[Jan]:[Jul_Int]]))</f>
        <v>0</v>
      </c>
      <c r="Q23" s="99">
        <f>P23*(1+$Q$11/(365)*Contributions!JA9)</f>
        <v>0</v>
      </c>
      <c r="R23" s="111">
        <f>IF(J9=0,0,J9+MAX(Table13[[#This Row],[Jan]:[Aug_Int]]))</f>
        <v>0</v>
      </c>
      <c r="S23" s="99">
        <f>R23*(1+$Q$12/(365)*Contributions!KF9)</f>
        <v>0</v>
      </c>
      <c r="T23" s="111">
        <f>IF(K9=0,0,K9+MAX(Table13[[#This Row],[Jan]:[Sep_Int]]))</f>
        <v>0</v>
      </c>
      <c r="U23" s="99">
        <f>T23*(1+$Q$13/(365)*Contributions!LL9)</f>
        <v>0</v>
      </c>
      <c r="V23" s="111">
        <f>IF(L9=0,0,L9+MAX(Table13[[#This Row],[Jan]:[Oct_Int]]))</f>
        <v>0</v>
      </c>
      <c r="W23" s="99">
        <f>V23*(1+$Q$14/(365)*Contributions!MQ9)</f>
        <v>0</v>
      </c>
      <c r="X23" s="1">
        <f>IF(M9=0,0,M9+MAX(Table13[[#This Row],[Jan]:[Nov_Int]]))</f>
        <v>0</v>
      </c>
      <c r="Y23" s="99">
        <f>X23*(1+$Q$15/(365)*Contributions!NW9)</f>
        <v>0</v>
      </c>
      <c r="Z23" s="105">
        <f>MAX(Table13[[#This Row],[Jan]:[Dec_Int]])/$Y$27</f>
        <v>0.13356295187005521</v>
      </c>
      <c r="AA23" s="108">
        <f>Table13[[#This Row],[Share %]]*$Y$27</f>
        <v>2028.0656999999999</v>
      </c>
    </row>
    <row r="24" spans="1:27">
      <c r="A24" s="103" t="s">
        <v>52</v>
      </c>
      <c r="B24" s="1">
        <f t="shared" si="2"/>
        <v>500</v>
      </c>
      <c r="C24" s="1">
        <f>ROUND(B24*(1+$Q$4/(365)*Contributions!AH10),B29)</f>
        <v>500.3</v>
      </c>
      <c r="D24" s="111">
        <f>ROUND(C10+MAX(Table13[[#This Row],[Jan]:[Jan_Int]]),A17)</f>
        <v>1000.3</v>
      </c>
      <c r="E24" s="99">
        <f>ROUND(Table13[[#This Row],[Jan_Int]]*(1+$Q$5/(365)*Contributions!BK10)  *  (1  +  $R$5/(365)*Contributions!BL10)  +  C10*(1+R5/365*Contributions!BM10),A17)</f>
        <v>1002.4775</v>
      </c>
      <c r="F24" s="111">
        <f>ROUND(D10+MAX(Table13[[#This Row],[Jan]:[Feb_Int]]),A17)</f>
        <v>1502.4775</v>
      </c>
      <c r="G24" s="99">
        <f>ROUND(Table13[[#This Row],[Feb_Int]]*(1+$Q$6/(365)*Contributions!CS10)  +  D10*(1+$Q$6/365*Contributions!CT10),F29)</f>
        <v>1508.21</v>
      </c>
      <c r="H24" s="111">
        <f>ROUND(E10+MAX(Table13[[#This Row],[Jan]:[Mar_Int]]),A17)</f>
        <v>2008.21</v>
      </c>
      <c r="I24" s="99">
        <f>ROUND(Table13[[#This Row],[Mar_Int]]*(1+$R$7/(365)*Contributions!DY10)  +  E10*(1+$R$7/(365)*Contributions!DZ10),H29)</f>
        <v>2016.8</v>
      </c>
      <c r="J24" s="111">
        <f>ROUND(F10+MAX(Table13[[#This Row],[Jan]:[Apr_Int]]),A17)</f>
        <v>2516.8000000000002</v>
      </c>
      <c r="K24" s="99">
        <f>ROUND((Table13[[#This Row],[Apr_Int]]*(1+$Q$8/(365)*Contributions!FF10)  +  F10*(1+$Q$8/(365)*Contributions!FG10))  *  (1  +  $Q$8/(365)*Contributions!FH10),J29)</f>
        <v>2528.4769999999999</v>
      </c>
      <c r="L24" s="111">
        <f>ROUND(G10+MAX(Table13[[#This Row],[Jan]:[May_Int]]),A17)</f>
        <v>2528.4769999999999</v>
      </c>
      <c r="M24" s="99">
        <f>ROUND(Table13[[#This Row],[May_Int]]*(1+$Q$9/(365)*Contributions!GN10),L29)</f>
        <v>2530.9189000000001</v>
      </c>
      <c r="N24" s="111">
        <f>IF(H10=0,0,H10+MAX(Table13[[#This Row],[Jan]:[Jun_Int]]))</f>
        <v>0</v>
      </c>
      <c r="O24" s="99">
        <f>N24*(1+$Q$10/(365)*Contributions!HU10)</f>
        <v>0</v>
      </c>
      <c r="P24" s="111">
        <f>IF(I10=0,0,I10+MAX(Table13[[#This Row],[Jan]:[Jul_Int]]))</f>
        <v>0</v>
      </c>
      <c r="Q24" s="99">
        <f>P24*(1+$Q$11/(365)*Contributions!JA10)</f>
        <v>0</v>
      </c>
      <c r="R24" s="111">
        <f>IF(J10=0,0,J10+MAX(Table13[[#This Row],[Jan]:[Aug_Int]]))</f>
        <v>0</v>
      </c>
      <c r="S24" s="99">
        <f>R24*(1+$Q$12/(365)*Contributions!KF10)</f>
        <v>0</v>
      </c>
      <c r="T24" s="111">
        <f>IF(K10=0,0,K10+MAX(Table13[[#This Row],[Jan]:[Sep_Int]]))</f>
        <v>0</v>
      </c>
      <c r="U24" s="99">
        <f>T24*(1+$Q$13/(365)*Contributions!LL10)</f>
        <v>0</v>
      </c>
      <c r="V24" s="111">
        <f>IF(L10=0,0,L10+MAX(Table13[[#This Row],[Jan]:[Oct_Int]]))</f>
        <v>0</v>
      </c>
      <c r="W24" s="99">
        <f>V24*(1+$Q$14/(365)*Contributions!MQ10)</f>
        <v>0</v>
      </c>
      <c r="X24" s="1">
        <f>IF(M10=0,0,M10+MAX(Table13[[#This Row],[Jan]:[Nov_Int]]))</f>
        <v>0</v>
      </c>
      <c r="Y24" s="99">
        <f>X24*(1+$Q$15/(365)*Contributions!NW10)</f>
        <v>0</v>
      </c>
      <c r="Z24" s="105">
        <f>MAX(Table13[[#This Row],[Jan]:[Dec_Int]])/$Y$27</f>
        <v>0.16667951103739542</v>
      </c>
      <c r="AA24" s="108">
        <f>Table13[[#This Row],[Share %]]*$Y$27</f>
        <v>2530.9189000000001</v>
      </c>
    </row>
    <row r="25" spans="1:27">
      <c r="A25" s="103" t="s">
        <v>23</v>
      </c>
      <c r="B25" s="1">
        <f t="shared" si="2"/>
        <v>0</v>
      </c>
      <c r="C25" s="1">
        <f>B25*(1+$Q$4/(365)*Contributions!AH11)</f>
        <v>0</v>
      </c>
      <c r="D25" s="111">
        <f>ROUND(C11+MAX(Table13[[#This Row],[Jan]:[Jan_Int]]),A17)</f>
        <v>500</v>
      </c>
      <c r="E25" s="99">
        <f>ROUND(D25*(1+$Q$5/(365)*Contributions!BK11)  *  (1  +  $R$5/(365)*Contributions!BL11),A17)</f>
        <v>501.29590000000002</v>
      </c>
      <c r="F25" s="111">
        <f>ROUND(D11+MAX(Table13[[#This Row],[Jan]:[Feb_Int]]),A17)</f>
        <v>501.29590000000002</v>
      </c>
      <c r="G25" s="99">
        <f>ROUND(Table13[[#This Row],[Feb_Int]]*(1+$Q$6/(365)*Contributions!CS11),F29)</f>
        <v>503.87</v>
      </c>
      <c r="H25" s="111">
        <f>ROUND(E11+MAX(Table13[[#This Row],[Jan]:[Mar_Int]]),A17)</f>
        <v>503.87</v>
      </c>
      <c r="I25" s="99">
        <f>ROUND(Table13[[#This Row],[Mar_Int]]*(1+$R$7/(365)*Contributions!DY11),H29)</f>
        <v>506.6</v>
      </c>
      <c r="J25" s="111">
        <f>ROUND(F11+MAX(Table13[[#This Row],[Jan]:[Apr_Int]]),A17)</f>
        <v>506.6</v>
      </c>
      <c r="K25" s="99">
        <f>ROUND(Table13[[#This Row],[Apr_Int]]*(1+$Q$8/(365)*Contributions!FF11)  *  (1  +  $R$8/(365)*Contributions!FH11),J29)</f>
        <v>509.45499999999998</v>
      </c>
      <c r="L25" s="111">
        <f>ROUND(G11+MAX(Table13[[#This Row],[Jan]:[May_Int]]),A17)</f>
        <v>509.45499999999998</v>
      </c>
      <c r="M25" s="99">
        <f>ROUND(Table13[[#This Row],[May_Int]]*(1+$Q$9/(365)*Contributions!GN11),L29)</f>
        <v>509.947</v>
      </c>
      <c r="N25" s="111">
        <f>IF(H11=0,0,H11+MAX(Table13[[#This Row],[Jan]:[Jun_Int]]))</f>
        <v>0</v>
      </c>
      <c r="O25" s="99">
        <f>N25*(1+$Q$10/(365)*Contributions!HU11)</f>
        <v>0</v>
      </c>
      <c r="P25" s="111">
        <f>IF(I11=0,0,I11+MAX(Table13[[#This Row],[Jan]:[Jul_Int]]))</f>
        <v>0</v>
      </c>
      <c r="Q25" s="99">
        <f>P25*(1+$Q$11/(365)*Contributions!JA11)</f>
        <v>0</v>
      </c>
      <c r="R25" s="111">
        <f>IF(J11=0,0,J11+MAX(Table13[[#This Row],[Jan]:[Aug_Int]]))</f>
        <v>0</v>
      </c>
      <c r="S25" s="99">
        <f>R25*(1+$Q$12/(365)*Contributions!KF11)</f>
        <v>0</v>
      </c>
      <c r="T25" s="111">
        <f>IF(K11=0,0,K11+MAX(Table13[[#This Row],[Jan]:[Sep_Int]]))</f>
        <v>0</v>
      </c>
      <c r="U25" s="99">
        <f>T25*(1+$Q$13/(365)*Contributions!LL11)</f>
        <v>0</v>
      </c>
      <c r="V25" s="111">
        <f>IF(L11=0,0,L11+MAX(Table13[[#This Row],[Jan]:[Oct_Int]]))</f>
        <v>0</v>
      </c>
      <c r="W25" s="99">
        <f>V25*(1+$Q$14/(365)*Contributions!MQ11)</f>
        <v>0</v>
      </c>
      <c r="X25" s="1">
        <f>IF(M11=0,0,M11+MAX(Table13[[#This Row],[Jan]:[Nov_Int]]))</f>
        <v>0</v>
      </c>
      <c r="Y25" s="99">
        <f>X25*(1+$Q$15/(365)*Contributions!NW11)</f>
        <v>0</v>
      </c>
      <c r="Z25" s="105">
        <f>MAX(Table13[[#This Row],[Jan]:[Dec_Int]])/$Y$27</f>
        <v>3.3583737754294178E-2</v>
      </c>
      <c r="AA25" s="108">
        <f>Table13[[#This Row],[Share %]]*$Y$27</f>
        <v>509.94700000000006</v>
      </c>
    </row>
    <row r="26" spans="1:27" ht="15" thickBot="1">
      <c r="A26" s="104" t="s">
        <v>53</v>
      </c>
      <c r="B26" s="61">
        <f t="shared" si="2"/>
        <v>0</v>
      </c>
      <c r="C26" s="61">
        <f>B26*(1+$Q$4/(365)*Contributions!AH12)</f>
        <v>0</v>
      </c>
      <c r="D26" s="112">
        <f>C12+MAX(Table13[[#This Row],[Jan]:[Jan_Int]])</f>
        <v>0</v>
      </c>
      <c r="E26" s="100">
        <f>D26*((1+$Q$5/(365)*Contributions!BK12)+$R$5/(365)*Contributions!BL12)</f>
        <v>0</v>
      </c>
      <c r="F26" s="111">
        <f>D12+MAX(Table13[[#This Row],[Jan]:[Feb_Int]])</f>
        <v>0</v>
      </c>
      <c r="G26" s="100">
        <f>F26*(1+$Q$6/(365)*Contributions!CS12)</f>
        <v>0</v>
      </c>
      <c r="H26" s="112">
        <f>E12+MAX(Table13[[#This Row],[Jan]:[Mar_Int]])</f>
        <v>0</v>
      </c>
      <c r="I26" s="100">
        <f>H26*(1+$R$7/(365)*Contributions!DY12)</f>
        <v>0</v>
      </c>
      <c r="J26" s="112">
        <f>F12+MAX(Table13[[#This Row],[Jan]:[Apr_Int]])</f>
        <v>0</v>
      </c>
      <c r="K26" s="100">
        <f>J26*(1+$Q$8/(365)*Contributions!FG12)</f>
        <v>0</v>
      </c>
      <c r="L26" s="112">
        <f>IF(G12=0,0,G12+MAX(Table13[[#This Row],[Jan]:[May_Int]]))</f>
        <v>0</v>
      </c>
      <c r="M26" s="100">
        <f>L26*(1+$Q$9/(365)*Contributions!GN12)</f>
        <v>0</v>
      </c>
      <c r="N26" s="112">
        <f>IF(H12=0,0,H12+MAX(Table13[[#This Row],[Jan]:[Jun_Int]]))</f>
        <v>0</v>
      </c>
      <c r="O26" s="100">
        <f>N26*(1+$Q$10/(365)*Contributions!HU12)</f>
        <v>0</v>
      </c>
      <c r="P26" s="112">
        <f>IF(I12=0,0,I12+MAX(Table13[[#This Row],[Jan]:[Jul_Int]]))</f>
        <v>0</v>
      </c>
      <c r="Q26" s="100">
        <f>P26*(1+$Q$11/(365)*Contributions!JA12)</f>
        <v>0</v>
      </c>
      <c r="R26" s="112">
        <f>IF(J12=0,0,J12+MAX(Table13[[#This Row],[Jan]:[Aug_Int]]))</f>
        <v>0</v>
      </c>
      <c r="S26" s="100">
        <f>R26*(1+$Q$12/(365)*Contributions!KF12)</f>
        <v>0</v>
      </c>
      <c r="T26" s="112">
        <f>IF(K12=0,0,K12+MAX(Table13[[#This Row],[Jan]:[Sep_Int]]))</f>
        <v>0</v>
      </c>
      <c r="U26" s="100">
        <f>T26*(1+$Q$13/(365)*Contributions!LL12)</f>
        <v>0</v>
      </c>
      <c r="V26" s="112">
        <f>IF(L12=0,0,L12+MAX(Table13[[#This Row],[Jan]:[Oct_Int]]))</f>
        <v>0</v>
      </c>
      <c r="W26" s="100">
        <f>V26*(1+$Q$14/(365)*Contributions!MQ12)</f>
        <v>0</v>
      </c>
      <c r="X26" s="61">
        <f>IF(M12=0,0,M12+MAX(Table13[[#This Row],[Jan]:[Nov_Int]]))</f>
        <v>0</v>
      </c>
      <c r="Y26" s="100">
        <f>X26*(1+$Q$15/(365)*Contributions!NW12)</f>
        <v>0</v>
      </c>
      <c r="Z26" s="105">
        <f>MAX(Table13[[#This Row],[Jan]:[Dec_Int]])/$Y$27</f>
        <v>0</v>
      </c>
      <c r="AA26" s="108">
        <f>Table13[[#This Row],[Share %]]*$Y$27</f>
        <v>0</v>
      </c>
    </row>
    <row r="27" spans="1:27" ht="15.6" thickTop="1" thickBot="1">
      <c r="A27" s="102" t="s">
        <v>54</v>
      </c>
      <c r="B27" s="67">
        <f>SUM(B19:B26)</f>
        <v>3000</v>
      </c>
      <c r="C27" s="67">
        <f t="shared" ref="C27:X27" si="3">SUM(C19:C26)</f>
        <v>3000.9000000000005</v>
      </c>
      <c r="D27" s="113">
        <f t="shared" si="3"/>
        <v>6000.9000000000005</v>
      </c>
      <c r="E27" s="114">
        <f>SUM(MAX(B19:E19),MAX(B20:E20),MAX(B21:E21),MAX(B22:E22),MAX(B23:E23),MAX(B24:E24),MAX(B25:E25),MAX(B26:E26))</f>
        <v>6014.0971000000009</v>
      </c>
      <c r="F27" s="113">
        <f t="shared" si="3"/>
        <v>8514.0971000000009</v>
      </c>
      <c r="G27" s="114">
        <f t="shared" si="3"/>
        <v>8548.73</v>
      </c>
      <c r="H27" s="113">
        <f t="shared" si="3"/>
        <v>10548.730000000001</v>
      </c>
      <c r="I27" s="114">
        <f t="shared" si="3"/>
        <v>10598.4</v>
      </c>
      <c r="J27" s="113">
        <f t="shared" si="3"/>
        <v>14598.4</v>
      </c>
      <c r="K27" s="114">
        <f>SUM(K19:K26)</f>
        <v>14669.886</v>
      </c>
      <c r="L27" s="113">
        <f t="shared" si="3"/>
        <v>15169.886</v>
      </c>
      <c r="M27" s="114">
        <f t="shared" si="3"/>
        <v>15184.343199999999</v>
      </c>
      <c r="N27" s="113">
        <f t="shared" si="3"/>
        <v>0</v>
      </c>
      <c r="O27" s="114">
        <f t="shared" si="3"/>
        <v>0</v>
      </c>
      <c r="P27" s="113">
        <f t="shared" si="3"/>
        <v>0</v>
      </c>
      <c r="Q27" s="114">
        <f t="shared" si="3"/>
        <v>0</v>
      </c>
      <c r="R27" s="113">
        <f t="shared" si="3"/>
        <v>0</v>
      </c>
      <c r="S27" s="114">
        <f t="shared" si="3"/>
        <v>0</v>
      </c>
      <c r="T27" s="113">
        <f t="shared" si="3"/>
        <v>0</v>
      </c>
      <c r="U27" s="114">
        <f t="shared" si="3"/>
        <v>0</v>
      </c>
      <c r="V27" s="113">
        <f t="shared" si="3"/>
        <v>0</v>
      </c>
      <c r="W27" s="114">
        <f t="shared" si="3"/>
        <v>0</v>
      </c>
      <c r="X27" s="67">
        <f t="shared" si="3"/>
        <v>0</v>
      </c>
      <c r="Y27" s="120">
        <f>MAX(C27,E27,G27,I27,K27,M27,O27,Q27,S27,U27,W27)</f>
        <v>15184.343199999999</v>
      </c>
      <c r="Z27" s="106">
        <f>MAX(Table13[[#This Row],[Jan]:[Dec_Int]])/$Y$27</f>
        <v>1</v>
      </c>
      <c r="AA27" s="109">
        <f>Table13[[#This Row],[Share %]]*$Y$27</f>
        <v>15184.343199999999</v>
      </c>
    </row>
    <row r="28" spans="1:27" ht="15.6" thickTop="1" thickBot="1">
      <c r="A28" s="102" t="s">
        <v>71</v>
      </c>
      <c r="B28" s="1"/>
      <c r="C28" s="138">
        <f>C27-B27</f>
        <v>0.9000000000005457</v>
      </c>
      <c r="D28" s="111"/>
      <c r="E28" s="139">
        <f>E27-D27</f>
        <v>13.197100000000319</v>
      </c>
      <c r="F28" s="111"/>
      <c r="G28" s="139">
        <f>G27-F27</f>
        <v>34.632899999998699</v>
      </c>
      <c r="H28" s="111"/>
      <c r="I28" s="139">
        <f>I27-H27</f>
        <v>49.669999999998254</v>
      </c>
      <c r="J28" s="111"/>
      <c r="K28" s="139">
        <f>K27-J27</f>
        <v>71.486000000000786</v>
      </c>
      <c r="L28" s="113"/>
      <c r="M28" s="139">
        <f>M27-L27</f>
        <v>14.45719999999892</v>
      </c>
      <c r="N28" s="113"/>
      <c r="O28" s="139"/>
      <c r="P28" s="113"/>
      <c r="Q28" s="139"/>
      <c r="R28" s="113"/>
      <c r="S28" s="139"/>
      <c r="T28" s="113"/>
      <c r="U28" s="139"/>
      <c r="V28" s="113"/>
      <c r="W28" s="139"/>
      <c r="X28" s="67"/>
      <c r="Y28" s="138"/>
      <c r="Z28" s="109">
        <f>SUM(Table13[[#This Row],[Jan]:[Dec_Int]])/$Y$27</f>
        <v>1.214034730194965E-2</v>
      </c>
      <c r="AA28" s="109">
        <f>Table13[[#This Row],[Share %]]*$Y$27</f>
        <v>184.34319999999752</v>
      </c>
    </row>
    <row r="29" spans="1:27" ht="15.6" thickTop="1" thickBot="1">
      <c r="A29" s="103"/>
      <c r="B29" s="66" t="s">
        <v>201</v>
      </c>
      <c r="C29" s="1"/>
      <c r="D29" s="110" t="s">
        <v>201</v>
      </c>
      <c r="E29" s="99"/>
      <c r="F29" s="110" t="s">
        <v>202</v>
      </c>
      <c r="G29" s="99"/>
      <c r="H29" s="110" t="s">
        <v>201</v>
      </c>
      <c r="I29" s="99"/>
      <c r="J29" s="110" t="s">
        <v>72</v>
      </c>
      <c r="K29" s="99"/>
      <c r="L29" s="110" t="s">
        <v>203</v>
      </c>
      <c r="M29" s="99">
        <f>M28+K28+I28+G28+E28+C28</f>
        <v>184.34319999999752</v>
      </c>
      <c r="N29" s="111"/>
      <c r="O29" s="99"/>
      <c r="P29" s="111"/>
      <c r="Q29" s="99"/>
      <c r="R29" s="111"/>
      <c r="S29" s="99"/>
      <c r="T29" s="111"/>
      <c r="U29" s="99"/>
      <c r="V29" s="111"/>
      <c r="W29" s="99"/>
      <c r="X29" s="1"/>
      <c r="Y29" s="1"/>
      <c r="Z29" s="108"/>
      <c r="AA29" s="108"/>
    </row>
    <row r="30" spans="1:27" ht="15" thickTop="1"/>
    <row r="31" spans="1:27" ht="15" thickBot="1">
      <c r="A31" t="s">
        <v>73</v>
      </c>
      <c r="D31" t="s">
        <v>74</v>
      </c>
      <c r="O31" s="1"/>
    </row>
    <row r="32" spans="1:27">
      <c r="A32" s="151" t="s">
        <v>75</v>
      </c>
      <c r="B32" s="156">
        <f>(A44-A45)</f>
        <v>6.6899999999999977</v>
      </c>
      <c r="C32" s="272" t="s">
        <v>76</v>
      </c>
      <c r="F32" t="s">
        <v>77</v>
      </c>
      <c r="H32" t="s">
        <v>74</v>
      </c>
      <c r="O32" s="1"/>
    </row>
    <row r="33" spans="1:18" ht="15" thickBot="1">
      <c r="A33" s="152" t="s">
        <v>75</v>
      </c>
      <c r="B33" s="157">
        <v>6.69</v>
      </c>
      <c r="C33" s="273"/>
      <c r="F33" t="s">
        <v>1</v>
      </c>
      <c r="G33" s="1">
        <f>C28</f>
        <v>0.9000000000005457</v>
      </c>
      <c r="H33" s="161">
        <v>0</v>
      </c>
    </row>
    <row r="34" spans="1:18">
      <c r="A34" s="153" t="s">
        <v>78</v>
      </c>
      <c r="B34" s="158">
        <v>26.3841655574303</v>
      </c>
      <c r="C34" s="272" t="s">
        <v>79</v>
      </c>
      <c r="F34" t="s">
        <v>2</v>
      </c>
      <c r="G34" s="1">
        <f>E28</f>
        <v>13.197100000000319</v>
      </c>
      <c r="H34" s="170">
        <f>G34/G33*((13/5)/31)</f>
        <v>1.2298372759849472</v>
      </c>
      <c r="I34" t="s">
        <v>80</v>
      </c>
    </row>
    <row r="35" spans="1:18" ht="15" thickBot="1">
      <c r="A35" s="94" t="s">
        <v>81</v>
      </c>
      <c r="B35" s="159">
        <v>26.38</v>
      </c>
      <c r="C35" s="273"/>
      <c r="D35" s="162"/>
      <c r="F35" t="s">
        <v>3</v>
      </c>
      <c r="G35" s="1">
        <f>G28</f>
        <v>34.632899999998699</v>
      </c>
      <c r="H35" s="161">
        <f>G35/G34</f>
        <v>2.6242810920579416</v>
      </c>
      <c r="I35" t="s">
        <v>82</v>
      </c>
    </row>
    <row r="36" spans="1:18" ht="14.4" customHeight="1">
      <c r="A36" s="154" t="s">
        <v>83</v>
      </c>
      <c r="B36" s="163">
        <v>44.413476399870795</v>
      </c>
      <c r="C36" s="272" t="s">
        <v>84</v>
      </c>
      <c r="F36" t="s">
        <v>4</v>
      </c>
      <c r="G36" s="1">
        <f>I28</f>
        <v>49.669999999998254</v>
      </c>
      <c r="H36" s="161">
        <f>G36/G35</f>
        <v>1.4341854132919889</v>
      </c>
      <c r="M36" s="1"/>
      <c r="N36" s="1"/>
      <c r="Q36" s="1"/>
      <c r="R36" s="1"/>
    </row>
    <row r="37" spans="1:18" ht="15" thickBot="1">
      <c r="A37" s="155" t="s">
        <v>85</v>
      </c>
      <c r="B37" s="160">
        <v>44.4</v>
      </c>
      <c r="C37" s="273"/>
      <c r="D37" s="161">
        <f>B37/B35</f>
        <v>1.6830932524639879</v>
      </c>
      <c r="F37" t="s">
        <v>5</v>
      </c>
      <c r="G37" s="1">
        <f>K28</f>
        <v>71.486000000000786</v>
      </c>
      <c r="H37" s="161">
        <f>G37/G36</f>
        <v>1.4392188443729272</v>
      </c>
      <c r="M37" s="1"/>
      <c r="N37" s="1"/>
      <c r="Q37" s="1"/>
      <c r="R37" s="1"/>
    </row>
    <row r="38" spans="1:18" ht="14.4" customHeight="1">
      <c r="A38" s="153" t="s">
        <v>86</v>
      </c>
      <c r="B38" s="158">
        <v>60.345358042697598</v>
      </c>
      <c r="C38" s="272" t="s">
        <v>87</v>
      </c>
      <c r="F38" t="s">
        <v>6</v>
      </c>
      <c r="G38" s="1">
        <f>M28</f>
        <v>14.45719999999892</v>
      </c>
      <c r="M38" s="1"/>
      <c r="N38" s="1"/>
      <c r="Q38" s="1"/>
      <c r="R38" s="1"/>
    </row>
    <row r="39" spans="1:18" ht="15" thickBot="1">
      <c r="A39" s="94" t="s">
        <v>88</v>
      </c>
      <c r="B39" s="159">
        <v>60.35</v>
      </c>
      <c r="C39" s="273"/>
      <c r="D39" s="161">
        <f>B39/B37</f>
        <v>1.3592342342342343</v>
      </c>
      <c r="F39" s="50"/>
      <c r="I39" s="50"/>
      <c r="K39" s="50"/>
      <c r="N39" s="1"/>
      <c r="R39" s="1"/>
    </row>
    <row r="40" spans="1:18">
      <c r="A40" s="154" t="s">
        <v>89</v>
      </c>
      <c r="B40" s="163">
        <f>A45-B38-B36-B34</f>
        <v>46.510200000000644</v>
      </c>
      <c r="C40" s="272" t="s">
        <v>90</v>
      </c>
    </row>
    <row r="41" spans="1:18" ht="15" thickBot="1">
      <c r="A41" s="155" t="s">
        <v>91</v>
      </c>
      <c r="B41" s="160">
        <v>46.51</v>
      </c>
      <c r="C41" s="273"/>
      <c r="D41" s="161">
        <f>B41/B39</f>
        <v>0.77067108533554263</v>
      </c>
    </row>
    <row r="42" spans="1:18">
      <c r="E42" s="1"/>
      <c r="F42" s="50"/>
      <c r="G42" s="1"/>
      <c r="I42" s="1"/>
      <c r="K42" s="1"/>
      <c r="Q42" s="1"/>
      <c r="R42" s="1"/>
    </row>
    <row r="43" spans="1:18">
      <c r="A43" s="134" t="s">
        <v>92</v>
      </c>
      <c r="B43" s="1"/>
      <c r="F43" s="50"/>
      <c r="Q43" s="1"/>
      <c r="R43" s="1"/>
    </row>
    <row r="44" spans="1:18">
      <c r="A44" s="135">
        <f>Y27-N13</f>
        <v>184.34319999999934</v>
      </c>
      <c r="B44" s="1" t="s">
        <v>93</v>
      </c>
      <c r="D44" s="90"/>
      <c r="E44" s="1"/>
      <c r="Q44" s="1"/>
      <c r="R44" s="1"/>
    </row>
    <row r="45" spans="1:18">
      <c r="A45" s="107">
        <f>A44-6.69</f>
        <v>177.65319999999934</v>
      </c>
      <c r="B45" t="s">
        <v>94</v>
      </c>
      <c r="E45" s="1"/>
      <c r="Q45" s="211"/>
      <c r="R45" s="1"/>
    </row>
    <row r="46" spans="1:18">
      <c r="E46" s="1"/>
      <c r="R46" s="1"/>
    </row>
    <row r="47" spans="1:18">
      <c r="A47" t="s">
        <v>95</v>
      </c>
    </row>
    <row r="48" spans="1:18">
      <c r="A48" t="s">
        <v>96</v>
      </c>
    </row>
    <row r="49" spans="1:18">
      <c r="A49" s="107">
        <f>B35+B37+B39</f>
        <v>131.13</v>
      </c>
      <c r="Q49" s="1"/>
      <c r="R49" s="1"/>
    </row>
    <row r="50" spans="1:18">
      <c r="A50" s="1">
        <f>A49+B33</f>
        <v>137.82</v>
      </c>
      <c r="Q50" s="1"/>
      <c r="R50" s="1"/>
    </row>
    <row r="51" spans="1:18">
      <c r="Q51" s="1"/>
      <c r="R51" s="1"/>
    </row>
    <row r="52" spans="1:18">
      <c r="R52" s="1"/>
    </row>
    <row r="55" spans="1:18">
      <c r="M55" s="1"/>
      <c r="N55" s="1"/>
      <c r="Q55" s="1"/>
      <c r="R55" s="1"/>
    </row>
    <row r="56" spans="1:18">
      <c r="M56" s="1"/>
      <c r="N56" s="1"/>
      <c r="Q56" s="1"/>
      <c r="R56" s="1"/>
    </row>
    <row r="57" spans="1:18">
      <c r="M57" s="1"/>
      <c r="N57" s="1"/>
      <c r="Q57" s="1"/>
      <c r="R57" s="1"/>
    </row>
    <row r="58" spans="1:18">
      <c r="N58" s="1"/>
      <c r="R58" s="1"/>
    </row>
  </sheetData>
  <mergeCells count="7">
    <mergeCell ref="C40:C41"/>
    <mergeCell ref="C38:C39"/>
    <mergeCell ref="A1:I3"/>
    <mergeCell ref="P3:Q3"/>
    <mergeCell ref="C32:C33"/>
    <mergeCell ref="C34:C35"/>
    <mergeCell ref="C36:C37"/>
  </mergeCells>
  <phoneticPr fontId="2" type="noConversion"/>
  <conditionalFormatting sqref="B5:M12">
    <cfRule type="cellIs" dxfId="2" priority="2" operator="equal">
      <formula>0</formula>
    </cfRule>
    <cfRule type="cellIs" dxfId="1" priority="3" operator="greaterThan">
      <formula>0.000000001</formula>
    </cfRule>
    <cfRule type="cellIs" dxfId="0" priority="4" operator="equal">
      <formula>0.000000001</formula>
    </cfRule>
  </conditionalFormatting>
  <conditionalFormatting sqref="AA19:AA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{4E10CB92-CA25-45B9-8715-ED82517ADFB9}</x14:id>
        </ext>
      </extLst>
    </cfRule>
  </conditionalFormatting>
  <pageMargins left="0.7" right="0.7" top="0.75" bottom="0.75" header="0.3" footer="0.3"/>
  <pageSetup orientation="portrait" horizontalDpi="1200" verticalDpi="1200" r:id="rId1"/>
  <ignoredErrors>
    <ignoredError sqref="B5:B10 C5:C12 D5:E12 F6:F11" formulaRange="1"/>
    <ignoredError sqref="E27" formula="1"/>
  </ignoredError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10CB92-CA25-45B9-8715-ED82517AD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AA19:AA26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0AF-4B0D-43D4-8FEE-1D0FCE62E5A5}">
  <sheetPr>
    <tabColor rgb="FF92D050"/>
  </sheetPr>
  <dimension ref="A1:Z56"/>
  <sheetViews>
    <sheetView topLeftCell="A30" workbookViewId="0">
      <selection activeCell="B12" sqref="B12:M13"/>
    </sheetView>
  </sheetViews>
  <sheetFormatPr defaultRowHeight="14.4"/>
  <cols>
    <col min="1" max="1" width="19.33203125" bestFit="1" customWidth="1"/>
    <col min="2" max="2" width="12.44140625" bestFit="1" customWidth="1"/>
    <col min="3" max="3" width="10.44140625" bestFit="1" customWidth="1"/>
    <col min="4" max="15" width="11.44140625" bestFit="1" customWidth="1"/>
    <col min="16" max="16" width="12.44140625" bestFit="1" customWidth="1"/>
    <col min="17" max="18" width="11.44140625" bestFit="1" customWidth="1"/>
    <col min="19" max="19" width="12.44140625" bestFit="1" customWidth="1"/>
    <col min="20" max="20" width="11.44140625" bestFit="1" customWidth="1"/>
    <col min="21" max="21" width="11.33203125" customWidth="1"/>
    <col min="22" max="22" width="12.44140625" bestFit="1" customWidth="1"/>
    <col min="23" max="25" width="11.44140625" bestFit="1" customWidth="1"/>
    <col min="26" max="26" width="10.44140625" bestFit="1" customWidth="1"/>
  </cols>
  <sheetData>
    <row r="1" spans="1:23" ht="15" thickBot="1">
      <c r="A1" s="274" t="s">
        <v>41</v>
      </c>
      <c r="B1" s="275"/>
      <c r="C1" s="275"/>
      <c r="D1" s="275"/>
      <c r="E1" s="275"/>
      <c r="F1" s="275"/>
      <c r="G1" s="275"/>
      <c r="H1" s="275"/>
      <c r="I1" s="276"/>
    </row>
    <row r="2" spans="1:23" ht="15" thickBot="1">
      <c r="A2" s="277"/>
      <c r="B2" s="278"/>
      <c r="C2" s="278"/>
      <c r="D2" s="278"/>
      <c r="E2" s="278"/>
      <c r="F2" s="278"/>
      <c r="G2" s="278"/>
      <c r="H2" s="278"/>
      <c r="I2" s="279"/>
      <c r="P2" s="37" t="s">
        <v>97</v>
      </c>
      <c r="Q2" s="62">
        <f>Y31-$N$14</f>
        <v>1497.609472850163</v>
      </c>
      <c r="S2" s="37" t="s">
        <v>97</v>
      </c>
      <c r="T2" s="62">
        <f>Y43-$N$14</f>
        <v>1345.6977145796554</v>
      </c>
      <c r="V2" s="37" t="s">
        <v>97</v>
      </c>
      <c r="W2" s="62">
        <f>Y55-$N$14</f>
        <v>2211.356735335241</v>
      </c>
    </row>
    <row r="3" spans="1:23" ht="15" thickBot="1">
      <c r="A3" s="280"/>
      <c r="B3" s="281"/>
      <c r="C3" s="281"/>
      <c r="D3" s="281"/>
      <c r="E3" s="281"/>
      <c r="F3" s="281"/>
      <c r="G3" s="281"/>
      <c r="H3" s="281"/>
      <c r="I3" s="282"/>
      <c r="P3" s="284" t="s">
        <v>98</v>
      </c>
      <c r="Q3" s="285"/>
      <c r="S3" s="284" t="s">
        <v>99</v>
      </c>
      <c r="T3" s="285"/>
      <c r="V3" s="284" t="s">
        <v>100</v>
      </c>
      <c r="W3" s="285"/>
    </row>
    <row r="4" spans="1:23" ht="15" thickBot="1">
      <c r="P4" s="2" t="s">
        <v>1</v>
      </c>
      <c r="Q4" s="51">
        <f>C21</f>
        <v>0.04</v>
      </c>
      <c r="S4" s="2" t="s">
        <v>1</v>
      </c>
      <c r="T4" s="51">
        <f>C33</f>
        <v>3.5499999999999997E-2</v>
      </c>
      <c r="V4" s="2" t="s">
        <v>1</v>
      </c>
      <c r="W4" s="51">
        <f>C45</f>
        <v>6.0499999999999998E-2</v>
      </c>
    </row>
    <row r="5" spans="1:23" ht="15" thickBot="1">
      <c r="B5" s="17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5" t="s">
        <v>12</v>
      </c>
      <c r="P5" s="5" t="s">
        <v>2</v>
      </c>
      <c r="Q5" s="52">
        <f>E21</f>
        <v>0.04</v>
      </c>
      <c r="S5" s="5" t="s">
        <v>2</v>
      </c>
      <c r="T5" s="52">
        <f>E33</f>
        <v>3.5499999999999997E-2</v>
      </c>
      <c r="V5" s="5" t="s">
        <v>2</v>
      </c>
      <c r="W5" s="52">
        <f>E45</f>
        <v>6.0499999999999998E-2</v>
      </c>
    </row>
    <row r="6" spans="1:23">
      <c r="A6" s="26" t="s">
        <v>17</v>
      </c>
      <c r="B6" s="10">
        <v>500</v>
      </c>
      <c r="C6" s="3">
        <v>500</v>
      </c>
      <c r="D6" s="3">
        <v>500</v>
      </c>
      <c r="E6" s="3">
        <v>500</v>
      </c>
      <c r="F6" s="3">
        <v>500</v>
      </c>
      <c r="G6" s="3">
        <v>500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4">
        <v>1000</v>
      </c>
      <c r="N6" s="13">
        <f>SUM(B6:M6)</f>
        <v>9000</v>
      </c>
      <c r="P6" s="5" t="s">
        <v>3</v>
      </c>
      <c r="Q6" s="52">
        <f>G21</f>
        <v>4.2500000000000003E-2</v>
      </c>
      <c r="S6" s="5" t="s">
        <v>3</v>
      </c>
      <c r="T6" s="52">
        <f>G33</f>
        <v>3.7999999999999999E-2</v>
      </c>
      <c r="V6" s="5" t="s">
        <v>3</v>
      </c>
      <c r="W6" s="52">
        <f>G45</f>
        <v>6.0499999999999998E-2</v>
      </c>
    </row>
    <row r="7" spans="1:23">
      <c r="A7" s="27" t="s">
        <v>18</v>
      </c>
      <c r="B7" s="11">
        <v>500</v>
      </c>
      <c r="C7" s="1">
        <v>500</v>
      </c>
      <c r="D7" s="1">
        <v>500</v>
      </c>
      <c r="E7" s="1">
        <v>500</v>
      </c>
      <c r="F7" s="1">
        <v>500</v>
      </c>
      <c r="G7" s="1">
        <v>500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6">
        <v>1000</v>
      </c>
      <c r="N7" s="14">
        <f t="shared" ref="N7:N13" si="0">SUM(B7:M7)</f>
        <v>9000</v>
      </c>
      <c r="P7" s="5" t="s">
        <v>4</v>
      </c>
      <c r="Q7" s="52">
        <f>I21</f>
        <v>4.2500000000000003E-2</v>
      </c>
      <c r="S7" s="5" t="s">
        <v>4</v>
      </c>
      <c r="T7" s="52">
        <f>I33</f>
        <v>3.7999999999999999E-2</v>
      </c>
      <c r="V7" s="5" t="s">
        <v>4</v>
      </c>
      <c r="W7" s="52">
        <f>I45</f>
        <v>6.0499999999999998E-2</v>
      </c>
    </row>
    <row r="8" spans="1:23">
      <c r="A8" s="27" t="s">
        <v>19</v>
      </c>
      <c r="B8" s="11">
        <v>500</v>
      </c>
      <c r="C8" s="1">
        <v>500</v>
      </c>
      <c r="D8" s="1">
        <v>500</v>
      </c>
      <c r="E8" s="1">
        <v>500</v>
      </c>
      <c r="F8" s="1">
        <v>500</v>
      </c>
      <c r="G8" s="1">
        <v>500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6">
        <v>1000</v>
      </c>
      <c r="N8" s="14">
        <f t="shared" si="0"/>
        <v>9000</v>
      </c>
      <c r="P8" s="5" t="s">
        <v>5</v>
      </c>
      <c r="Q8" s="52">
        <f>K21</f>
        <v>4.2500000000000003E-2</v>
      </c>
      <c r="S8" s="5" t="s">
        <v>5</v>
      </c>
      <c r="T8" s="52">
        <f>K33</f>
        <v>3.7999999999999999E-2</v>
      </c>
      <c r="V8" s="5" t="s">
        <v>5</v>
      </c>
      <c r="W8" s="52">
        <f>K45</f>
        <v>6.25E-2</v>
      </c>
    </row>
    <row r="9" spans="1:23">
      <c r="A9" s="27" t="s">
        <v>20</v>
      </c>
      <c r="B9" s="11">
        <v>500</v>
      </c>
      <c r="C9" s="1">
        <v>500</v>
      </c>
      <c r="D9" s="1">
        <v>500</v>
      </c>
      <c r="E9" s="1">
        <v>500</v>
      </c>
      <c r="F9" s="1">
        <v>500</v>
      </c>
      <c r="G9" s="1">
        <v>500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6">
        <v>1000</v>
      </c>
      <c r="N9" s="14">
        <f t="shared" si="0"/>
        <v>9000</v>
      </c>
      <c r="P9" s="5" t="s">
        <v>6</v>
      </c>
      <c r="Q9" s="52">
        <f>M21</f>
        <v>4.2500000000000003E-2</v>
      </c>
      <c r="S9" s="5" t="s">
        <v>6</v>
      </c>
      <c r="T9" s="52">
        <f>M33</f>
        <v>3.7999999999999999E-2</v>
      </c>
      <c r="V9" s="5" t="s">
        <v>6</v>
      </c>
      <c r="W9" s="52">
        <f>M45</f>
        <v>6.25E-2</v>
      </c>
    </row>
    <row r="10" spans="1:23">
      <c r="A10" s="27" t="s">
        <v>21</v>
      </c>
      <c r="B10" s="11">
        <v>500</v>
      </c>
      <c r="C10" s="1">
        <v>500</v>
      </c>
      <c r="D10" s="1">
        <v>500</v>
      </c>
      <c r="E10" s="1">
        <v>500</v>
      </c>
      <c r="F10" s="1">
        <v>500</v>
      </c>
      <c r="G10" s="1">
        <v>500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6">
        <v>1000</v>
      </c>
      <c r="N10" s="14">
        <f t="shared" si="0"/>
        <v>9000</v>
      </c>
      <c r="P10" s="5" t="s">
        <v>7</v>
      </c>
      <c r="Q10" s="52">
        <f>O21</f>
        <v>4.2500000000000003E-2</v>
      </c>
      <c r="S10" s="5" t="s">
        <v>7</v>
      </c>
      <c r="T10" s="52">
        <f>O33</f>
        <v>3.7999999999999999E-2</v>
      </c>
      <c r="V10" s="5" t="s">
        <v>7</v>
      </c>
      <c r="W10" s="52">
        <f>O45</f>
        <v>6.7000000000000004E-2</v>
      </c>
    </row>
    <row r="11" spans="1:23">
      <c r="A11" s="27" t="s">
        <v>22</v>
      </c>
      <c r="B11" s="11">
        <v>500</v>
      </c>
      <c r="C11" s="1">
        <v>500</v>
      </c>
      <c r="D11" s="1">
        <v>500</v>
      </c>
      <c r="E11" s="1">
        <v>500</v>
      </c>
      <c r="F11" s="1">
        <v>500</v>
      </c>
      <c r="G11" s="1">
        <v>500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6">
        <v>1000</v>
      </c>
      <c r="N11" s="14">
        <f t="shared" si="0"/>
        <v>9000</v>
      </c>
      <c r="P11" s="5" t="s">
        <v>8</v>
      </c>
      <c r="Q11" s="52">
        <f>Q21</f>
        <v>4.2500000000000003E-2</v>
      </c>
      <c r="S11" s="5" t="s">
        <v>8</v>
      </c>
      <c r="T11" s="52">
        <f>Q33</f>
        <v>3.7999999999999999E-2</v>
      </c>
      <c r="V11" s="5" t="s">
        <v>8</v>
      </c>
      <c r="W11" s="52">
        <f>Q45</f>
        <v>6.7000000000000004E-2</v>
      </c>
    </row>
    <row r="12" spans="1:23">
      <c r="A12" s="27" t="s">
        <v>23</v>
      </c>
      <c r="B12" s="11">
        <v>500</v>
      </c>
      <c r="C12" s="1">
        <v>500</v>
      </c>
      <c r="D12" s="1">
        <v>500</v>
      </c>
      <c r="E12" s="1">
        <v>500</v>
      </c>
      <c r="F12" s="1">
        <v>500</v>
      </c>
      <c r="G12" s="1">
        <v>500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6">
        <v>1000</v>
      </c>
      <c r="N12" s="14">
        <f t="shared" si="0"/>
        <v>9000</v>
      </c>
      <c r="P12" s="5" t="s">
        <v>9</v>
      </c>
      <c r="Q12" s="52">
        <f>S21</f>
        <v>4.2500000000000003E-2</v>
      </c>
      <c r="S12" s="5" t="s">
        <v>9</v>
      </c>
      <c r="T12" s="52">
        <f>S33</f>
        <v>3.7999999999999999E-2</v>
      </c>
      <c r="V12" s="5" t="s">
        <v>9</v>
      </c>
      <c r="W12" s="52">
        <f>S45</f>
        <v>6.7000000000000004E-2</v>
      </c>
    </row>
    <row r="13" spans="1:23" ht="15" thickBot="1">
      <c r="A13" s="28" t="s">
        <v>24</v>
      </c>
      <c r="B13" s="12">
        <v>500</v>
      </c>
      <c r="C13" s="8">
        <v>500</v>
      </c>
      <c r="D13" s="8">
        <v>500</v>
      </c>
      <c r="E13" s="8">
        <v>500</v>
      </c>
      <c r="F13" s="8">
        <v>500</v>
      </c>
      <c r="G13" s="8">
        <v>500</v>
      </c>
      <c r="H13" s="8">
        <v>1000</v>
      </c>
      <c r="I13" s="8">
        <v>1000</v>
      </c>
      <c r="J13" s="8">
        <v>1000</v>
      </c>
      <c r="K13" s="8">
        <v>1000</v>
      </c>
      <c r="L13" s="8">
        <v>1000</v>
      </c>
      <c r="M13" s="9">
        <v>1000</v>
      </c>
      <c r="N13" s="15">
        <f t="shared" si="0"/>
        <v>9000</v>
      </c>
      <c r="P13" s="5" t="s">
        <v>10</v>
      </c>
      <c r="Q13" s="52">
        <f>U21</f>
        <v>4.7500000000000001E-2</v>
      </c>
      <c r="S13" s="5" t="s">
        <v>10</v>
      </c>
      <c r="T13" s="52">
        <f>U33</f>
        <v>4.2999999999999997E-2</v>
      </c>
      <c r="V13" s="5" t="s">
        <v>10</v>
      </c>
      <c r="W13" s="52">
        <f>U45</f>
        <v>6.7000000000000004E-2</v>
      </c>
    </row>
    <row r="14" spans="1:23" ht="15" thickBot="1">
      <c r="A14" s="17" t="s">
        <v>54</v>
      </c>
      <c r="B14" s="18">
        <f>SUM(B6:B13)</f>
        <v>4000</v>
      </c>
      <c r="C14" s="19">
        <f>SUM(C6:C13)</f>
        <v>4000</v>
      </c>
      <c r="D14" s="19">
        <f t="shared" ref="D14:L14" si="1">SUM(D6:D13)</f>
        <v>4000</v>
      </c>
      <c r="E14" s="19">
        <f t="shared" si="1"/>
        <v>4000</v>
      </c>
      <c r="F14" s="19">
        <f t="shared" si="1"/>
        <v>4000</v>
      </c>
      <c r="G14" s="19">
        <f t="shared" si="1"/>
        <v>4000</v>
      </c>
      <c r="H14" s="19">
        <f t="shared" si="1"/>
        <v>8000</v>
      </c>
      <c r="I14" s="19">
        <f t="shared" si="1"/>
        <v>8000</v>
      </c>
      <c r="J14" s="19">
        <f t="shared" si="1"/>
        <v>8000</v>
      </c>
      <c r="K14" s="19">
        <f t="shared" si="1"/>
        <v>8000</v>
      </c>
      <c r="L14" s="19">
        <f t="shared" si="1"/>
        <v>8000</v>
      </c>
      <c r="M14" s="20">
        <f>SUM(M6:M13)</f>
        <v>8000</v>
      </c>
      <c r="N14" s="16">
        <f>SUM(N6:N13)</f>
        <v>72000</v>
      </c>
      <c r="P14" s="5" t="s">
        <v>11</v>
      </c>
      <c r="Q14" s="52">
        <f>W21</f>
        <v>4.7500000000000001E-2</v>
      </c>
      <c r="S14" s="5" t="s">
        <v>11</v>
      </c>
      <c r="T14" s="52">
        <f>W33</f>
        <v>4.2999999999999997E-2</v>
      </c>
      <c r="V14" s="5" t="s">
        <v>11</v>
      </c>
      <c r="W14" s="52">
        <f>W45</f>
        <v>6.7000000000000004E-2</v>
      </c>
    </row>
    <row r="15" spans="1:23" ht="15" thickBot="1">
      <c r="N15" s="1"/>
      <c r="P15" s="7" t="s">
        <v>12</v>
      </c>
      <c r="Q15" s="53">
        <f>Y21</f>
        <v>4.7500000000000001E-2</v>
      </c>
      <c r="S15" s="7" t="s">
        <v>12</v>
      </c>
      <c r="T15" s="53">
        <f>Y33</f>
        <v>4.2999999999999997E-2</v>
      </c>
      <c r="V15" s="7" t="s">
        <v>12</v>
      </c>
      <c r="W15" s="53">
        <f>Y45</f>
        <v>6.7000000000000004E-2</v>
      </c>
    </row>
    <row r="16" spans="1:23" ht="14.4" customHeight="1">
      <c r="A16" s="286" t="s">
        <v>101</v>
      </c>
      <c r="B16" s="286"/>
      <c r="C16" s="286"/>
      <c r="D16" s="286"/>
      <c r="E16" s="286"/>
      <c r="F16" s="286"/>
      <c r="K16" t="s">
        <v>102</v>
      </c>
      <c r="L16" s="1">
        <f>0*Y55</f>
        <v>0</v>
      </c>
    </row>
    <row r="17" spans="1:26" ht="14.4" customHeight="1">
      <c r="A17" s="286"/>
      <c r="B17" s="286"/>
      <c r="C17" s="286"/>
      <c r="D17" s="286"/>
      <c r="E17" s="286"/>
      <c r="F17" s="286"/>
      <c r="L17" s="1">
        <f>Y55-L16</f>
        <v>74211.356735335241</v>
      </c>
    </row>
    <row r="18" spans="1:26" ht="14.4" customHeight="1">
      <c r="A18" s="286"/>
      <c r="B18" s="286"/>
      <c r="C18" s="286"/>
      <c r="D18" s="286"/>
      <c r="E18" s="286"/>
      <c r="F18" s="286"/>
      <c r="K18" t="s">
        <v>103</v>
      </c>
      <c r="L18" s="1">
        <f>0.8*L17</f>
        <v>59369.085388268199</v>
      </c>
    </row>
    <row r="19" spans="1:26" ht="14.4" customHeight="1">
      <c r="A19" s="286"/>
      <c r="B19" s="286"/>
      <c r="C19" s="286"/>
      <c r="D19" s="286"/>
      <c r="E19" s="286"/>
      <c r="F19" s="286"/>
      <c r="K19" t="s">
        <v>104</v>
      </c>
      <c r="L19" s="1">
        <f>L17-L18</f>
        <v>14842.271347067042</v>
      </c>
    </row>
    <row r="20" spans="1:26">
      <c r="A20" s="63"/>
    </row>
    <row r="21" spans="1:26">
      <c r="C21" s="44">
        <v>0.04</v>
      </c>
      <c r="D21" s="44"/>
      <c r="E21" s="44">
        <v>0.04</v>
      </c>
      <c r="F21" s="44"/>
      <c r="G21" s="44">
        <v>4.2500000000000003E-2</v>
      </c>
      <c r="H21" s="44"/>
      <c r="I21" s="44">
        <v>4.2500000000000003E-2</v>
      </c>
      <c r="J21" s="44"/>
      <c r="K21" s="44">
        <v>4.2500000000000003E-2</v>
      </c>
      <c r="L21" s="44"/>
      <c r="M21" s="44">
        <v>4.2500000000000003E-2</v>
      </c>
      <c r="N21" s="44"/>
      <c r="O21" s="44">
        <v>4.2500000000000003E-2</v>
      </c>
      <c r="P21" s="44"/>
      <c r="Q21" s="44">
        <v>4.2500000000000003E-2</v>
      </c>
      <c r="R21" s="44"/>
      <c r="S21" s="44">
        <v>4.2500000000000003E-2</v>
      </c>
      <c r="T21" s="44"/>
      <c r="U21" s="44">
        <v>4.7500000000000001E-2</v>
      </c>
      <c r="V21" s="44"/>
      <c r="W21" s="44">
        <v>4.7500000000000001E-2</v>
      </c>
      <c r="X21" s="44"/>
      <c r="Y21" s="44">
        <v>4.7500000000000001E-2</v>
      </c>
    </row>
    <row r="22" spans="1:26">
      <c r="A22" t="s">
        <v>105</v>
      </c>
      <c r="B22" t="s">
        <v>1</v>
      </c>
      <c r="C22" t="s">
        <v>57</v>
      </c>
      <c r="D22" t="s">
        <v>2</v>
      </c>
      <c r="E22" t="s">
        <v>58</v>
      </c>
      <c r="F22" t="s">
        <v>3</v>
      </c>
      <c r="G22" t="s">
        <v>59</v>
      </c>
      <c r="H22" t="s">
        <v>4</v>
      </c>
      <c r="I22" t="s">
        <v>60</v>
      </c>
      <c r="J22" t="s">
        <v>5</v>
      </c>
      <c r="K22" t="s">
        <v>61</v>
      </c>
      <c r="L22" t="s">
        <v>6</v>
      </c>
      <c r="M22" t="s">
        <v>62</v>
      </c>
      <c r="N22" t="s">
        <v>7</v>
      </c>
      <c r="O22" t="s">
        <v>63</v>
      </c>
      <c r="P22" t="s">
        <v>8</v>
      </c>
      <c r="Q22" t="s">
        <v>64</v>
      </c>
      <c r="R22" t="s">
        <v>9</v>
      </c>
      <c r="S22" t="s">
        <v>65</v>
      </c>
      <c r="T22" t="s">
        <v>10</v>
      </c>
      <c r="U22" t="s">
        <v>66</v>
      </c>
      <c r="V22" t="s">
        <v>11</v>
      </c>
      <c r="W22" t="s">
        <v>67</v>
      </c>
      <c r="X22" t="s">
        <v>12</v>
      </c>
      <c r="Y22" t="s">
        <v>68</v>
      </c>
    </row>
    <row r="23" spans="1:26">
      <c r="A23" t="s">
        <v>45</v>
      </c>
      <c r="B23" s="1">
        <f t="shared" ref="B23:B30" si="2">B6</f>
        <v>500</v>
      </c>
      <c r="C23" s="1">
        <f t="shared" ref="C23:C30" si="3">B23*(1+$Q$4/12)</f>
        <v>501.66666666666669</v>
      </c>
      <c r="D23" s="1">
        <f>C6+Table17[[#This Row],[Jan_Int]]</f>
        <v>1001.6666666666667</v>
      </c>
      <c r="E23" s="1">
        <f t="shared" ref="E23:E30" si="4">D23*(1+$Q$5/12)</f>
        <v>1005.0055555555557</v>
      </c>
      <c r="F23" s="1">
        <f>D6+Table17[[#This Row],[Feb_Int]]</f>
        <v>1505.0055555555557</v>
      </c>
      <c r="G23" s="1">
        <f t="shared" ref="G23:G30" si="5">F23*(1+$Q$6/12)</f>
        <v>1510.3357835648151</v>
      </c>
      <c r="H23" s="1">
        <f>E6+Table17[[#This Row],[Mar_Int]]</f>
        <v>2010.3357835648151</v>
      </c>
      <c r="I23" s="1">
        <f t="shared" ref="I23:I30" si="6">H23*(1+$Q$7/12)</f>
        <v>2017.4557227982741</v>
      </c>
      <c r="J23" s="1">
        <f>F6+Table17[[#This Row],[Apr_Int]]</f>
        <v>2517.4557227982741</v>
      </c>
      <c r="K23" s="1">
        <f t="shared" ref="K23:K30" si="7">J23*(1+$Q$8/12)</f>
        <v>2526.3717118165182</v>
      </c>
      <c r="L23" s="1">
        <f>G6+Table17[[#This Row],[May_Int]]</f>
        <v>3026.3717118165182</v>
      </c>
      <c r="M23" s="1">
        <f t="shared" ref="M23:M30" si="8">L23*(1+$Q$9/12)</f>
        <v>3037.0901116292021</v>
      </c>
      <c r="N23" s="1">
        <f>H6+Table17[[#This Row],[Jun_Int]]</f>
        <v>4037.0901116292021</v>
      </c>
      <c r="O23" s="1">
        <f t="shared" ref="O23:O30" si="9">N23*(1+$Q$10/12)</f>
        <v>4051.3881391078894</v>
      </c>
      <c r="P23" s="1">
        <f>I6+Table17[[#This Row],[Jul_Int]]</f>
        <v>5051.3881391078894</v>
      </c>
      <c r="Q23" s="1">
        <f t="shared" ref="Q23:Q30" si="10">P23*(1+$Q$11/12)</f>
        <v>5069.2784721005637</v>
      </c>
      <c r="R23" s="1">
        <f>J6+Table17[[#This Row],[Aug_Int]]</f>
        <v>6069.2784721005637</v>
      </c>
      <c r="S23" s="1">
        <f t="shared" ref="S23:S30" si="11">R23*(1+$Q$12/12)</f>
        <v>6090.7738333559209</v>
      </c>
      <c r="T23" s="1">
        <f>K6+Table17[[#This Row],[Sep_Int]]</f>
        <v>7090.7738333559209</v>
      </c>
      <c r="U23" s="1">
        <f t="shared" ref="U23:U30" si="12">T23*(1+$Q$13/12)</f>
        <v>7118.8414797796213</v>
      </c>
      <c r="V23" s="1">
        <f>L6+Table17[[#This Row],[Oct_Int]]</f>
        <v>8118.8414797796213</v>
      </c>
      <c r="W23" s="1">
        <f t="shared" ref="W23:W30" si="13">V23*(1+$Q$14/12)</f>
        <v>8150.9785606370815</v>
      </c>
      <c r="X23" s="1">
        <f>M6+Table17[[#This Row],[Nov_Int]]</f>
        <v>9150.9785606370824</v>
      </c>
      <c r="Y23" s="1">
        <f t="shared" ref="Y23:Y30" si="14">X23*(1+$Q$15/12)</f>
        <v>9187.2011841062704</v>
      </c>
      <c r="Z23" s="1"/>
    </row>
    <row r="24" spans="1:26">
      <c r="A24" t="s">
        <v>47</v>
      </c>
      <c r="B24" s="1">
        <f t="shared" si="2"/>
        <v>500</v>
      </c>
      <c r="C24" s="1">
        <f t="shared" si="3"/>
        <v>501.66666666666669</v>
      </c>
      <c r="D24" s="1">
        <f>C7+Table17[[#This Row],[Jan_Int]]</f>
        <v>1001.6666666666667</v>
      </c>
      <c r="E24" s="1">
        <f t="shared" si="4"/>
        <v>1005.0055555555557</v>
      </c>
      <c r="F24" s="1">
        <f>D7+Table17[[#This Row],[Feb_Int]]</f>
        <v>1505.0055555555557</v>
      </c>
      <c r="G24" s="1">
        <f t="shared" si="5"/>
        <v>1510.3357835648151</v>
      </c>
      <c r="H24" s="1">
        <f>E7+Table17[[#This Row],[Mar_Int]]</f>
        <v>2010.3357835648151</v>
      </c>
      <c r="I24" s="1">
        <f t="shared" si="6"/>
        <v>2017.4557227982741</v>
      </c>
      <c r="J24" s="1">
        <f>F7+Table17[[#This Row],[Apr_Int]]</f>
        <v>2517.4557227982741</v>
      </c>
      <c r="K24" s="1">
        <f t="shared" si="7"/>
        <v>2526.3717118165182</v>
      </c>
      <c r="L24" s="1">
        <f>G7+Table17[[#This Row],[May_Int]]</f>
        <v>3026.3717118165182</v>
      </c>
      <c r="M24" s="1">
        <f t="shared" si="8"/>
        <v>3037.0901116292021</v>
      </c>
      <c r="N24" s="1">
        <f>H7+Table17[[#This Row],[Jun_Int]]</f>
        <v>4037.0901116292021</v>
      </c>
      <c r="O24" s="1">
        <f t="shared" si="9"/>
        <v>4051.3881391078894</v>
      </c>
      <c r="P24" s="1">
        <f>I7+Table17[[#This Row],[Jul_Int]]</f>
        <v>5051.3881391078894</v>
      </c>
      <c r="Q24" s="1">
        <f t="shared" si="10"/>
        <v>5069.2784721005637</v>
      </c>
      <c r="R24" s="1">
        <f>J7+Table17[[#This Row],[Aug_Int]]</f>
        <v>6069.2784721005637</v>
      </c>
      <c r="S24" s="1">
        <f t="shared" si="11"/>
        <v>6090.7738333559209</v>
      </c>
      <c r="T24" s="1">
        <f>K7+Table17[[#This Row],[Sep_Int]]</f>
        <v>7090.7738333559209</v>
      </c>
      <c r="U24" s="1">
        <f t="shared" si="12"/>
        <v>7118.8414797796213</v>
      </c>
      <c r="V24" s="1">
        <f>L7+Table17[[#This Row],[Oct_Int]]</f>
        <v>8118.8414797796213</v>
      </c>
      <c r="W24" s="1">
        <f t="shared" si="13"/>
        <v>8150.9785606370815</v>
      </c>
      <c r="X24" s="1">
        <f>M7+Table17[[#This Row],[Nov_Int]]</f>
        <v>9150.9785606370824</v>
      </c>
      <c r="Y24" s="1">
        <f t="shared" si="14"/>
        <v>9187.2011841062704</v>
      </c>
      <c r="Z24" s="1"/>
    </row>
    <row r="25" spans="1:26">
      <c r="A25" t="s">
        <v>48</v>
      </c>
      <c r="B25" s="1">
        <f t="shared" si="2"/>
        <v>500</v>
      </c>
      <c r="C25" s="1">
        <f t="shared" si="3"/>
        <v>501.66666666666669</v>
      </c>
      <c r="D25" s="1">
        <f>C8+Table17[[#This Row],[Jan_Int]]</f>
        <v>1001.6666666666667</v>
      </c>
      <c r="E25" s="1">
        <f t="shared" si="4"/>
        <v>1005.0055555555557</v>
      </c>
      <c r="F25" s="1">
        <f>D8+Table17[[#This Row],[Feb_Int]]</f>
        <v>1505.0055555555557</v>
      </c>
      <c r="G25" s="1">
        <f t="shared" si="5"/>
        <v>1510.3357835648151</v>
      </c>
      <c r="H25" s="1">
        <f>E8+Table17[[#This Row],[Mar_Int]]</f>
        <v>2010.3357835648151</v>
      </c>
      <c r="I25" s="1">
        <f t="shared" si="6"/>
        <v>2017.4557227982741</v>
      </c>
      <c r="J25" s="1">
        <f>F8+Table17[[#This Row],[Apr_Int]]</f>
        <v>2517.4557227982741</v>
      </c>
      <c r="K25" s="1">
        <f t="shared" si="7"/>
        <v>2526.3717118165182</v>
      </c>
      <c r="L25" s="1">
        <f>G8+Table17[[#This Row],[May_Int]]</f>
        <v>3026.3717118165182</v>
      </c>
      <c r="M25" s="1">
        <f t="shared" si="8"/>
        <v>3037.0901116292021</v>
      </c>
      <c r="N25" s="1">
        <f>H8+Table17[[#This Row],[Jun_Int]]</f>
        <v>4037.0901116292021</v>
      </c>
      <c r="O25" s="1">
        <f t="shared" si="9"/>
        <v>4051.3881391078894</v>
      </c>
      <c r="P25" s="1">
        <f>I8+Table17[[#This Row],[Jul_Int]]</f>
        <v>5051.3881391078894</v>
      </c>
      <c r="Q25" s="1">
        <f t="shared" si="10"/>
        <v>5069.2784721005637</v>
      </c>
      <c r="R25" s="1">
        <f>J8+Table17[[#This Row],[Aug_Int]]</f>
        <v>6069.2784721005637</v>
      </c>
      <c r="S25" s="1">
        <f t="shared" si="11"/>
        <v>6090.7738333559209</v>
      </c>
      <c r="T25" s="1">
        <f>K8+Table17[[#This Row],[Sep_Int]]</f>
        <v>7090.7738333559209</v>
      </c>
      <c r="U25" s="1">
        <f t="shared" si="12"/>
        <v>7118.8414797796213</v>
      </c>
      <c r="V25" s="1">
        <f>L8+Table17[[#This Row],[Oct_Int]]</f>
        <v>8118.8414797796213</v>
      </c>
      <c r="W25" s="1">
        <f t="shared" si="13"/>
        <v>8150.9785606370815</v>
      </c>
      <c r="X25" s="1">
        <f>M8+Table17[[#This Row],[Nov_Int]]</f>
        <v>9150.9785606370824</v>
      </c>
      <c r="Y25" s="1">
        <f t="shared" si="14"/>
        <v>9187.2011841062704</v>
      </c>
      <c r="Z25" s="1"/>
    </row>
    <row r="26" spans="1:26">
      <c r="A26" t="s">
        <v>50</v>
      </c>
      <c r="B26" s="1">
        <f t="shared" si="2"/>
        <v>500</v>
      </c>
      <c r="C26" s="1">
        <f t="shared" si="3"/>
        <v>501.66666666666669</v>
      </c>
      <c r="D26" s="1">
        <f>C9+Table17[[#This Row],[Jan_Int]]</f>
        <v>1001.6666666666667</v>
      </c>
      <c r="E26" s="1">
        <f t="shared" si="4"/>
        <v>1005.0055555555557</v>
      </c>
      <c r="F26" s="1">
        <f>D9+Table17[[#This Row],[Feb_Int]]</f>
        <v>1505.0055555555557</v>
      </c>
      <c r="G26" s="1">
        <f t="shared" si="5"/>
        <v>1510.3357835648151</v>
      </c>
      <c r="H26" s="1">
        <f>E9+Table17[[#This Row],[Mar_Int]]</f>
        <v>2010.3357835648151</v>
      </c>
      <c r="I26" s="1">
        <f t="shared" si="6"/>
        <v>2017.4557227982741</v>
      </c>
      <c r="J26" s="1">
        <f>F9+Table17[[#This Row],[Apr_Int]]</f>
        <v>2517.4557227982741</v>
      </c>
      <c r="K26" s="1">
        <f t="shared" si="7"/>
        <v>2526.3717118165182</v>
      </c>
      <c r="L26" s="1">
        <f>G9+Table17[[#This Row],[May_Int]]</f>
        <v>3026.3717118165182</v>
      </c>
      <c r="M26" s="1">
        <f t="shared" si="8"/>
        <v>3037.0901116292021</v>
      </c>
      <c r="N26" s="1">
        <f>H9+Table17[[#This Row],[Jun_Int]]</f>
        <v>4037.0901116292021</v>
      </c>
      <c r="O26" s="1">
        <f t="shared" si="9"/>
        <v>4051.3881391078894</v>
      </c>
      <c r="P26" s="1">
        <f>I9+Table17[[#This Row],[Jul_Int]]</f>
        <v>5051.3881391078894</v>
      </c>
      <c r="Q26" s="1">
        <f t="shared" si="10"/>
        <v>5069.2784721005637</v>
      </c>
      <c r="R26" s="1">
        <f>J9+Table17[[#This Row],[Aug_Int]]</f>
        <v>6069.2784721005637</v>
      </c>
      <c r="S26" s="1">
        <f t="shared" si="11"/>
        <v>6090.7738333559209</v>
      </c>
      <c r="T26" s="1">
        <f>K9+Table17[[#This Row],[Sep_Int]]</f>
        <v>7090.7738333559209</v>
      </c>
      <c r="U26" s="1">
        <f t="shared" si="12"/>
        <v>7118.8414797796213</v>
      </c>
      <c r="V26" s="1">
        <f>L9+Table17[[#This Row],[Oct_Int]]</f>
        <v>8118.8414797796213</v>
      </c>
      <c r="W26" s="1">
        <f t="shared" si="13"/>
        <v>8150.9785606370815</v>
      </c>
      <c r="X26" s="1">
        <f>M9+Table17[[#This Row],[Nov_Int]]</f>
        <v>9150.9785606370824</v>
      </c>
      <c r="Y26" s="1">
        <f t="shared" si="14"/>
        <v>9187.2011841062704</v>
      </c>
      <c r="Z26" s="1"/>
    </row>
    <row r="27" spans="1:26">
      <c r="A27" t="s">
        <v>51</v>
      </c>
      <c r="B27" s="1">
        <f t="shared" si="2"/>
        <v>500</v>
      </c>
      <c r="C27" s="1">
        <f t="shared" si="3"/>
        <v>501.66666666666669</v>
      </c>
      <c r="D27" s="1">
        <f>C10+Table17[[#This Row],[Jan_Int]]</f>
        <v>1001.6666666666667</v>
      </c>
      <c r="E27" s="1">
        <f t="shared" si="4"/>
        <v>1005.0055555555557</v>
      </c>
      <c r="F27" s="1">
        <f>D10+Table17[[#This Row],[Feb_Int]]</f>
        <v>1505.0055555555557</v>
      </c>
      <c r="G27" s="1">
        <f t="shared" si="5"/>
        <v>1510.3357835648151</v>
      </c>
      <c r="H27" s="1">
        <f>E10+Table17[[#This Row],[Mar_Int]]</f>
        <v>2010.3357835648151</v>
      </c>
      <c r="I27" s="1">
        <f t="shared" si="6"/>
        <v>2017.4557227982741</v>
      </c>
      <c r="J27" s="1">
        <f>F10+Table17[[#This Row],[Apr_Int]]</f>
        <v>2517.4557227982741</v>
      </c>
      <c r="K27" s="1">
        <f t="shared" si="7"/>
        <v>2526.3717118165182</v>
      </c>
      <c r="L27" s="1">
        <f>G10+Table17[[#This Row],[May_Int]]</f>
        <v>3026.3717118165182</v>
      </c>
      <c r="M27" s="1">
        <f t="shared" si="8"/>
        <v>3037.0901116292021</v>
      </c>
      <c r="N27" s="1">
        <f>H10+Table17[[#This Row],[Jun_Int]]</f>
        <v>4037.0901116292021</v>
      </c>
      <c r="O27" s="1">
        <f t="shared" si="9"/>
        <v>4051.3881391078894</v>
      </c>
      <c r="P27" s="1">
        <f>I10+Table17[[#This Row],[Jul_Int]]</f>
        <v>5051.3881391078894</v>
      </c>
      <c r="Q27" s="1">
        <f t="shared" si="10"/>
        <v>5069.2784721005637</v>
      </c>
      <c r="R27" s="1">
        <f>J10+Table17[[#This Row],[Aug_Int]]</f>
        <v>6069.2784721005637</v>
      </c>
      <c r="S27" s="1">
        <f t="shared" si="11"/>
        <v>6090.7738333559209</v>
      </c>
      <c r="T27" s="1">
        <f>K10+Table17[[#This Row],[Sep_Int]]</f>
        <v>7090.7738333559209</v>
      </c>
      <c r="U27" s="1">
        <f t="shared" si="12"/>
        <v>7118.8414797796213</v>
      </c>
      <c r="V27" s="1">
        <f>L10+Table17[[#This Row],[Oct_Int]]</f>
        <v>8118.8414797796213</v>
      </c>
      <c r="W27" s="1">
        <f t="shared" si="13"/>
        <v>8150.9785606370815</v>
      </c>
      <c r="X27" s="1">
        <f>M10+Table17[[#This Row],[Nov_Int]]</f>
        <v>9150.9785606370824</v>
      </c>
      <c r="Y27" s="1">
        <f t="shared" si="14"/>
        <v>9187.2011841062704</v>
      </c>
      <c r="Z27" s="1"/>
    </row>
    <row r="28" spans="1:26">
      <c r="A28" t="s">
        <v>52</v>
      </c>
      <c r="B28" s="1">
        <f t="shared" si="2"/>
        <v>500</v>
      </c>
      <c r="C28" s="1">
        <f t="shared" si="3"/>
        <v>501.66666666666669</v>
      </c>
      <c r="D28" s="1">
        <f>C11+Table17[[#This Row],[Jan_Int]]</f>
        <v>1001.6666666666667</v>
      </c>
      <c r="E28" s="1">
        <f t="shared" si="4"/>
        <v>1005.0055555555557</v>
      </c>
      <c r="F28" s="1">
        <f>D11+Table17[[#This Row],[Feb_Int]]</f>
        <v>1505.0055555555557</v>
      </c>
      <c r="G28" s="1">
        <f t="shared" si="5"/>
        <v>1510.3357835648151</v>
      </c>
      <c r="H28" s="1">
        <f>E11+Table17[[#This Row],[Mar_Int]]</f>
        <v>2010.3357835648151</v>
      </c>
      <c r="I28" s="1">
        <f t="shared" si="6"/>
        <v>2017.4557227982741</v>
      </c>
      <c r="J28" s="1">
        <f>F11+Table17[[#This Row],[Apr_Int]]</f>
        <v>2517.4557227982741</v>
      </c>
      <c r="K28" s="1">
        <f t="shared" si="7"/>
        <v>2526.3717118165182</v>
      </c>
      <c r="L28" s="1">
        <f>G11+Table17[[#This Row],[May_Int]]</f>
        <v>3026.3717118165182</v>
      </c>
      <c r="M28" s="1">
        <f t="shared" si="8"/>
        <v>3037.0901116292021</v>
      </c>
      <c r="N28" s="1">
        <f>H11+Table17[[#This Row],[Jun_Int]]</f>
        <v>4037.0901116292021</v>
      </c>
      <c r="O28" s="1">
        <f t="shared" si="9"/>
        <v>4051.3881391078894</v>
      </c>
      <c r="P28" s="1">
        <f>I11+Table17[[#This Row],[Jul_Int]]</f>
        <v>5051.3881391078894</v>
      </c>
      <c r="Q28" s="1">
        <f t="shared" si="10"/>
        <v>5069.2784721005637</v>
      </c>
      <c r="R28" s="1">
        <f>J11+Table17[[#This Row],[Aug_Int]]</f>
        <v>6069.2784721005637</v>
      </c>
      <c r="S28" s="1">
        <f t="shared" si="11"/>
        <v>6090.7738333559209</v>
      </c>
      <c r="T28" s="1">
        <f>K11+Table17[[#This Row],[Sep_Int]]</f>
        <v>7090.7738333559209</v>
      </c>
      <c r="U28" s="1">
        <f t="shared" si="12"/>
        <v>7118.8414797796213</v>
      </c>
      <c r="V28" s="1">
        <f>L11+Table17[[#This Row],[Oct_Int]]</f>
        <v>8118.8414797796213</v>
      </c>
      <c r="W28" s="1">
        <f t="shared" si="13"/>
        <v>8150.9785606370815</v>
      </c>
      <c r="X28" s="1">
        <f>M11+Table17[[#This Row],[Nov_Int]]</f>
        <v>9150.9785606370824</v>
      </c>
      <c r="Y28" s="1">
        <f t="shared" si="14"/>
        <v>9187.2011841062704</v>
      </c>
      <c r="Z28" s="1"/>
    </row>
    <row r="29" spans="1:26">
      <c r="A29" t="s">
        <v>23</v>
      </c>
      <c r="B29" s="1">
        <f t="shared" si="2"/>
        <v>500</v>
      </c>
      <c r="C29" s="1">
        <f t="shared" si="3"/>
        <v>501.66666666666669</v>
      </c>
      <c r="D29" s="1">
        <f>C12+Table17[[#This Row],[Jan_Int]]</f>
        <v>1001.6666666666667</v>
      </c>
      <c r="E29" s="1">
        <f t="shared" si="4"/>
        <v>1005.0055555555557</v>
      </c>
      <c r="F29" s="1">
        <f>D12+Table17[[#This Row],[Feb_Int]]</f>
        <v>1505.0055555555557</v>
      </c>
      <c r="G29" s="1">
        <f t="shared" si="5"/>
        <v>1510.3357835648151</v>
      </c>
      <c r="H29" s="1">
        <f>E12+Table17[[#This Row],[Mar_Int]]</f>
        <v>2010.3357835648151</v>
      </c>
      <c r="I29" s="1">
        <f t="shared" si="6"/>
        <v>2017.4557227982741</v>
      </c>
      <c r="J29" s="1">
        <f>F12+Table17[[#This Row],[Apr_Int]]</f>
        <v>2517.4557227982741</v>
      </c>
      <c r="K29" s="1">
        <f t="shared" si="7"/>
        <v>2526.3717118165182</v>
      </c>
      <c r="L29" s="1">
        <f>G12+Table17[[#This Row],[May_Int]]</f>
        <v>3026.3717118165182</v>
      </c>
      <c r="M29" s="1">
        <f t="shared" si="8"/>
        <v>3037.0901116292021</v>
      </c>
      <c r="N29" s="1">
        <f>H12+Table17[[#This Row],[Jun_Int]]</f>
        <v>4037.0901116292021</v>
      </c>
      <c r="O29" s="1">
        <f t="shared" si="9"/>
        <v>4051.3881391078894</v>
      </c>
      <c r="P29" s="1">
        <f>I12+Table17[[#This Row],[Jul_Int]]</f>
        <v>5051.3881391078894</v>
      </c>
      <c r="Q29" s="1">
        <f t="shared" si="10"/>
        <v>5069.2784721005637</v>
      </c>
      <c r="R29" s="1">
        <f>J12+Table17[[#This Row],[Aug_Int]]</f>
        <v>6069.2784721005637</v>
      </c>
      <c r="S29" s="1">
        <f t="shared" si="11"/>
        <v>6090.7738333559209</v>
      </c>
      <c r="T29" s="1">
        <f>K12+Table17[[#This Row],[Sep_Int]]</f>
        <v>7090.7738333559209</v>
      </c>
      <c r="U29" s="1">
        <f t="shared" si="12"/>
        <v>7118.8414797796213</v>
      </c>
      <c r="V29" s="1">
        <f>L12+Table17[[#This Row],[Oct_Int]]</f>
        <v>8118.8414797796213</v>
      </c>
      <c r="W29" s="1">
        <f t="shared" si="13"/>
        <v>8150.9785606370815</v>
      </c>
      <c r="X29" s="1">
        <f>M12+Table17[[#This Row],[Nov_Int]]</f>
        <v>9150.9785606370824</v>
      </c>
      <c r="Y29" s="1">
        <f t="shared" si="14"/>
        <v>9187.2011841062704</v>
      </c>
      <c r="Z29" s="1"/>
    </row>
    <row r="30" spans="1:26" ht="15" thickBot="1">
      <c r="A30" s="60" t="s">
        <v>53</v>
      </c>
      <c r="B30" s="61">
        <f t="shared" si="2"/>
        <v>500</v>
      </c>
      <c r="C30" s="61">
        <f t="shared" si="3"/>
        <v>501.66666666666669</v>
      </c>
      <c r="D30" s="61">
        <f>C13+Table17[[#This Row],[Jan_Int]]</f>
        <v>1001.6666666666667</v>
      </c>
      <c r="E30" s="61">
        <f t="shared" si="4"/>
        <v>1005.0055555555557</v>
      </c>
      <c r="F30" s="61">
        <f>D13+Table17[[#This Row],[Feb_Int]]</f>
        <v>1505.0055555555557</v>
      </c>
      <c r="G30" s="61">
        <f t="shared" si="5"/>
        <v>1510.3357835648151</v>
      </c>
      <c r="H30" s="61">
        <f>E13+Table17[[#This Row],[Mar_Int]]</f>
        <v>2010.3357835648151</v>
      </c>
      <c r="I30" s="61">
        <f t="shared" si="6"/>
        <v>2017.4557227982741</v>
      </c>
      <c r="J30" s="61">
        <f>F13+Table17[[#This Row],[Apr_Int]]</f>
        <v>2517.4557227982741</v>
      </c>
      <c r="K30" s="61">
        <f t="shared" si="7"/>
        <v>2526.3717118165182</v>
      </c>
      <c r="L30" s="61">
        <f>G13+Table17[[#This Row],[May_Int]]</f>
        <v>3026.3717118165182</v>
      </c>
      <c r="M30" s="61">
        <f t="shared" si="8"/>
        <v>3037.0901116292021</v>
      </c>
      <c r="N30" s="61">
        <f>H13+Table17[[#This Row],[Jun_Int]]</f>
        <v>4037.0901116292021</v>
      </c>
      <c r="O30" s="61">
        <f t="shared" si="9"/>
        <v>4051.3881391078894</v>
      </c>
      <c r="P30" s="61">
        <f>I13+Table17[[#This Row],[Jul_Int]]</f>
        <v>5051.3881391078894</v>
      </c>
      <c r="Q30" s="61">
        <f t="shared" si="10"/>
        <v>5069.2784721005637</v>
      </c>
      <c r="R30" s="61">
        <f>J13+Table17[[#This Row],[Aug_Int]]</f>
        <v>6069.2784721005637</v>
      </c>
      <c r="S30" s="61">
        <f t="shared" si="11"/>
        <v>6090.7738333559209</v>
      </c>
      <c r="T30" s="61">
        <f>K13+Table17[[#This Row],[Sep_Int]]</f>
        <v>7090.7738333559209</v>
      </c>
      <c r="U30" s="61">
        <f t="shared" si="12"/>
        <v>7118.8414797796213</v>
      </c>
      <c r="V30" s="61">
        <f>L13+Table17[[#This Row],[Oct_Int]]</f>
        <v>8118.8414797796213</v>
      </c>
      <c r="W30" s="61">
        <f t="shared" si="13"/>
        <v>8150.9785606370815</v>
      </c>
      <c r="X30" s="61">
        <f>M13+Table17[[#This Row],[Nov_Int]]</f>
        <v>9150.9785606370824</v>
      </c>
      <c r="Y30" s="61">
        <f t="shared" si="14"/>
        <v>9187.2011841062704</v>
      </c>
      <c r="Z30" s="1"/>
    </row>
    <row r="31" spans="1:26" ht="15.6" thickTop="1" thickBot="1">
      <c r="A31" s="68" t="s">
        <v>54</v>
      </c>
      <c r="B31" s="69">
        <f>SUM(B23:B30)</f>
        <v>4000</v>
      </c>
      <c r="C31" s="69">
        <f t="shared" ref="C31:Y31" si="15">SUM(C23:C30)</f>
        <v>4013.333333333333</v>
      </c>
      <c r="D31" s="69">
        <f t="shared" si="15"/>
        <v>8013.3333333333348</v>
      </c>
      <c r="E31" s="69">
        <f t="shared" si="15"/>
        <v>8040.0444444444447</v>
      </c>
      <c r="F31" s="69">
        <f t="shared" si="15"/>
        <v>12040.044444444446</v>
      </c>
      <c r="G31" s="69">
        <f t="shared" si="15"/>
        <v>12082.686268518521</v>
      </c>
      <c r="H31" s="69">
        <f t="shared" si="15"/>
        <v>16082.686268518521</v>
      </c>
      <c r="I31" s="69">
        <f t="shared" si="15"/>
        <v>16139.645782386189</v>
      </c>
      <c r="J31" s="69">
        <f t="shared" si="15"/>
        <v>20139.645782386189</v>
      </c>
      <c r="K31" s="69">
        <f t="shared" si="15"/>
        <v>20210.973694532146</v>
      </c>
      <c r="L31" s="69">
        <f t="shared" si="15"/>
        <v>24210.973694532146</v>
      </c>
      <c r="M31" s="69">
        <f t="shared" si="15"/>
        <v>24296.720893033613</v>
      </c>
      <c r="N31" s="69">
        <f t="shared" si="15"/>
        <v>32296.720893033613</v>
      </c>
      <c r="O31" s="69">
        <f t="shared" si="15"/>
        <v>32411.105112863119</v>
      </c>
      <c r="P31" s="69">
        <f t="shared" si="15"/>
        <v>40411.105112863115</v>
      </c>
      <c r="Q31" s="69">
        <f t="shared" si="15"/>
        <v>40554.22777680451</v>
      </c>
      <c r="R31" s="69">
        <f t="shared" si="15"/>
        <v>48554.227776804517</v>
      </c>
      <c r="S31" s="69">
        <f t="shared" si="15"/>
        <v>48726.190666847368</v>
      </c>
      <c r="T31" s="69">
        <f t="shared" si="15"/>
        <v>56726.190666847382</v>
      </c>
      <c r="U31" s="69">
        <f t="shared" si="15"/>
        <v>56950.73183823697</v>
      </c>
      <c r="V31" s="69">
        <f t="shared" si="15"/>
        <v>64950.73183823697</v>
      </c>
      <c r="W31" s="69">
        <f t="shared" si="15"/>
        <v>65207.828485096645</v>
      </c>
      <c r="X31" s="69">
        <f t="shared" si="15"/>
        <v>73207.828485096674</v>
      </c>
      <c r="Y31" s="72">
        <f t="shared" si="15"/>
        <v>73497.609472850163</v>
      </c>
      <c r="Z31" s="1"/>
    </row>
    <row r="32" spans="1:26" ht="15" thickTop="1"/>
    <row r="33" spans="1:26">
      <c r="C33" s="44">
        <v>3.5499999999999997E-2</v>
      </c>
      <c r="D33" s="44"/>
      <c r="E33" s="44">
        <v>3.5499999999999997E-2</v>
      </c>
      <c r="F33" s="44"/>
      <c r="G33" s="44">
        <v>3.7999999999999999E-2</v>
      </c>
      <c r="H33" s="44"/>
      <c r="I33" s="44">
        <v>3.7999999999999999E-2</v>
      </c>
      <c r="J33" s="44"/>
      <c r="K33" s="44">
        <v>3.7999999999999999E-2</v>
      </c>
      <c r="L33" s="44"/>
      <c r="M33" s="44">
        <v>3.7999999999999999E-2</v>
      </c>
      <c r="N33" s="44"/>
      <c r="O33" s="44">
        <v>3.7999999999999999E-2</v>
      </c>
      <c r="P33" s="44"/>
      <c r="Q33" s="44">
        <v>3.7999999999999999E-2</v>
      </c>
      <c r="R33" s="44"/>
      <c r="S33" s="44">
        <v>3.7999999999999999E-2</v>
      </c>
      <c r="T33" s="44"/>
      <c r="U33" s="44">
        <v>4.2999999999999997E-2</v>
      </c>
      <c r="V33" s="44"/>
      <c r="W33" s="44">
        <v>4.2999999999999997E-2</v>
      </c>
      <c r="X33" s="44"/>
      <c r="Y33" s="44">
        <v>4.2999999999999997E-2</v>
      </c>
    </row>
    <row r="34" spans="1:26">
      <c r="A34" t="s">
        <v>106</v>
      </c>
      <c r="B34" t="s">
        <v>1</v>
      </c>
      <c r="C34" t="s">
        <v>57</v>
      </c>
      <c r="D34" t="s">
        <v>2</v>
      </c>
      <c r="E34" t="s">
        <v>58</v>
      </c>
      <c r="F34" t="s">
        <v>3</v>
      </c>
      <c r="G34" t="s">
        <v>59</v>
      </c>
      <c r="H34" t="s">
        <v>4</v>
      </c>
      <c r="I34" t="s">
        <v>60</v>
      </c>
      <c r="J34" t="s">
        <v>5</v>
      </c>
      <c r="K34" t="s">
        <v>61</v>
      </c>
      <c r="L34" t="s">
        <v>6</v>
      </c>
      <c r="M34" t="s">
        <v>62</v>
      </c>
      <c r="N34" t="s">
        <v>7</v>
      </c>
      <c r="O34" t="s">
        <v>63</v>
      </c>
      <c r="P34" t="s">
        <v>8</v>
      </c>
      <c r="Q34" t="s">
        <v>64</v>
      </c>
      <c r="R34" t="s">
        <v>9</v>
      </c>
      <c r="S34" t="s">
        <v>65</v>
      </c>
      <c r="T34" t="s">
        <v>10</v>
      </c>
      <c r="U34" t="s">
        <v>66</v>
      </c>
      <c r="V34" t="s">
        <v>11</v>
      </c>
      <c r="W34" t="s">
        <v>67</v>
      </c>
      <c r="X34" t="s">
        <v>12</v>
      </c>
      <c r="Y34" t="s">
        <v>68</v>
      </c>
    </row>
    <row r="35" spans="1:26">
      <c r="A35" t="s">
        <v>45</v>
      </c>
      <c r="B35" s="1">
        <f t="shared" ref="B35:B42" si="16">B6</f>
        <v>500</v>
      </c>
      <c r="C35" s="1">
        <f>B35*(1+$T$4/12)</f>
        <v>501.47916666666669</v>
      </c>
      <c r="D35" s="1">
        <f>C6+Table16[[#This Row],[Jan_Int]]</f>
        <v>1001.4791666666667</v>
      </c>
      <c r="E35" s="1">
        <f t="shared" ref="E35:E42" si="17">D35*(1+$T$5/12)</f>
        <v>1004.4418758680557</v>
      </c>
      <c r="F35" s="1">
        <f>D6+Table16[[#This Row],[Feb_Int]]</f>
        <v>1504.4418758680558</v>
      </c>
      <c r="G35" s="1">
        <f t="shared" ref="G35:G42" si="18">F35*(1+$T$6/12)</f>
        <v>1509.2059418083047</v>
      </c>
      <c r="H35" s="1">
        <f>E6+Table16[[#This Row],[Mar_Int]]</f>
        <v>2009.2059418083047</v>
      </c>
      <c r="I35" s="1">
        <f t="shared" ref="I35:I42" si="19">H35*(1+$T$7/12)</f>
        <v>2015.5684272906979</v>
      </c>
      <c r="J35" s="1">
        <f>F6+Table16[[#This Row],[Apr_Int]]</f>
        <v>2515.5684272906979</v>
      </c>
      <c r="K35" s="1">
        <f>J35*(1+$T$8/12)</f>
        <v>2523.5343939771187</v>
      </c>
      <c r="L35" s="1">
        <f>G6+Table16[[#This Row],[May_Int]]</f>
        <v>3023.5343939771187</v>
      </c>
      <c r="M35" s="1">
        <f>L35*(1+$T$9/12)</f>
        <v>3033.1089195580466</v>
      </c>
      <c r="N35" s="1">
        <f>H6+Table16[[#This Row],[Jun_Int]]</f>
        <v>4033.1089195580466</v>
      </c>
      <c r="O35" s="1">
        <f>N35*(1+$T$10/12)</f>
        <v>4045.8804311366475</v>
      </c>
      <c r="P35" s="1">
        <f>I6+Table16[[#This Row],[Jul_Int]]</f>
        <v>5045.8804311366475</v>
      </c>
      <c r="Q35" s="1">
        <f>P35*(1+$T$11/12)</f>
        <v>5061.8590525019144</v>
      </c>
      <c r="R35" s="1">
        <f>J6+Table16[[#This Row],[Aug_Int]]</f>
        <v>6061.8590525019144</v>
      </c>
      <c r="S35" s="1">
        <f>R35*(1+$T$12/12)</f>
        <v>6081.0549395015041</v>
      </c>
      <c r="T35" s="1">
        <f>K6+Table16[[#This Row],[Sep_Int]]</f>
        <v>7081.0549395015041</v>
      </c>
      <c r="U35" s="1">
        <f>T35*(1+$T$13/12)</f>
        <v>7106.4287197013837</v>
      </c>
      <c r="V35" s="1">
        <f>L6+Table16[[#This Row],[Oct_Int]]</f>
        <v>8106.4287197013837</v>
      </c>
      <c r="W35" s="1">
        <f>V35*(1+$T$14/12)</f>
        <v>8135.4767559469801</v>
      </c>
      <c r="X35" s="1">
        <f>M6+Table16[[#This Row],[Nov_Int]]</f>
        <v>9135.4767559469801</v>
      </c>
      <c r="Y35" s="1">
        <f>X35*(1+$T$15/12)</f>
        <v>9168.2122143224569</v>
      </c>
      <c r="Z35" s="1"/>
    </row>
    <row r="36" spans="1:26">
      <c r="A36" t="s">
        <v>47</v>
      </c>
      <c r="B36" s="1">
        <f t="shared" si="16"/>
        <v>500</v>
      </c>
      <c r="C36" s="1">
        <f t="shared" ref="C36:C42" si="20">B36*(1+$T$4/12)</f>
        <v>501.47916666666669</v>
      </c>
      <c r="D36" s="1">
        <f>C7+Table16[[#This Row],[Jan_Int]]</f>
        <v>1001.4791666666667</v>
      </c>
      <c r="E36" s="1">
        <f t="shared" si="17"/>
        <v>1004.4418758680557</v>
      </c>
      <c r="F36" s="1">
        <f>D7+Table16[[#This Row],[Feb_Int]]</f>
        <v>1504.4418758680558</v>
      </c>
      <c r="G36" s="1">
        <f t="shared" si="18"/>
        <v>1509.2059418083047</v>
      </c>
      <c r="H36" s="1">
        <f>E7+Table16[[#This Row],[Mar_Int]]</f>
        <v>2009.2059418083047</v>
      </c>
      <c r="I36" s="1">
        <f t="shared" si="19"/>
        <v>2015.5684272906979</v>
      </c>
      <c r="J36" s="1">
        <f>F7+Table16[[#This Row],[Apr_Int]]</f>
        <v>2515.5684272906979</v>
      </c>
      <c r="K36" s="1">
        <f t="shared" ref="K36:K42" si="21">J36*(1+$T$8/12)</f>
        <v>2523.5343939771187</v>
      </c>
      <c r="L36" s="1">
        <f>G7+Table16[[#This Row],[May_Int]]</f>
        <v>3023.5343939771187</v>
      </c>
      <c r="M36" s="1">
        <f t="shared" ref="M36:M42" si="22">L36*(1+$T$9/12)</f>
        <v>3033.1089195580466</v>
      </c>
      <c r="N36" s="1">
        <f>H7+Table16[[#This Row],[Jun_Int]]</f>
        <v>4033.1089195580466</v>
      </c>
      <c r="O36" s="1">
        <f t="shared" ref="O36:O42" si="23">N36*(1+$T$10/12)</f>
        <v>4045.8804311366475</v>
      </c>
      <c r="P36" s="1">
        <f>I7+Table16[[#This Row],[Jul_Int]]</f>
        <v>5045.8804311366475</v>
      </c>
      <c r="Q36" s="1">
        <f t="shared" ref="Q36:Q42" si="24">P36*(1+$T$11/12)</f>
        <v>5061.8590525019144</v>
      </c>
      <c r="R36" s="1">
        <f>J7+Table16[[#This Row],[Aug_Int]]</f>
        <v>6061.8590525019144</v>
      </c>
      <c r="S36" s="1">
        <f t="shared" ref="S36:S42" si="25">R36*(1+$T$12/12)</f>
        <v>6081.0549395015041</v>
      </c>
      <c r="T36" s="1">
        <f>K7+Table16[[#This Row],[Sep_Int]]</f>
        <v>7081.0549395015041</v>
      </c>
      <c r="U36" s="1">
        <f t="shared" ref="U36:U42" si="26">T36*(1+$T$13/12)</f>
        <v>7106.4287197013837</v>
      </c>
      <c r="V36" s="1">
        <f>L7+Table16[[#This Row],[Oct_Int]]</f>
        <v>8106.4287197013837</v>
      </c>
      <c r="W36" s="1">
        <f t="shared" ref="W36:W42" si="27">V36*(1+$T$14/12)</f>
        <v>8135.4767559469801</v>
      </c>
      <c r="X36" s="1">
        <f>M7+Table16[[#This Row],[Nov_Int]]</f>
        <v>9135.4767559469801</v>
      </c>
      <c r="Y36" s="1">
        <f t="shared" ref="Y36:Y42" si="28">X36*(1+$T$15/12)</f>
        <v>9168.2122143224569</v>
      </c>
      <c r="Z36" s="1"/>
    </row>
    <row r="37" spans="1:26">
      <c r="A37" t="s">
        <v>48</v>
      </c>
      <c r="B37" s="1">
        <f t="shared" si="16"/>
        <v>500</v>
      </c>
      <c r="C37" s="1">
        <f t="shared" si="20"/>
        <v>501.47916666666669</v>
      </c>
      <c r="D37" s="1">
        <f>C8+Table16[[#This Row],[Jan_Int]]</f>
        <v>1001.4791666666667</v>
      </c>
      <c r="E37" s="1">
        <f t="shared" si="17"/>
        <v>1004.4418758680557</v>
      </c>
      <c r="F37" s="1">
        <f>D8+Table16[[#This Row],[Feb_Int]]</f>
        <v>1504.4418758680558</v>
      </c>
      <c r="G37" s="1">
        <f t="shared" si="18"/>
        <v>1509.2059418083047</v>
      </c>
      <c r="H37" s="1">
        <f>E8+Table16[[#This Row],[Mar_Int]]</f>
        <v>2009.2059418083047</v>
      </c>
      <c r="I37" s="1">
        <f t="shared" si="19"/>
        <v>2015.5684272906979</v>
      </c>
      <c r="J37" s="1">
        <f>F8+Table16[[#This Row],[Apr_Int]]</f>
        <v>2515.5684272906979</v>
      </c>
      <c r="K37" s="1">
        <f t="shared" si="21"/>
        <v>2523.5343939771187</v>
      </c>
      <c r="L37" s="1">
        <f>G8+Table16[[#This Row],[May_Int]]</f>
        <v>3023.5343939771187</v>
      </c>
      <c r="M37" s="1">
        <f t="shared" si="22"/>
        <v>3033.1089195580466</v>
      </c>
      <c r="N37" s="1">
        <f>H8+Table16[[#This Row],[Jun_Int]]</f>
        <v>4033.1089195580466</v>
      </c>
      <c r="O37" s="1">
        <f t="shared" si="23"/>
        <v>4045.8804311366475</v>
      </c>
      <c r="P37" s="1">
        <f>I8+Table16[[#This Row],[Jul_Int]]</f>
        <v>5045.8804311366475</v>
      </c>
      <c r="Q37" s="1">
        <f t="shared" si="24"/>
        <v>5061.8590525019144</v>
      </c>
      <c r="R37" s="1">
        <f>J8+Table16[[#This Row],[Aug_Int]]</f>
        <v>6061.8590525019144</v>
      </c>
      <c r="S37" s="1">
        <f t="shared" si="25"/>
        <v>6081.0549395015041</v>
      </c>
      <c r="T37" s="1">
        <f>K8+Table16[[#This Row],[Sep_Int]]</f>
        <v>7081.0549395015041</v>
      </c>
      <c r="U37" s="1">
        <f t="shared" si="26"/>
        <v>7106.4287197013837</v>
      </c>
      <c r="V37" s="1">
        <f>L8+Table16[[#This Row],[Oct_Int]]</f>
        <v>8106.4287197013837</v>
      </c>
      <c r="W37" s="1">
        <f t="shared" si="27"/>
        <v>8135.4767559469801</v>
      </c>
      <c r="X37" s="1">
        <f>M8+Table16[[#This Row],[Nov_Int]]</f>
        <v>9135.4767559469801</v>
      </c>
      <c r="Y37" s="1">
        <f t="shared" si="28"/>
        <v>9168.2122143224569</v>
      </c>
      <c r="Z37" s="54" t="s">
        <v>107</v>
      </c>
    </row>
    <row r="38" spans="1:26">
      <c r="A38" t="s">
        <v>50</v>
      </c>
      <c r="B38" s="1">
        <f t="shared" si="16"/>
        <v>500</v>
      </c>
      <c r="C38" s="1">
        <f t="shared" si="20"/>
        <v>501.47916666666669</v>
      </c>
      <c r="D38" s="1">
        <f>C9+Table16[[#This Row],[Jan_Int]]</f>
        <v>1001.4791666666667</v>
      </c>
      <c r="E38" s="1">
        <f t="shared" si="17"/>
        <v>1004.4418758680557</v>
      </c>
      <c r="F38" s="1">
        <f>D9+Table16[[#This Row],[Feb_Int]]</f>
        <v>1504.4418758680558</v>
      </c>
      <c r="G38" s="1">
        <f t="shared" si="18"/>
        <v>1509.2059418083047</v>
      </c>
      <c r="H38" s="1">
        <f>E9+Table16[[#This Row],[Mar_Int]]</f>
        <v>2009.2059418083047</v>
      </c>
      <c r="I38" s="1">
        <f t="shared" si="19"/>
        <v>2015.5684272906979</v>
      </c>
      <c r="J38" s="1">
        <f>F9+Table16[[#This Row],[Apr_Int]]</f>
        <v>2515.5684272906979</v>
      </c>
      <c r="K38" s="1">
        <f t="shared" si="21"/>
        <v>2523.5343939771187</v>
      </c>
      <c r="L38" s="1">
        <f>G9+Table16[[#This Row],[May_Int]]</f>
        <v>3023.5343939771187</v>
      </c>
      <c r="M38" s="1">
        <f t="shared" si="22"/>
        <v>3033.1089195580466</v>
      </c>
      <c r="N38" s="1">
        <f>H9+Table16[[#This Row],[Jun_Int]]</f>
        <v>4033.1089195580466</v>
      </c>
      <c r="O38" s="1">
        <f t="shared" si="23"/>
        <v>4045.8804311366475</v>
      </c>
      <c r="P38" s="1">
        <f>I9+Table16[[#This Row],[Jul_Int]]</f>
        <v>5045.8804311366475</v>
      </c>
      <c r="Q38" s="1">
        <f t="shared" si="24"/>
        <v>5061.8590525019144</v>
      </c>
      <c r="R38" s="1">
        <f>J9+Table16[[#This Row],[Aug_Int]]</f>
        <v>6061.8590525019144</v>
      </c>
      <c r="S38" s="1">
        <f t="shared" si="25"/>
        <v>6081.0549395015041</v>
      </c>
      <c r="T38" s="1">
        <f>K9+Table16[[#This Row],[Sep_Int]]</f>
        <v>7081.0549395015041</v>
      </c>
      <c r="U38" s="1">
        <f t="shared" si="26"/>
        <v>7106.4287197013837</v>
      </c>
      <c r="V38" s="1">
        <f>L9+Table16[[#This Row],[Oct_Int]]</f>
        <v>8106.4287197013837</v>
      </c>
      <c r="W38" s="1">
        <f t="shared" si="27"/>
        <v>8135.4767559469801</v>
      </c>
      <c r="X38" s="1">
        <f>M9+Table16[[#This Row],[Nov_Int]]</f>
        <v>9135.4767559469801</v>
      </c>
      <c r="Y38" s="1">
        <f t="shared" si="28"/>
        <v>9168.2122143224569</v>
      </c>
      <c r="Z38" s="1"/>
    </row>
    <row r="39" spans="1:26">
      <c r="A39" t="s">
        <v>51</v>
      </c>
      <c r="B39" s="1">
        <f t="shared" si="16"/>
        <v>500</v>
      </c>
      <c r="C39" s="1">
        <f t="shared" si="20"/>
        <v>501.47916666666669</v>
      </c>
      <c r="D39" s="1">
        <f>C10+Table16[[#This Row],[Jan_Int]]</f>
        <v>1001.4791666666667</v>
      </c>
      <c r="E39" s="1">
        <f t="shared" si="17"/>
        <v>1004.4418758680557</v>
      </c>
      <c r="F39" s="1">
        <f>D10+Table16[[#This Row],[Feb_Int]]</f>
        <v>1504.4418758680558</v>
      </c>
      <c r="G39" s="1">
        <f t="shared" si="18"/>
        <v>1509.2059418083047</v>
      </c>
      <c r="H39" s="1">
        <f>E10+Table16[[#This Row],[Mar_Int]]</f>
        <v>2009.2059418083047</v>
      </c>
      <c r="I39" s="1">
        <f t="shared" si="19"/>
        <v>2015.5684272906979</v>
      </c>
      <c r="J39" s="1">
        <f>F10+Table16[[#This Row],[Apr_Int]]</f>
        <v>2515.5684272906979</v>
      </c>
      <c r="K39" s="1">
        <f t="shared" si="21"/>
        <v>2523.5343939771187</v>
      </c>
      <c r="L39" s="1">
        <f>G10+Table16[[#This Row],[May_Int]]</f>
        <v>3023.5343939771187</v>
      </c>
      <c r="M39" s="1">
        <f t="shared" si="22"/>
        <v>3033.1089195580466</v>
      </c>
      <c r="N39" s="1">
        <f>H10+Table16[[#This Row],[Jun_Int]]</f>
        <v>4033.1089195580466</v>
      </c>
      <c r="O39" s="1">
        <f t="shared" si="23"/>
        <v>4045.8804311366475</v>
      </c>
      <c r="P39" s="1">
        <f>I10+Table16[[#This Row],[Jul_Int]]</f>
        <v>5045.8804311366475</v>
      </c>
      <c r="Q39" s="1">
        <f t="shared" si="24"/>
        <v>5061.8590525019144</v>
      </c>
      <c r="R39" s="1">
        <f>J10+Table16[[#This Row],[Aug_Int]]</f>
        <v>6061.8590525019144</v>
      </c>
      <c r="S39" s="1">
        <f t="shared" si="25"/>
        <v>6081.0549395015041</v>
      </c>
      <c r="T39" s="1">
        <f>K10+Table16[[#This Row],[Sep_Int]]</f>
        <v>7081.0549395015041</v>
      </c>
      <c r="U39" s="1">
        <f t="shared" si="26"/>
        <v>7106.4287197013837</v>
      </c>
      <c r="V39" s="1">
        <f>L10+Table16[[#This Row],[Oct_Int]]</f>
        <v>8106.4287197013837</v>
      </c>
      <c r="W39" s="1">
        <f t="shared" si="27"/>
        <v>8135.4767559469801</v>
      </c>
      <c r="X39" s="1">
        <f>M10+Table16[[#This Row],[Nov_Int]]</f>
        <v>9135.4767559469801</v>
      </c>
      <c r="Y39" s="1">
        <f t="shared" si="28"/>
        <v>9168.2122143224569</v>
      </c>
      <c r="Z39" s="1"/>
    </row>
    <row r="40" spans="1:26">
      <c r="A40" t="s">
        <v>52</v>
      </c>
      <c r="B40" s="1">
        <f t="shared" si="16"/>
        <v>500</v>
      </c>
      <c r="C40" s="1">
        <f t="shared" si="20"/>
        <v>501.47916666666669</v>
      </c>
      <c r="D40" s="1">
        <f>C11+Table16[[#This Row],[Jan_Int]]</f>
        <v>1001.4791666666667</v>
      </c>
      <c r="E40" s="1">
        <f t="shared" si="17"/>
        <v>1004.4418758680557</v>
      </c>
      <c r="F40" s="1">
        <f>D11+Table16[[#This Row],[Feb_Int]]</f>
        <v>1504.4418758680558</v>
      </c>
      <c r="G40" s="1">
        <f t="shared" si="18"/>
        <v>1509.2059418083047</v>
      </c>
      <c r="H40" s="1">
        <f>E11+Table16[[#This Row],[Mar_Int]]</f>
        <v>2009.2059418083047</v>
      </c>
      <c r="I40" s="1">
        <f t="shared" si="19"/>
        <v>2015.5684272906979</v>
      </c>
      <c r="J40" s="1">
        <f>F11+Table16[[#This Row],[Apr_Int]]</f>
        <v>2515.5684272906979</v>
      </c>
      <c r="K40" s="1">
        <f t="shared" si="21"/>
        <v>2523.5343939771187</v>
      </c>
      <c r="L40" s="1">
        <f>G11+Table16[[#This Row],[May_Int]]</f>
        <v>3023.5343939771187</v>
      </c>
      <c r="M40" s="1">
        <f t="shared" si="22"/>
        <v>3033.1089195580466</v>
      </c>
      <c r="N40" s="1">
        <f>H11+Table16[[#This Row],[Jun_Int]]</f>
        <v>4033.1089195580466</v>
      </c>
      <c r="O40" s="1">
        <f t="shared" si="23"/>
        <v>4045.8804311366475</v>
      </c>
      <c r="P40" s="1">
        <f>I11+Table16[[#This Row],[Jul_Int]]</f>
        <v>5045.8804311366475</v>
      </c>
      <c r="Q40" s="1">
        <f t="shared" si="24"/>
        <v>5061.8590525019144</v>
      </c>
      <c r="R40" s="1">
        <f>J11+Table16[[#This Row],[Aug_Int]]</f>
        <v>6061.8590525019144</v>
      </c>
      <c r="S40" s="1">
        <f t="shared" si="25"/>
        <v>6081.0549395015041</v>
      </c>
      <c r="T40" s="1">
        <f>K11+Table16[[#This Row],[Sep_Int]]</f>
        <v>7081.0549395015041</v>
      </c>
      <c r="U40" s="1">
        <f t="shared" si="26"/>
        <v>7106.4287197013837</v>
      </c>
      <c r="V40" s="1">
        <f>L11+Table16[[#This Row],[Oct_Int]]</f>
        <v>8106.4287197013837</v>
      </c>
      <c r="W40" s="1">
        <f t="shared" si="27"/>
        <v>8135.4767559469801</v>
      </c>
      <c r="X40" s="1">
        <f>M11+Table16[[#This Row],[Nov_Int]]</f>
        <v>9135.4767559469801</v>
      </c>
      <c r="Y40" s="1">
        <f t="shared" si="28"/>
        <v>9168.2122143224569</v>
      </c>
      <c r="Z40" s="1"/>
    </row>
    <row r="41" spans="1:26">
      <c r="A41" t="s">
        <v>23</v>
      </c>
      <c r="B41" s="1">
        <f t="shared" si="16"/>
        <v>500</v>
      </c>
      <c r="C41" s="1">
        <f t="shared" si="20"/>
        <v>501.47916666666669</v>
      </c>
      <c r="D41" s="1">
        <f>C12+Table16[[#This Row],[Jan_Int]]</f>
        <v>1001.4791666666667</v>
      </c>
      <c r="E41" s="1">
        <f t="shared" si="17"/>
        <v>1004.4418758680557</v>
      </c>
      <c r="F41" s="1">
        <f>D12+Table16[[#This Row],[Feb_Int]]</f>
        <v>1504.4418758680558</v>
      </c>
      <c r="G41" s="1">
        <f t="shared" si="18"/>
        <v>1509.2059418083047</v>
      </c>
      <c r="H41" s="1">
        <f>E12+Table16[[#This Row],[Mar_Int]]</f>
        <v>2009.2059418083047</v>
      </c>
      <c r="I41" s="1">
        <f t="shared" si="19"/>
        <v>2015.5684272906979</v>
      </c>
      <c r="J41" s="1">
        <f>F12+Table16[[#This Row],[Apr_Int]]</f>
        <v>2515.5684272906979</v>
      </c>
      <c r="K41" s="1">
        <f t="shared" si="21"/>
        <v>2523.5343939771187</v>
      </c>
      <c r="L41" s="1">
        <f>G12+Table16[[#This Row],[May_Int]]</f>
        <v>3023.5343939771187</v>
      </c>
      <c r="M41" s="1">
        <f t="shared" si="22"/>
        <v>3033.1089195580466</v>
      </c>
      <c r="N41" s="1">
        <f>H12+Table16[[#This Row],[Jun_Int]]</f>
        <v>4033.1089195580466</v>
      </c>
      <c r="O41" s="1">
        <f t="shared" si="23"/>
        <v>4045.8804311366475</v>
      </c>
      <c r="P41" s="1">
        <f>I12+Table16[[#This Row],[Jul_Int]]</f>
        <v>5045.8804311366475</v>
      </c>
      <c r="Q41" s="1">
        <f t="shared" si="24"/>
        <v>5061.8590525019144</v>
      </c>
      <c r="R41" s="1">
        <f>J12+Table16[[#This Row],[Aug_Int]]</f>
        <v>6061.8590525019144</v>
      </c>
      <c r="S41" s="1">
        <f t="shared" si="25"/>
        <v>6081.0549395015041</v>
      </c>
      <c r="T41" s="1">
        <f>K12+Table16[[#This Row],[Sep_Int]]</f>
        <v>7081.0549395015041</v>
      </c>
      <c r="U41" s="1">
        <f t="shared" si="26"/>
        <v>7106.4287197013837</v>
      </c>
      <c r="V41" s="1">
        <f>L12+Table16[[#This Row],[Oct_Int]]</f>
        <v>8106.4287197013837</v>
      </c>
      <c r="W41" s="1">
        <f t="shared" si="27"/>
        <v>8135.4767559469801</v>
      </c>
      <c r="X41" s="1">
        <f>M12+Table16[[#This Row],[Nov_Int]]</f>
        <v>9135.4767559469801</v>
      </c>
      <c r="Y41" s="1">
        <f t="shared" si="28"/>
        <v>9168.2122143224569</v>
      </c>
      <c r="Z41" s="1"/>
    </row>
    <row r="42" spans="1:26" ht="15" thickBot="1">
      <c r="A42" s="60" t="s">
        <v>53</v>
      </c>
      <c r="B42" s="61">
        <f t="shared" si="16"/>
        <v>500</v>
      </c>
      <c r="C42" s="61">
        <f t="shared" si="20"/>
        <v>501.47916666666669</v>
      </c>
      <c r="D42" s="61">
        <f>C13+Table16[[#This Row],[Jan_Int]]</f>
        <v>1001.4791666666667</v>
      </c>
      <c r="E42" s="61">
        <f t="shared" si="17"/>
        <v>1004.4418758680557</v>
      </c>
      <c r="F42" s="61">
        <f>D13+Table16[[#This Row],[Feb_Int]]</f>
        <v>1504.4418758680558</v>
      </c>
      <c r="G42" s="61">
        <f t="shared" si="18"/>
        <v>1509.2059418083047</v>
      </c>
      <c r="H42" s="61">
        <f>E13+Table16[[#This Row],[Mar_Int]]</f>
        <v>2009.2059418083047</v>
      </c>
      <c r="I42" s="61">
        <f t="shared" si="19"/>
        <v>2015.5684272906979</v>
      </c>
      <c r="J42" s="61">
        <f>F13+Table16[[#This Row],[Apr_Int]]</f>
        <v>2515.5684272906979</v>
      </c>
      <c r="K42" s="61">
        <f t="shared" si="21"/>
        <v>2523.5343939771187</v>
      </c>
      <c r="L42" s="61">
        <f>G13+Table16[[#This Row],[May_Int]]</f>
        <v>3023.5343939771187</v>
      </c>
      <c r="M42" s="61">
        <f t="shared" si="22"/>
        <v>3033.1089195580466</v>
      </c>
      <c r="N42" s="61">
        <f>H13+Table16[[#This Row],[Jun_Int]]</f>
        <v>4033.1089195580466</v>
      </c>
      <c r="O42" s="61">
        <f t="shared" si="23"/>
        <v>4045.8804311366475</v>
      </c>
      <c r="P42" s="61">
        <f>I13+Table16[[#This Row],[Jul_Int]]</f>
        <v>5045.8804311366475</v>
      </c>
      <c r="Q42" s="61">
        <f t="shared" si="24"/>
        <v>5061.8590525019144</v>
      </c>
      <c r="R42" s="61">
        <f>J13+Table16[[#This Row],[Aug_Int]]</f>
        <v>6061.8590525019144</v>
      </c>
      <c r="S42" s="61">
        <f t="shared" si="25"/>
        <v>6081.0549395015041</v>
      </c>
      <c r="T42" s="61">
        <f>K13+Table16[[#This Row],[Sep_Int]]</f>
        <v>7081.0549395015041</v>
      </c>
      <c r="U42" s="61">
        <f t="shared" si="26"/>
        <v>7106.4287197013837</v>
      </c>
      <c r="V42" s="61">
        <f>L13+Table16[[#This Row],[Oct_Int]]</f>
        <v>8106.4287197013837</v>
      </c>
      <c r="W42" s="61">
        <f t="shared" si="27"/>
        <v>8135.4767559469801</v>
      </c>
      <c r="X42" s="61">
        <f>M13+Table16[[#This Row],[Nov_Int]]</f>
        <v>9135.4767559469801</v>
      </c>
      <c r="Y42" s="61">
        <f t="shared" si="28"/>
        <v>9168.2122143224569</v>
      </c>
      <c r="Z42" s="1"/>
    </row>
    <row r="43" spans="1:26" ht="15.6" thickTop="1" thickBot="1">
      <c r="A43" s="64" t="s">
        <v>54</v>
      </c>
      <c r="B43" s="65">
        <f>SUM(B35:B42)</f>
        <v>4000</v>
      </c>
      <c r="C43" s="65">
        <f t="shared" ref="C43:Y43" si="29">SUM(C35:C42)</f>
        <v>4011.833333333333</v>
      </c>
      <c r="D43" s="65">
        <f t="shared" si="29"/>
        <v>8011.8333333333348</v>
      </c>
      <c r="E43" s="65">
        <f t="shared" si="29"/>
        <v>8035.5350069444457</v>
      </c>
      <c r="F43" s="65">
        <f t="shared" si="29"/>
        <v>12035.535006944447</v>
      </c>
      <c r="G43" s="65">
        <f t="shared" si="29"/>
        <v>12073.647534466438</v>
      </c>
      <c r="H43" s="65">
        <f t="shared" si="29"/>
        <v>16073.647534466438</v>
      </c>
      <c r="I43" s="65">
        <f t="shared" si="29"/>
        <v>16124.547418325585</v>
      </c>
      <c r="J43" s="65">
        <f t="shared" si="29"/>
        <v>20124.547418325583</v>
      </c>
      <c r="K43" s="65">
        <f t="shared" si="29"/>
        <v>20188.27515181695</v>
      </c>
      <c r="L43" s="65">
        <f t="shared" si="29"/>
        <v>24188.27515181695</v>
      </c>
      <c r="M43" s="65">
        <f t="shared" si="29"/>
        <v>24264.871356464373</v>
      </c>
      <c r="N43" s="65">
        <f t="shared" si="29"/>
        <v>32264.871356464373</v>
      </c>
      <c r="O43" s="65">
        <f t="shared" si="29"/>
        <v>32367.04344909318</v>
      </c>
      <c r="P43" s="65">
        <f t="shared" si="29"/>
        <v>40367.04344909318</v>
      </c>
      <c r="Q43" s="65">
        <f t="shared" si="29"/>
        <v>40494.872420015316</v>
      </c>
      <c r="R43" s="65">
        <f t="shared" si="29"/>
        <v>48494.872420015323</v>
      </c>
      <c r="S43" s="65">
        <f t="shared" si="29"/>
        <v>48648.439516012033</v>
      </c>
      <c r="T43" s="65">
        <f t="shared" si="29"/>
        <v>56648.439516012033</v>
      </c>
      <c r="U43" s="65">
        <f t="shared" si="29"/>
        <v>56851.429757611069</v>
      </c>
      <c r="V43" s="65">
        <f t="shared" si="29"/>
        <v>64851.429757611069</v>
      </c>
      <c r="W43" s="65">
        <f t="shared" si="29"/>
        <v>65083.814047575826</v>
      </c>
      <c r="X43" s="65">
        <f t="shared" si="29"/>
        <v>73083.814047575826</v>
      </c>
      <c r="Y43" s="73">
        <f t="shared" si="29"/>
        <v>73345.697714579655</v>
      </c>
      <c r="Z43" s="1"/>
    </row>
    <row r="44" spans="1:26" ht="15" thickTop="1"/>
    <row r="45" spans="1:26">
      <c r="C45" s="44">
        <v>6.0499999999999998E-2</v>
      </c>
      <c r="D45" s="44"/>
      <c r="E45" s="44">
        <v>6.0499999999999998E-2</v>
      </c>
      <c r="F45" s="44"/>
      <c r="G45" s="44">
        <v>6.0499999999999998E-2</v>
      </c>
      <c r="H45" s="44"/>
      <c r="I45" s="44">
        <v>6.0499999999999998E-2</v>
      </c>
      <c r="J45" s="44"/>
      <c r="K45" s="44">
        <v>6.25E-2</v>
      </c>
      <c r="L45" s="44"/>
      <c r="M45" s="44">
        <v>6.25E-2</v>
      </c>
      <c r="N45" s="44"/>
      <c r="O45" s="44">
        <v>6.7000000000000004E-2</v>
      </c>
      <c r="P45" s="44"/>
      <c r="Q45" s="44">
        <v>6.7000000000000004E-2</v>
      </c>
      <c r="R45" s="44"/>
      <c r="S45" s="44">
        <v>6.7000000000000004E-2</v>
      </c>
      <c r="T45" s="44"/>
      <c r="U45" s="44">
        <v>6.7000000000000004E-2</v>
      </c>
      <c r="V45" s="44"/>
      <c r="W45" s="44">
        <v>6.7000000000000004E-2</v>
      </c>
      <c r="X45" s="44"/>
      <c r="Y45" s="44">
        <v>6.7000000000000004E-2</v>
      </c>
    </row>
    <row r="46" spans="1:26">
      <c r="A46" t="s">
        <v>15</v>
      </c>
      <c r="B46" t="s">
        <v>1</v>
      </c>
      <c r="C46" t="s">
        <v>57</v>
      </c>
      <c r="D46" t="s">
        <v>2</v>
      </c>
      <c r="E46" t="s">
        <v>58</v>
      </c>
      <c r="F46" t="s">
        <v>3</v>
      </c>
      <c r="G46" t="s">
        <v>59</v>
      </c>
      <c r="H46" t="s">
        <v>4</v>
      </c>
      <c r="I46" t="s">
        <v>60</v>
      </c>
      <c r="J46" t="s">
        <v>5</v>
      </c>
      <c r="K46" t="s">
        <v>61</v>
      </c>
      <c r="L46" t="s">
        <v>6</v>
      </c>
      <c r="M46" t="s">
        <v>62</v>
      </c>
      <c r="N46" t="s">
        <v>7</v>
      </c>
      <c r="O46" t="s">
        <v>63</v>
      </c>
      <c r="P46" t="s">
        <v>8</v>
      </c>
      <c r="Q46" t="s">
        <v>64</v>
      </c>
      <c r="R46" t="s">
        <v>9</v>
      </c>
      <c r="S46" t="s">
        <v>65</v>
      </c>
      <c r="T46" t="s">
        <v>10</v>
      </c>
      <c r="U46" t="s">
        <v>66</v>
      </c>
      <c r="V46" t="s">
        <v>11</v>
      </c>
      <c r="W46" t="s">
        <v>67</v>
      </c>
      <c r="X46" t="s">
        <v>12</v>
      </c>
      <c r="Y46" t="s">
        <v>68</v>
      </c>
    </row>
    <row r="47" spans="1:26">
      <c r="A47" t="s">
        <v>45</v>
      </c>
      <c r="B47" s="1">
        <f t="shared" ref="B47:B54" si="30">B6</f>
        <v>500</v>
      </c>
      <c r="C47" s="1">
        <f t="shared" ref="C47:C54" si="31">B47*(1+$W$4/12)</f>
        <v>502.52083333333331</v>
      </c>
      <c r="D47" s="1">
        <f>C6+Table1[[#This Row],[Jan_Int]]</f>
        <v>1002.5208333333333</v>
      </c>
      <c r="E47" s="1">
        <f t="shared" ref="E47:E54" si="32">D47*(1+$W$5/12)</f>
        <v>1007.5752092013887</v>
      </c>
      <c r="F47" s="1">
        <f>D6+Table1[[#This Row],[Feb_Int]]</f>
        <v>1507.5752092013886</v>
      </c>
      <c r="G47" s="1">
        <f t="shared" ref="G47:G54" si="33">F47*(1+$W$6/12)</f>
        <v>1515.1759008811123</v>
      </c>
      <c r="H47" s="1">
        <f>E6+Table1[[#This Row],[Mar_Int]]</f>
        <v>2015.1759008811123</v>
      </c>
      <c r="I47" s="1">
        <f t="shared" ref="I47:I54" si="34">H47*(1+$W$7/12)</f>
        <v>2025.3357460480545</v>
      </c>
      <c r="J47" s="1">
        <f>F6+Table1[[#This Row],[Apr_Int]]</f>
        <v>2525.3357460480547</v>
      </c>
      <c r="K47" s="1">
        <f t="shared" ref="K47:K54" si="35">J47*(1+$W$8/12)</f>
        <v>2538.4885363920548</v>
      </c>
      <c r="L47" s="1">
        <f>G6+Table1[[#This Row],[May_Int]]</f>
        <v>3038.4885363920548</v>
      </c>
      <c r="M47" s="1">
        <f t="shared" ref="M47:M54" si="36">L47*(1+$W$9/12)</f>
        <v>3054.3139975190966</v>
      </c>
      <c r="N47" s="1">
        <f>H6+Table1[[#This Row],[Jun_Int]]</f>
        <v>4054.3139975190966</v>
      </c>
      <c r="O47" s="1">
        <f t="shared" ref="O47:O54" si="37">N47*(1+$W$10/12)</f>
        <v>4076.9505840052448</v>
      </c>
      <c r="P47" s="1">
        <f>I6+Table1[[#This Row],[Jul_Int]]</f>
        <v>5076.9505840052443</v>
      </c>
      <c r="Q47" s="1">
        <f t="shared" ref="Q47:Q54" si="38">P47*(1+$W$11/12)</f>
        <v>5105.2968914326066</v>
      </c>
      <c r="R47" s="1">
        <f>J6+Table1[[#This Row],[Aug_Int]]</f>
        <v>6105.2968914326066</v>
      </c>
      <c r="S47" s="1">
        <f t="shared" ref="S47:S54" si="39">R47*(1+$W$12/12)</f>
        <v>6139.384799076438</v>
      </c>
      <c r="T47" s="1">
        <f>K6+Table1[[#This Row],[Sep_Int]]</f>
        <v>7139.384799076438</v>
      </c>
      <c r="U47" s="1">
        <f t="shared" ref="U47:U54" si="40">T47*(1+$W$13/12)</f>
        <v>7179.2463642046141</v>
      </c>
      <c r="V47" s="1">
        <f>L6+Table1[[#This Row],[Oct_Int]]</f>
        <v>8179.2463642046141</v>
      </c>
      <c r="W47" s="1">
        <f t="shared" ref="W47:W54" si="41">V47*(1+$W$14/12)</f>
        <v>8224.9138230714234</v>
      </c>
      <c r="X47" s="1">
        <f>M6+Table1[[#This Row],[Nov_Int]]</f>
        <v>9224.9138230714234</v>
      </c>
      <c r="Y47" s="1">
        <f t="shared" ref="Y47:Y54" si="42">X47*(1+$W$15/12)</f>
        <v>9276.4195919169051</v>
      </c>
      <c r="Z47" s="1"/>
    </row>
    <row r="48" spans="1:26">
      <c r="A48" t="s">
        <v>47</v>
      </c>
      <c r="B48" s="1">
        <f t="shared" si="30"/>
        <v>500</v>
      </c>
      <c r="C48" s="1">
        <f t="shared" si="31"/>
        <v>502.52083333333331</v>
      </c>
      <c r="D48" s="1">
        <f>C7+Table1[[#This Row],[Jan_Int]]</f>
        <v>1002.5208333333333</v>
      </c>
      <c r="E48" s="1">
        <f t="shared" si="32"/>
        <v>1007.5752092013887</v>
      </c>
      <c r="F48" s="1">
        <f>D7+Table1[[#This Row],[Feb_Int]]</f>
        <v>1507.5752092013886</v>
      </c>
      <c r="G48" s="1">
        <f t="shared" si="33"/>
        <v>1515.1759008811123</v>
      </c>
      <c r="H48" s="1">
        <f>E7+Table1[[#This Row],[Mar_Int]]</f>
        <v>2015.1759008811123</v>
      </c>
      <c r="I48" s="1">
        <f t="shared" si="34"/>
        <v>2025.3357460480545</v>
      </c>
      <c r="J48" s="1">
        <f>F7+Table1[[#This Row],[Apr_Int]]</f>
        <v>2525.3357460480547</v>
      </c>
      <c r="K48" s="1">
        <f t="shared" si="35"/>
        <v>2538.4885363920548</v>
      </c>
      <c r="L48" s="1">
        <f>G7+Table1[[#This Row],[May_Int]]</f>
        <v>3038.4885363920548</v>
      </c>
      <c r="M48" s="1">
        <f t="shared" si="36"/>
        <v>3054.3139975190966</v>
      </c>
      <c r="N48" s="1">
        <f>H7+Table1[[#This Row],[Jun_Int]]</f>
        <v>4054.3139975190966</v>
      </c>
      <c r="O48" s="1">
        <f t="shared" si="37"/>
        <v>4076.9505840052448</v>
      </c>
      <c r="P48" s="1">
        <f>I7+Table1[[#This Row],[Jul_Int]]</f>
        <v>5076.9505840052443</v>
      </c>
      <c r="Q48" s="1">
        <f t="shared" si="38"/>
        <v>5105.2968914326066</v>
      </c>
      <c r="R48" s="1">
        <f>J7+Table1[[#This Row],[Aug_Int]]</f>
        <v>6105.2968914326066</v>
      </c>
      <c r="S48" s="1">
        <f t="shared" si="39"/>
        <v>6139.384799076438</v>
      </c>
      <c r="T48" s="1">
        <f>K7+Table1[[#This Row],[Sep_Int]]</f>
        <v>7139.384799076438</v>
      </c>
      <c r="U48" s="1">
        <f t="shared" si="40"/>
        <v>7179.2463642046141</v>
      </c>
      <c r="V48" s="1">
        <f>L7+Table1[[#This Row],[Oct_Int]]</f>
        <v>8179.2463642046141</v>
      </c>
      <c r="W48" s="1">
        <f t="shared" si="41"/>
        <v>8224.9138230714234</v>
      </c>
      <c r="X48" s="1">
        <f>M7+Table1[[#This Row],[Nov_Int]]</f>
        <v>9224.9138230714234</v>
      </c>
      <c r="Y48" s="1">
        <f t="shared" si="42"/>
        <v>9276.4195919169051</v>
      </c>
      <c r="Z48" s="1"/>
    </row>
    <row r="49" spans="1:26">
      <c r="A49" t="s">
        <v>48</v>
      </c>
      <c r="B49" s="1">
        <f t="shared" si="30"/>
        <v>500</v>
      </c>
      <c r="C49" s="1">
        <f t="shared" si="31"/>
        <v>502.52083333333331</v>
      </c>
      <c r="D49" s="1">
        <f>C8+Table1[[#This Row],[Jan_Int]]</f>
        <v>1002.5208333333333</v>
      </c>
      <c r="E49" s="1">
        <f t="shared" si="32"/>
        <v>1007.5752092013887</v>
      </c>
      <c r="F49" s="1">
        <f>D8+Table1[[#This Row],[Feb_Int]]</f>
        <v>1507.5752092013886</v>
      </c>
      <c r="G49" s="1">
        <f t="shared" si="33"/>
        <v>1515.1759008811123</v>
      </c>
      <c r="H49" s="1">
        <f>E8+Table1[[#This Row],[Mar_Int]]</f>
        <v>2015.1759008811123</v>
      </c>
      <c r="I49" s="1">
        <f t="shared" si="34"/>
        <v>2025.3357460480545</v>
      </c>
      <c r="J49" s="1">
        <f>F8+Table1[[#This Row],[Apr_Int]]</f>
        <v>2525.3357460480547</v>
      </c>
      <c r="K49" s="1">
        <f t="shared" si="35"/>
        <v>2538.4885363920548</v>
      </c>
      <c r="L49" s="1">
        <f>G8+Table1[[#This Row],[May_Int]]</f>
        <v>3038.4885363920548</v>
      </c>
      <c r="M49" s="1">
        <f t="shared" si="36"/>
        <v>3054.3139975190966</v>
      </c>
      <c r="N49" s="1">
        <f>H8+Table1[[#This Row],[Jun_Int]]</f>
        <v>4054.3139975190966</v>
      </c>
      <c r="O49" s="1">
        <f t="shared" si="37"/>
        <v>4076.9505840052448</v>
      </c>
      <c r="P49" s="1">
        <f>I8+Table1[[#This Row],[Jul_Int]]</f>
        <v>5076.9505840052443</v>
      </c>
      <c r="Q49" s="1">
        <f t="shared" si="38"/>
        <v>5105.2968914326066</v>
      </c>
      <c r="R49" s="1">
        <f>J8+Table1[[#This Row],[Aug_Int]]</f>
        <v>6105.2968914326066</v>
      </c>
      <c r="S49" s="1">
        <f t="shared" si="39"/>
        <v>6139.384799076438</v>
      </c>
      <c r="T49" s="1">
        <f>K8+Table1[[#This Row],[Sep_Int]]</f>
        <v>7139.384799076438</v>
      </c>
      <c r="U49" s="1">
        <f t="shared" si="40"/>
        <v>7179.2463642046141</v>
      </c>
      <c r="V49" s="1">
        <f>L8+Table1[[#This Row],[Oct_Int]]</f>
        <v>8179.2463642046141</v>
      </c>
      <c r="W49" s="1">
        <f t="shared" si="41"/>
        <v>8224.9138230714234</v>
      </c>
      <c r="X49" s="1">
        <f>M8+Table1[[#This Row],[Nov_Int]]</f>
        <v>9224.9138230714234</v>
      </c>
      <c r="Y49" s="1">
        <f t="shared" si="42"/>
        <v>9276.4195919169051</v>
      </c>
      <c r="Z49" s="1"/>
    </row>
    <row r="50" spans="1:26">
      <c r="A50" t="s">
        <v>50</v>
      </c>
      <c r="B50" s="1">
        <f t="shared" si="30"/>
        <v>500</v>
      </c>
      <c r="C50" s="1">
        <f t="shared" si="31"/>
        <v>502.52083333333331</v>
      </c>
      <c r="D50" s="1">
        <f>C9+Table1[[#This Row],[Jan_Int]]</f>
        <v>1002.5208333333333</v>
      </c>
      <c r="E50" s="1">
        <f t="shared" si="32"/>
        <v>1007.5752092013887</v>
      </c>
      <c r="F50" s="1">
        <f>D9+Table1[[#This Row],[Feb_Int]]</f>
        <v>1507.5752092013886</v>
      </c>
      <c r="G50" s="1">
        <f t="shared" si="33"/>
        <v>1515.1759008811123</v>
      </c>
      <c r="H50" s="1">
        <f>E9+Table1[[#This Row],[Mar_Int]]</f>
        <v>2015.1759008811123</v>
      </c>
      <c r="I50" s="1">
        <f t="shared" si="34"/>
        <v>2025.3357460480545</v>
      </c>
      <c r="J50" s="1">
        <f>F9+Table1[[#This Row],[Apr_Int]]</f>
        <v>2525.3357460480547</v>
      </c>
      <c r="K50" s="1">
        <f t="shared" si="35"/>
        <v>2538.4885363920548</v>
      </c>
      <c r="L50" s="1">
        <f>G9+Table1[[#This Row],[May_Int]]</f>
        <v>3038.4885363920548</v>
      </c>
      <c r="M50" s="1">
        <f t="shared" si="36"/>
        <v>3054.3139975190966</v>
      </c>
      <c r="N50" s="1">
        <f>H9+Table1[[#This Row],[Jun_Int]]</f>
        <v>4054.3139975190966</v>
      </c>
      <c r="O50" s="1">
        <f t="shared" si="37"/>
        <v>4076.9505840052448</v>
      </c>
      <c r="P50" s="1">
        <f>I9+Table1[[#This Row],[Jul_Int]]</f>
        <v>5076.9505840052443</v>
      </c>
      <c r="Q50" s="1">
        <f t="shared" si="38"/>
        <v>5105.2968914326066</v>
      </c>
      <c r="R50" s="1">
        <f>J9+Table1[[#This Row],[Aug_Int]]</f>
        <v>6105.2968914326066</v>
      </c>
      <c r="S50" s="1">
        <f t="shared" si="39"/>
        <v>6139.384799076438</v>
      </c>
      <c r="T50" s="1">
        <f>K9+Table1[[#This Row],[Sep_Int]]</f>
        <v>7139.384799076438</v>
      </c>
      <c r="U50" s="1">
        <f t="shared" si="40"/>
        <v>7179.2463642046141</v>
      </c>
      <c r="V50" s="1">
        <f>L9+Table1[[#This Row],[Oct_Int]]</f>
        <v>8179.2463642046141</v>
      </c>
      <c r="W50" s="1">
        <f t="shared" si="41"/>
        <v>8224.9138230714234</v>
      </c>
      <c r="X50" s="1">
        <f>M9+Table1[[#This Row],[Nov_Int]]</f>
        <v>9224.9138230714234</v>
      </c>
      <c r="Y50" s="1">
        <f t="shared" si="42"/>
        <v>9276.4195919169051</v>
      </c>
      <c r="Z50" s="1"/>
    </row>
    <row r="51" spans="1:26">
      <c r="A51" t="s">
        <v>51</v>
      </c>
      <c r="B51" s="1">
        <f t="shared" si="30"/>
        <v>500</v>
      </c>
      <c r="C51" s="1">
        <f t="shared" si="31"/>
        <v>502.52083333333331</v>
      </c>
      <c r="D51" s="1">
        <f>C10+Table1[[#This Row],[Jan_Int]]</f>
        <v>1002.5208333333333</v>
      </c>
      <c r="E51" s="1">
        <f t="shared" si="32"/>
        <v>1007.5752092013887</v>
      </c>
      <c r="F51" s="1">
        <f>D10+Table1[[#This Row],[Feb_Int]]</f>
        <v>1507.5752092013886</v>
      </c>
      <c r="G51" s="1">
        <f t="shared" si="33"/>
        <v>1515.1759008811123</v>
      </c>
      <c r="H51" s="1">
        <f>E10+Table1[[#This Row],[Mar_Int]]</f>
        <v>2015.1759008811123</v>
      </c>
      <c r="I51" s="1">
        <f t="shared" si="34"/>
        <v>2025.3357460480545</v>
      </c>
      <c r="J51" s="1">
        <f>F10+Table1[[#This Row],[Apr_Int]]</f>
        <v>2525.3357460480547</v>
      </c>
      <c r="K51" s="1">
        <f t="shared" si="35"/>
        <v>2538.4885363920548</v>
      </c>
      <c r="L51" s="1">
        <f>G10+Table1[[#This Row],[May_Int]]</f>
        <v>3038.4885363920548</v>
      </c>
      <c r="M51" s="1">
        <f t="shared" si="36"/>
        <v>3054.3139975190966</v>
      </c>
      <c r="N51" s="1">
        <f>H10+Table1[[#This Row],[Jun_Int]]</f>
        <v>4054.3139975190966</v>
      </c>
      <c r="O51" s="1">
        <f t="shared" si="37"/>
        <v>4076.9505840052448</v>
      </c>
      <c r="P51" s="1">
        <f>I10+Table1[[#This Row],[Jul_Int]]</f>
        <v>5076.9505840052443</v>
      </c>
      <c r="Q51" s="1">
        <f t="shared" si="38"/>
        <v>5105.2968914326066</v>
      </c>
      <c r="R51" s="1">
        <f>J10+Table1[[#This Row],[Aug_Int]]</f>
        <v>6105.2968914326066</v>
      </c>
      <c r="S51" s="1">
        <f t="shared" si="39"/>
        <v>6139.384799076438</v>
      </c>
      <c r="T51" s="1">
        <f>K10+Table1[[#This Row],[Sep_Int]]</f>
        <v>7139.384799076438</v>
      </c>
      <c r="U51" s="1">
        <f t="shared" si="40"/>
        <v>7179.2463642046141</v>
      </c>
      <c r="V51" s="1">
        <f>L10+Table1[[#This Row],[Oct_Int]]</f>
        <v>8179.2463642046141</v>
      </c>
      <c r="W51" s="1">
        <f t="shared" si="41"/>
        <v>8224.9138230714234</v>
      </c>
      <c r="X51" s="1">
        <f>M10+Table1[[#This Row],[Nov_Int]]</f>
        <v>9224.9138230714234</v>
      </c>
      <c r="Y51" s="1">
        <f t="shared" si="42"/>
        <v>9276.4195919169051</v>
      </c>
      <c r="Z51" s="1"/>
    </row>
    <row r="52" spans="1:26">
      <c r="A52" t="s">
        <v>52</v>
      </c>
      <c r="B52" s="1">
        <f t="shared" si="30"/>
        <v>500</v>
      </c>
      <c r="C52" s="1">
        <f t="shared" si="31"/>
        <v>502.52083333333331</v>
      </c>
      <c r="D52" s="1">
        <f>C11+Table1[[#This Row],[Jan_Int]]</f>
        <v>1002.5208333333333</v>
      </c>
      <c r="E52" s="1">
        <f t="shared" si="32"/>
        <v>1007.5752092013887</v>
      </c>
      <c r="F52" s="1">
        <f>D11+Table1[[#This Row],[Feb_Int]]</f>
        <v>1507.5752092013886</v>
      </c>
      <c r="G52" s="1">
        <f t="shared" si="33"/>
        <v>1515.1759008811123</v>
      </c>
      <c r="H52" s="1">
        <f>E11+Table1[[#This Row],[Mar_Int]]</f>
        <v>2015.1759008811123</v>
      </c>
      <c r="I52" s="1">
        <f t="shared" si="34"/>
        <v>2025.3357460480545</v>
      </c>
      <c r="J52" s="1">
        <f>F11+Table1[[#This Row],[Apr_Int]]</f>
        <v>2525.3357460480547</v>
      </c>
      <c r="K52" s="1">
        <f t="shared" si="35"/>
        <v>2538.4885363920548</v>
      </c>
      <c r="L52" s="1">
        <f>G11+Table1[[#This Row],[May_Int]]</f>
        <v>3038.4885363920548</v>
      </c>
      <c r="M52" s="1">
        <f t="shared" si="36"/>
        <v>3054.3139975190966</v>
      </c>
      <c r="N52" s="1">
        <f>H11+Table1[[#This Row],[Jun_Int]]</f>
        <v>4054.3139975190966</v>
      </c>
      <c r="O52" s="1">
        <f t="shared" si="37"/>
        <v>4076.9505840052448</v>
      </c>
      <c r="P52" s="1">
        <f>I11+Table1[[#This Row],[Jul_Int]]</f>
        <v>5076.9505840052443</v>
      </c>
      <c r="Q52" s="1">
        <f t="shared" si="38"/>
        <v>5105.2968914326066</v>
      </c>
      <c r="R52" s="1">
        <f>J11+Table1[[#This Row],[Aug_Int]]</f>
        <v>6105.2968914326066</v>
      </c>
      <c r="S52" s="1">
        <f t="shared" si="39"/>
        <v>6139.384799076438</v>
      </c>
      <c r="T52" s="1">
        <f>K11+Table1[[#This Row],[Sep_Int]]</f>
        <v>7139.384799076438</v>
      </c>
      <c r="U52" s="1">
        <f t="shared" si="40"/>
        <v>7179.2463642046141</v>
      </c>
      <c r="V52" s="1">
        <f>L11+Table1[[#This Row],[Oct_Int]]</f>
        <v>8179.2463642046141</v>
      </c>
      <c r="W52" s="1">
        <f t="shared" si="41"/>
        <v>8224.9138230714234</v>
      </c>
      <c r="X52" s="1">
        <f>M11+Table1[[#This Row],[Nov_Int]]</f>
        <v>9224.9138230714234</v>
      </c>
      <c r="Y52" s="1">
        <f t="shared" si="42"/>
        <v>9276.4195919169051</v>
      </c>
      <c r="Z52" s="1"/>
    </row>
    <row r="53" spans="1:26">
      <c r="A53" t="s">
        <v>23</v>
      </c>
      <c r="B53" s="1">
        <f t="shared" si="30"/>
        <v>500</v>
      </c>
      <c r="C53" s="1">
        <f t="shared" si="31"/>
        <v>502.52083333333331</v>
      </c>
      <c r="D53" s="1">
        <f>C12+Table1[[#This Row],[Jan_Int]]</f>
        <v>1002.5208333333333</v>
      </c>
      <c r="E53" s="1">
        <f t="shared" si="32"/>
        <v>1007.5752092013887</v>
      </c>
      <c r="F53" s="1">
        <f>D12+Table1[[#This Row],[Feb_Int]]</f>
        <v>1507.5752092013886</v>
      </c>
      <c r="G53" s="1">
        <f t="shared" si="33"/>
        <v>1515.1759008811123</v>
      </c>
      <c r="H53" s="1">
        <f>E12+Table1[[#This Row],[Mar_Int]]</f>
        <v>2015.1759008811123</v>
      </c>
      <c r="I53" s="1">
        <f t="shared" si="34"/>
        <v>2025.3357460480545</v>
      </c>
      <c r="J53" s="1">
        <f>F12+Table1[[#This Row],[Apr_Int]]</f>
        <v>2525.3357460480547</v>
      </c>
      <c r="K53" s="1">
        <f t="shared" si="35"/>
        <v>2538.4885363920548</v>
      </c>
      <c r="L53" s="1">
        <f>G12+Table1[[#This Row],[May_Int]]</f>
        <v>3038.4885363920548</v>
      </c>
      <c r="M53" s="1">
        <f t="shared" si="36"/>
        <v>3054.3139975190966</v>
      </c>
      <c r="N53" s="1">
        <f>H12+Table1[[#This Row],[Jun_Int]]</f>
        <v>4054.3139975190966</v>
      </c>
      <c r="O53" s="1">
        <f t="shared" si="37"/>
        <v>4076.9505840052448</v>
      </c>
      <c r="P53" s="1">
        <f>I12+Table1[[#This Row],[Jul_Int]]</f>
        <v>5076.9505840052443</v>
      </c>
      <c r="Q53" s="1">
        <f t="shared" si="38"/>
        <v>5105.2968914326066</v>
      </c>
      <c r="R53" s="1">
        <f>J12+Table1[[#This Row],[Aug_Int]]</f>
        <v>6105.2968914326066</v>
      </c>
      <c r="S53" s="1">
        <f t="shared" si="39"/>
        <v>6139.384799076438</v>
      </c>
      <c r="T53" s="1">
        <f>K12+Table1[[#This Row],[Sep_Int]]</f>
        <v>7139.384799076438</v>
      </c>
      <c r="U53" s="1">
        <f t="shared" si="40"/>
        <v>7179.2463642046141</v>
      </c>
      <c r="V53" s="1">
        <f>L12+Table1[[#This Row],[Oct_Int]]</f>
        <v>8179.2463642046141</v>
      </c>
      <c r="W53" s="1">
        <f t="shared" si="41"/>
        <v>8224.9138230714234</v>
      </c>
      <c r="X53" s="1">
        <f>M12+Table1[[#This Row],[Nov_Int]]</f>
        <v>9224.9138230714234</v>
      </c>
      <c r="Y53" s="1">
        <f t="shared" si="42"/>
        <v>9276.4195919169051</v>
      </c>
      <c r="Z53" s="1"/>
    </row>
    <row r="54" spans="1:26" ht="15" thickBot="1">
      <c r="A54" s="60" t="s">
        <v>53</v>
      </c>
      <c r="B54" s="61">
        <f t="shared" si="30"/>
        <v>500</v>
      </c>
      <c r="C54" s="61">
        <f t="shared" si="31"/>
        <v>502.52083333333331</v>
      </c>
      <c r="D54" s="61">
        <f>C13+Table1[[#This Row],[Jan_Int]]</f>
        <v>1002.5208333333333</v>
      </c>
      <c r="E54" s="61">
        <f t="shared" si="32"/>
        <v>1007.5752092013887</v>
      </c>
      <c r="F54" s="61">
        <f>D13+Table1[[#This Row],[Feb_Int]]</f>
        <v>1507.5752092013886</v>
      </c>
      <c r="G54" s="61">
        <f t="shared" si="33"/>
        <v>1515.1759008811123</v>
      </c>
      <c r="H54" s="61">
        <f>E13+Table1[[#This Row],[Mar_Int]]</f>
        <v>2015.1759008811123</v>
      </c>
      <c r="I54" s="61">
        <f t="shared" si="34"/>
        <v>2025.3357460480545</v>
      </c>
      <c r="J54" s="61">
        <f>F13+Table1[[#This Row],[Apr_Int]]</f>
        <v>2525.3357460480547</v>
      </c>
      <c r="K54" s="61">
        <f t="shared" si="35"/>
        <v>2538.4885363920548</v>
      </c>
      <c r="L54" s="61">
        <f>G13+Table1[[#This Row],[May_Int]]</f>
        <v>3038.4885363920548</v>
      </c>
      <c r="M54" s="61">
        <f t="shared" si="36"/>
        <v>3054.3139975190966</v>
      </c>
      <c r="N54" s="61">
        <f>H13+Table1[[#This Row],[Jun_Int]]</f>
        <v>4054.3139975190966</v>
      </c>
      <c r="O54" s="61">
        <f t="shared" si="37"/>
        <v>4076.9505840052448</v>
      </c>
      <c r="P54" s="61">
        <f>I13+Table1[[#This Row],[Jul_Int]]</f>
        <v>5076.9505840052443</v>
      </c>
      <c r="Q54" s="61">
        <f t="shared" si="38"/>
        <v>5105.2968914326066</v>
      </c>
      <c r="R54" s="61">
        <f>J13+Table1[[#This Row],[Aug_Int]]</f>
        <v>6105.2968914326066</v>
      </c>
      <c r="S54" s="61">
        <f t="shared" si="39"/>
        <v>6139.384799076438</v>
      </c>
      <c r="T54" s="61">
        <f>K13+Table1[[#This Row],[Sep_Int]]</f>
        <v>7139.384799076438</v>
      </c>
      <c r="U54" s="61">
        <f t="shared" si="40"/>
        <v>7179.2463642046141</v>
      </c>
      <c r="V54" s="61">
        <f>L13+Table1[[#This Row],[Oct_Int]]</f>
        <v>8179.2463642046141</v>
      </c>
      <c r="W54" s="61">
        <f t="shared" si="41"/>
        <v>8224.9138230714234</v>
      </c>
      <c r="X54" s="61">
        <f>M13+Table1[[#This Row],[Nov_Int]]</f>
        <v>9224.9138230714234</v>
      </c>
      <c r="Y54" s="61">
        <f t="shared" si="42"/>
        <v>9276.4195919169051</v>
      </c>
      <c r="Z54" s="1"/>
    </row>
    <row r="55" spans="1:26" ht="15.6" thickTop="1" thickBot="1">
      <c r="A55" s="68" t="s">
        <v>54</v>
      </c>
      <c r="B55" s="69">
        <f>SUM(B47:B54)</f>
        <v>4000</v>
      </c>
      <c r="C55" s="69">
        <f t="shared" ref="C55:Y55" si="43">SUM(C47:C54)</f>
        <v>4020.166666666667</v>
      </c>
      <c r="D55" s="69">
        <f t="shared" si="43"/>
        <v>8020.1666666666652</v>
      </c>
      <c r="E55" s="69">
        <f t="shared" si="43"/>
        <v>8060.6016736111105</v>
      </c>
      <c r="F55" s="69">
        <f t="shared" si="43"/>
        <v>12060.601673611107</v>
      </c>
      <c r="G55" s="69">
        <f t="shared" si="43"/>
        <v>12121.407207048898</v>
      </c>
      <c r="H55" s="69">
        <f t="shared" si="43"/>
        <v>16121.407207048902</v>
      </c>
      <c r="I55" s="69">
        <f t="shared" si="43"/>
        <v>16202.685968384436</v>
      </c>
      <c r="J55" s="69">
        <f t="shared" si="43"/>
        <v>20202.685968384438</v>
      </c>
      <c r="K55" s="69">
        <f t="shared" si="43"/>
        <v>20307.908291136438</v>
      </c>
      <c r="L55" s="69">
        <f t="shared" si="43"/>
        <v>24307.908291136438</v>
      </c>
      <c r="M55" s="69">
        <f t="shared" si="43"/>
        <v>24434.511980152773</v>
      </c>
      <c r="N55" s="69">
        <f t="shared" si="43"/>
        <v>32434.511980152773</v>
      </c>
      <c r="O55" s="69">
        <f t="shared" si="43"/>
        <v>32615.604672041958</v>
      </c>
      <c r="P55" s="69">
        <f t="shared" si="43"/>
        <v>40615.604672041954</v>
      </c>
      <c r="Q55" s="69">
        <f t="shared" si="43"/>
        <v>40842.375131460845</v>
      </c>
      <c r="R55" s="69">
        <f t="shared" si="43"/>
        <v>48842.375131460845</v>
      </c>
      <c r="S55" s="69">
        <f t="shared" si="43"/>
        <v>49115.078392611511</v>
      </c>
      <c r="T55" s="69">
        <f t="shared" si="43"/>
        <v>57115.078392611511</v>
      </c>
      <c r="U55" s="69">
        <f t="shared" si="43"/>
        <v>57433.970913636913</v>
      </c>
      <c r="V55" s="69">
        <f t="shared" si="43"/>
        <v>65433.970913636913</v>
      </c>
      <c r="W55" s="69">
        <f t="shared" si="43"/>
        <v>65799.310584571387</v>
      </c>
      <c r="X55" s="69">
        <f t="shared" si="43"/>
        <v>73799.310584571387</v>
      </c>
      <c r="Y55" s="72">
        <f t="shared" si="43"/>
        <v>74211.356735335241</v>
      </c>
      <c r="Z55" s="1"/>
    </row>
    <row r="56" spans="1:26" ht="15" thickTop="1"/>
  </sheetData>
  <mergeCells count="5">
    <mergeCell ref="V3:W3"/>
    <mergeCell ref="A1:I3"/>
    <mergeCell ref="S3:T3"/>
    <mergeCell ref="P3:Q3"/>
    <mergeCell ref="A16:F19"/>
  </mergeCells>
  <phoneticPr fontId="2" type="noConversion"/>
  <conditionalFormatting sqref="B6:M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135A-AC56-4119-8DB7-CF0E5F0E6035}">
  <sheetPr>
    <tabColor rgb="FF92D050"/>
  </sheetPr>
  <dimension ref="A1:Z29"/>
  <sheetViews>
    <sheetView workbookViewId="0">
      <selection activeCell="H15" sqref="H15"/>
    </sheetView>
  </sheetViews>
  <sheetFormatPr defaultRowHeight="14.4"/>
  <cols>
    <col min="1" max="1" width="11.6640625" bestFit="1" customWidth="1"/>
    <col min="2" max="2" width="12.44140625" bestFit="1" customWidth="1"/>
    <col min="3" max="7" width="11.44140625" bestFit="1" customWidth="1"/>
    <col min="8" max="13" width="12.44140625" bestFit="1" customWidth="1"/>
    <col min="14" max="20" width="11.44140625" bestFit="1" customWidth="1"/>
    <col min="21" max="21" width="11.33203125" customWidth="1"/>
    <col min="22" max="24" width="11.44140625" bestFit="1" customWidth="1"/>
    <col min="25" max="25" width="12.44140625" bestFit="1" customWidth="1"/>
    <col min="26" max="26" width="10.44140625" bestFit="1" customWidth="1"/>
  </cols>
  <sheetData>
    <row r="1" spans="1:17">
      <c r="A1" s="274" t="s">
        <v>41</v>
      </c>
      <c r="B1" s="275"/>
      <c r="C1" s="275"/>
      <c r="D1" s="275"/>
      <c r="E1" s="275"/>
      <c r="F1" s="275"/>
      <c r="G1" s="275"/>
      <c r="H1" s="275"/>
      <c r="I1" s="276"/>
    </row>
    <row r="2" spans="1:17" ht="15" thickBot="1">
      <c r="A2" s="277"/>
      <c r="B2" s="278"/>
      <c r="C2" s="278"/>
      <c r="D2" s="278"/>
      <c r="E2" s="278"/>
      <c r="F2" s="278"/>
      <c r="G2" s="278"/>
      <c r="H2" s="278"/>
      <c r="I2" s="279"/>
    </row>
    <row r="3" spans="1:17" ht="15" thickBot="1">
      <c r="A3" s="280"/>
      <c r="B3" s="281"/>
      <c r="C3" s="281"/>
      <c r="D3" s="281"/>
      <c r="E3" s="281"/>
      <c r="F3" s="281"/>
      <c r="G3" s="281"/>
      <c r="H3" s="281"/>
      <c r="I3" s="282"/>
      <c r="P3" s="283" t="s">
        <v>42</v>
      </c>
      <c r="Q3" s="255"/>
    </row>
    <row r="4" spans="1:17" ht="15" thickBot="1">
      <c r="P4" s="2" t="s">
        <v>1</v>
      </c>
      <c r="Q4" s="51">
        <v>6.8000000000000005E-2</v>
      </c>
    </row>
    <row r="5" spans="1:17" ht="15" thickBot="1">
      <c r="B5" s="17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5" t="s">
        <v>12</v>
      </c>
      <c r="P5" s="5" t="s">
        <v>2</v>
      </c>
      <c r="Q5" s="52">
        <v>6.8000000000000005E-2</v>
      </c>
    </row>
    <row r="6" spans="1:17">
      <c r="A6" s="26" t="s">
        <v>45</v>
      </c>
      <c r="B6" s="10">
        <v>1000</v>
      </c>
      <c r="C6" s="3">
        <v>1000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4">
        <v>1000</v>
      </c>
      <c r="N6" s="13">
        <f>SUM(B6:M6)</f>
        <v>12000</v>
      </c>
      <c r="P6" s="5" t="s">
        <v>3</v>
      </c>
      <c r="Q6" s="52">
        <v>6.8000000000000005E-2</v>
      </c>
    </row>
    <row r="7" spans="1:17">
      <c r="A7" s="27" t="s">
        <v>47</v>
      </c>
      <c r="B7" s="11">
        <v>1000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6">
        <v>1000</v>
      </c>
      <c r="N7" s="14">
        <f t="shared" ref="N7:N13" si="0">SUM(B7:M7)</f>
        <v>12000</v>
      </c>
      <c r="P7" s="5" t="s">
        <v>4</v>
      </c>
      <c r="Q7" s="52">
        <v>6.8000000000000005E-2</v>
      </c>
    </row>
    <row r="8" spans="1:17">
      <c r="A8" s="27" t="s">
        <v>48</v>
      </c>
      <c r="B8" s="11">
        <v>1000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6">
        <v>1000</v>
      </c>
      <c r="N8" s="14">
        <f t="shared" si="0"/>
        <v>12000</v>
      </c>
      <c r="P8" s="5" t="s">
        <v>5</v>
      </c>
      <c r="Q8" s="52">
        <v>6.8000000000000005E-2</v>
      </c>
    </row>
    <row r="9" spans="1:17">
      <c r="A9" s="27" t="s">
        <v>50</v>
      </c>
      <c r="B9" s="1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6">
        <v>1000</v>
      </c>
      <c r="N9" s="14">
        <f t="shared" si="0"/>
        <v>12000</v>
      </c>
      <c r="P9" s="5" t="s">
        <v>6</v>
      </c>
      <c r="Q9" s="52">
        <v>6.8000000000000005E-2</v>
      </c>
    </row>
    <row r="10" spans="1:17">
      <c r="A10" s="27" t="s">
        <v>51</v>
      </c>
      <c r="B10" s="11">
        <v>1000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6">
        <v>1000</v>
      </c>
      <c r="N10" s="14">
        <f t="shared" si="0"/>
        <v>12000</v>
      </c>
      <c r="P10" s="5" t="s">
        <v>7</v>
      </c>
      <c r="Q10" s="52">
        <v>6.8000000000000005E-2</v>
      </c>
    </row>
    <row r="11" spans="1:17">
      <c r="A11" s="27" t="s">
        <v>52</v>
      </c>
      <c r="B11" s="1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6">
        <v>1000</v>
      </c>
      <c r="N11" s="14">
        <f t="shared" si="0"/>
        <v>12000</v>
      </c>
      <c r="P11" s="5" t="s">
        <v>8</v>
      </c>
      <c r="Q11" s="52">
        <v>6.8000000000000005E-2</v>
      </c>
    </row>
    <row r="12" spans="1:17">
      <c r="A12" s="27" t="s">
        <v>23</v>
      </c>
      <c r="B12" s="11">
        <v>1000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6">
        <v>1000</v>
      </c>
      <c r="N12" s="14">
        <f t="shared" si="0"/>
        <v>12000</v>
      </c>
      <c r="P12" s="5" t="s">
        <v>9</v>
      </c>
      <c r="Q12" s="52">
        <v>6.8000000000000005E-2</v>
      </c>
    </row>
    <row r="13" spans="1:17" ht="15" thickBot="1">
      <c r="A13" s="28" t="s">
        <v>53</v>
      </c>
      <c r="B13" s="12">
        <v>1000</v>
      </c>
      <c r="C13" s="8">
        <v>1000</v>
      </c>
      <c r="D13" s="8">
        <v>1000</v>
      </c>
      <c r="E13" s="8">
        <v>1000</v>
      </c>
      <c r="F13" s="8">
        <v>1000</v>
      </c>
      <c r="G13" s="8">
        <v>1000</v>
      </c>
      <c r="H13" s="8">
        <v>1000</v>
      </c>
      <c r="I13" s="8">
        <v>1000</v>
      </c>
      <c r="J13" s="8">
        <v>1000</v>
      </c>
      <c r="K13" s="8">
        <v>1000</v>
      </c>
      <c r="L13" s="8">
        <v>1000</v>
      </c>
      <c r="M13" s="9">
        <v>1000</v>
      </c>
      <c r="N13" s="15">
        <f t="shared" si="0"/>
        <v>12000</v>
      </c>
      <c r="P13" s="5" t="s">
        <v>10</v>
      </c>
      <c r="Q13" s="52">
        <v>6.8000000000000005E-2</v>
      </c>
    </row>
    <row r="14" spans="1:17" ht="15" thickBot="1">
      <c r="A14" s="17" t="s">
        <v>54</v>
      </c>
      <c r="B14" s="18">
        <f>SUM(B6:B13)</f>
        <v>8000</v>
      </c>
      <c r="C14" s="19">
        <f t="shared" ref="C14:M14" si="1">SUM(C6:C13)</f>
        <v>8000</v>
      </c>
      <c r="D14" s="19">
        <f t="shared" si="1"/>
        <v>8000</v>
      </c>
      <c r="E14" s="19">
        <f t="shared" si="1"/>
        <v>8000</v>
      </c>
      <c r="F14" s="19">
        <f t="shared" si="1"/>
        <v>8000</v>
      </c>
      <c r="G14" s="19">
        <f t="shared" si="1"/>
        <v>8000</v>
      </c>
      <c r="H14" s="19">
        <f t="shared" si="1"/>
        <v>8000</v>
      </c>
      <c r="I14" s="19">
        <f t="shared" si="1"/>
        <v>8000</v>
      </c>
      <c r="J14" s="19">
        <f t="shared" si="1"/>
        <v>8000</v>
      </c>
      <c r="K14" s="19">
        <f t="shared" si="1"/>
        <v>8000</v>
      </c>
      <c r="L14" s="19">
        <f t="shared" si="1"/>
        <v>8000</v>
      </c>
      <c r="M14" s="20">
        <f t="shared" si="1"/>
        <v>8000</v>
      </c>
      <c r="N14" s="16">
        <f>SUM(N6:N13)</f>
        <v>96000</v>
      </c>
      <c r="P14" s="5" t="s">
        <v>11</v>
      </c>
      <c r="Q14" s="52">
        <v>6.8000000000000005E-2</v>
      </c>
    </row>
    <row r="15" spans="1:17" ht="15" thickBot="1">
      <c r="N15" s="1"/>
      <c r="P15" s="7" t="s">
        <v>12</v>
      </c>
      <c r="Q15" s="53">
        <v>6.8000000000000005E-2</v>
      </c>
    </row>
    <row r="17" spans="1:26">
      <c r="A17" t="s">
        <v>108</v>
      </c>
      <c r="B17" t="s">
        <v>1</v>
      </c>
      <c r="C17" t="s">
        <v>57</v>
      </c>
      <c r="D17" t="s">
        <v>2</v>
      </c>
      <c r="E17" t="s">
        <v>58</v>
      </c>
      <c r="F17" t="s">
        <v>3</v>
      </c>
      <c r="G17" t="s">
        <v>59</v>
      </c>
      <c r="H17" t="s">
        <v>4</v>
      </c>
      <c r="I17" t="s">
        <v>60</v>
      </c>
      <c r="J17" t="s">
        <v>5</v>
      </c>
      <c r="K17" t="s">
        <v>61</v>
      </c>
      <c r="L17" t="s">
        <v>6</v>
      </c>
      <c r="M17" t="s">
        <v>62</v>
      </c>
      <c r="N17" t="s">
        <v>7</v>
      </c>
      <c r="O17" t="s">
        <v>63</v>
      </c>
      <c r="P17" t="s">
        <v>8</v>
      </c>
      <c r="Q17" t="s">
        <v>64</v>
      </c>
      <c r="R17" t="s">
        <v>9</v>
      </c>
      <c r="S17" t="s">
        <v>65</v>
      </c>
      <c r="T17" t="s">
        <v>10</v>
      </c>
      <c r="U17" t="s">
        <v>66</v>
      </c>
      <c r="V17" t="s">
        <v>11</v>
      </c>
      <c r="W17" t="s">
        <v>67</v>
      </c>
      <c r="X17" t="s">
        <v>12</v>
      </c>
      <c r="Y17" t="s">
        <v>68</v>
      </c>
    </row>
    <row r="18" spans="1:26">
      <c r="A18" t="s">
        <v>45</v>
      </c>
      <c r="B18" s="1">
        <f>B6+'2023 Projections'!Y47</f>
        <v>10276.419591916905</v>
      </c>
      <c r="C18" s="1">
        <f t="shared" ref="C18:C25" si="2">B18*(1+$Q$4/12)</f>
        <v>10334.652636271101</v>
      </c>
      <c r="D18" s="1">
        <f>C6+MAX(Table14[[#This Row],[Jan]:[Jan_Int]])</f>
        <v>11334.652636271101</v>
      </c>
      <c r="E18" s="1">
        <f t="shared" ref="E18:E25" si="3">D18*(1+$Q$5/12)</f>
        <v>11398.882334543305</v>
      </c>
      <c r="F18" s="1">
        <f>D6+MAX(Table14[[#This Row],[Jan]:[Feb_Int]])</f>
        <v>12398.882334543305</v>
      </c>
      <c r="G18" s="1">
        <f t="shared" ref="G18:G25" si="4">F18*(1+$Q$6/12)</f>
        <v>12469.142667772385</v>
      </c>
      <c r="H18" s="1">
        <f>E6+MAX(Table14[[#This Row],[Jan]:[Mar_Int]])</f>
        <v>13469.142667772385</v>
      </c>
      <c r="I18" s="1">
        <f t="shared" ref="I18:I25" si="5">H18*(1+$Q$7/12)</f>
        <v>13545.467809556429</v>
      </c>
      <c r="J18" s="1">
        <f>F6+MAX(Table14[[#This Row],[Jan]:[Apr_Int]])</f>
        <v>14545.467809556429</v>
      </c>
      <c r="K18" s="1">
        <f t="shared" ref="K18:K25" si="6">J18*(1+$Q$8/12)</f>
        <v>14627.892127143916</v>
      </c>
      <c r="L18" s="1">
        <f>G6+MAX(Table14[[#This Row],[Jan]:[May_Int]])</f>
        <v>15627.892127143916</v>
      </c>
      <c r="M18" s="1">
        <f t="shared" ref="M18:M25" si="7">L18*(1+$Q$9/12)</f>
        <v>15716.450182531065</v>
      </c>
      <c r="N18" s="1">
        <f>H6+MAX(Table14[[#This Row],[Jan]:[Jun_Int]])</f>
        <v>16716.450182531065</v>
      </c>
      <c r="O18" s="1">
        <f t="shared" ref="O18:O25" si="8">N18*(1+$Q$10/12)</f>
        <v>16811.176733565408</v>
      </c>
      <c r="P18" s="1">
        <f>I6+MAX(Table14[[#This Row],[Jan]:[Jul_Int]])</f>
        <v>17811.176733565408</v>
      </c>
      <c r="Q18" s="1">
        <f t="shared" ref="Q18:Q25" si="9">P18*(1+$Q$11/12)</f>
        <v>17912.106735055611</v>
      </c>
      <c r="R18" s="1">
        <f>J6+MAX(Table14[[#This Row],[Jan]:[Aug_Int]])</f>
        <v>18912.106735055611</v>
      </c>
      <c r="S18" s="1">
        <f t="shared" ref="S18:S25" si="10">R18*(1+$Q$12/12)</f>
        <v>19019.275339887594</v>
      </c>
      <c r="T18" s="1">
        <f>K6+MAX(Table14[[#This Row],[Jan]:[Sep_Int]])</f>
        <v>20019.275339887594</v>
      </c>
      <c r="U18" s="1">
        <f t="shared" ref="U18:U25" si="11">T18*(1+$Q$13/12)</f>
        <v>20132.717900146959</v>
      </c>
      <c r="V18" s="1">
        <f>L6+MAX(Table14[[#This Row],[Jan]:[Oct_Int]])</f>
        <v>21132.717900146959</v>
      </c>
      <c r="W18" s="1">
        <f t="shared" ref="W18:W25" si="12">V18*(1+$Q$14/12)</f>
        <v>21252.469968247795</v>
      </c>
      <c r="X18" s="1">
        <f>M6+MAX(Table14[[#This Row],[Jan]:[Nov_Int]])</f>
        <v>22252.469968247795</v>
      </c>
      <c r="Y18" s="1">
        <f t="shared" ref="Y18:Y25" si="13">X18*(1+$Q$15/12)</f>
        <v>22378.567298067868</v>
      </c>
      <c r="Z18" s="1"/>
    </row>
    <row r="19" spans="1:26">
      <c r="A19" t="s">
        <v>47</v>
      </c>
      <c r="B19" s="1">
        <f>B7+'2023 Projections'!Y48</f>
        <v>10276.419591916905</v>
      </c>
      <c r="C19" s="1">
        <f t="shared" si="2"/>
        <v>10334.652636271101</v>
      </c>
      <c r="D19" s="1">
        <f>C7+MAX(Table14[[#This Row],[Jan]:[Jan_Int]])</f>
        <v>11334.652636271101</v>
      </c>
      <c r="E19" s="1">
        <f>D19*(1+$Q$5/12)</f>
        <v>11398.882334543305</v>
      </c>
      <c r="F19" s="1">
        <f>D7+MAX(Table14[[#This Row],[Jan]:[Feb_Int]])</f>
        <v>12398.882334543305</v>
      </c>
      <c r="G19" s="1">
        <f t="shared" si="4"/>
        <v>12469.142667772385</v>
      </c>
      <c r="H19" s="1">
        <f>E7+MAX(Table14[[#This Row],[Jan]:[Mar_Int]])</f>
        <v>13469.142667772385</v>
      </c>
      <c r="I19" s="1">
        <f t="shared" si="5"/>
        <v>13545.467809556429</v>
      </c>
      <c r="J19" s="1">
        <f>F7+MAX(Table14[[#This Row],[Jan]:[Apr_Int]])</f>
        <v>14545.467809556429</v>
      </c>
      <c r="K19" s="1">
        <f t="shared" si="6"/>
        <v>14627.892127143916</v>
      </c>
      <c r="L19" s="1">
        <f>G7+MAX(Table14[[#This Row],[Jan]:[May_Int]])</f>
        <v>15627.892127143916</v>
      </c>
      <c r="M19" s="1">
        <f t="shared" si="7"/>
        <v>15716.450182531065</v>
      </c>
      <c r="N19" s="1">
        <f>H7+MAX(Table14[[#This Row],[Jan]:[Jun_Int]])</f>
        <v>16716.450182531065</v>
      </c>
      <c r="O19" s="1">
        <f t="shared" si="8"/>
        <v>16811.176733565408</v>
      </c>
      <c r="P19" s="1">
        <f>I7+MAX(Table14[[#This Row],[Jan]:[Jul_Int]])</f>
        <v>17811.176733565408</v>
      </c>
      <c r="Q19" s="1">
        <f t="shared" si="9"/>
        <v>17912.106735055611</v>
      </c>
      <c r="R19" s="1">
        <f>J7+MAX(Table14[[#This Row],[Jan]:[Aug_Int]])</f>
        <v>18912.106735055611</v>
      </c>
      <c r="S19" s="1">
        <f t="shared" si="10"/>
        <v>19019.275339887594</v>
      </c>
      <c r="T19" s="1">
        <f>K7+MAX(Table14[[#This Row],[Jan]:[Sep_Int]])</f>
        <v>20019.275339887594</v>
      </c>
      <c r="U19" s="1">
        <f t="shared" si="11"/>
        <v>20132.717900146959</v>
      </c>
      <c r="V19" s="1">
        <f>L7+MAX(Table14[[#This Row],[Jan]:[Oct_Int]])</f>
        <v>21132.717900146959</v>
      </c>
      <c r="W19" s="1">
        <f t="shared" si="12"/>
        <v>21252.469968247795</v>
      </c>
      <c r="X19" s="1">
        <f>M7+MAX(Table14[[#This Row],[Jan]:[Nov_Int]])</f>
        <v>22252.469968247795</v>
      </c>
      <c r="Y19" s="1">
        <f t="shared" si="13"/>
        <v>22378.567298067868</v>
      </c>
      <c r="Z19" s="1"/>
    </row>
    <row r="20" spans="1:26">
      <c r="A20" t="s">
        <v>48</v>
      </c>
      <c r="B20" s="1">
        <f>B8+'2023 Projections'!Y49</f>
        <v>10276.419591916905</v>
      </c>
      <c r="C20" s="1">
        <f t="shared" si="2"/>
        <v>10334.652636271101</v>
      </c>
      <c r="D20" s="1">
        <f>C8+MAX(Table14[[#This Row],[Jan]:[Jan_Int]])</f>
        <v>11334.652636271101</v>
      </c>
      <c r="E20" s="1">
        <f t="shared" si="3"/>
        <v>11398.882334543305</v>
      </c>
      <c r="F20" s="1">
        <f>D8+MAX(Table14[[#This Row],[Jan]:[Feb_Int]])</f>
        <v>12398.882334543305</v>
      </c>
      <c r="G20" s="1">
        <f t="shared" si="4"/>
        <v>12469.142667772385</v>
      </c>
      <c r="H20" s="1">
        <f>E8+MAX(Table14[[#This Row],[Jan]:[Mar_Int]])</f>
        <v>13469.142667772385</v>
      </c>
      <c r="I20" s="1">
        <f t="shared" si="5"/>
        <v>13545.467809556429</v>
      </c>
      <c r="J20" s="1">
        <f>F8+MAX(Table14[[#This Row],[Jan]:[Apr_Int]])</f>
        <v>14545.467809556429</v>
      </c>
      <c r="K20" s="1">
        <f t="shared" si="6"/>
        <v>14627.892127143916</v>
      </c>
      <c r="L20" s="1">
        <f>G8+MAX(Table14[[#This Row],[Jan]:[May_Int]])</f>
        <v>15627.892127143916</v>
      </c>
      <c r="M20" s="1">
        <f t="shared" si="7"/>
        <v>15716.450182531065</v>
      </c>
      <c r="N20" s="1">
        <f>H8+MAX(Table14[[#This Row],[Jan]:[Jun_Int]])</f>
        <v>16716.450182531065</v>
      </c>
      <c r="O20" s="1">
        <f t="shared" si="8"/>
        <v>16811.176733565408</v>
      </c>
      <c r="P20" s="1">
        <f>I8+MAX(Table14[[#This Row],[Jan]:[Jul_Int]])</f>
        <v>17811.176733565408</v>
      </c>
      <c r="Q20" s="1">
        <f t="shared" si="9"/>
        <v>17912.106735055611</v>
      </c>
      <c r="R20" s="1">
        <f>J8+MAX(Table14[[#This Row],[Jan]:[Aug_Int]])</f>
        <v>18912.106735055611</v>
      </c>
      <c r="S20" s="1">
        <f t="shared" si="10"/>
        <v>19019.275339887594</v>
      </c>
      <c r="T20" s="1">
        <f>K8+MAX(Table14[[#This Row],[Jan]:[Sep_Int]])</f>
        <v>20019.275339887594</v>
      </c>
      <c r="U20" s="1">
        <f t="shared" si="11"/>
        <v>20132.717900146959</v>
      </c>
      <c r="V20" s="1">
        <f>L8+MAX(Table14[[#This Row],[Jan]:[Oct_Int]])</f>
        <v>21132.717900146959</v>
      </c>
      <c r="W20" s="1">
        <f t="shared" si="12"/>
        <v>21252.469968247795</v>
      </c>
      <c r="X20" s="1">
        <f>M8+MAX(Table14[[#This Row],[Jan]:[Nov_Int]])</f>
        <v>22252.469968247795</v>
      </c>
      <c r="Y20" s="1">
        <f t="shared" si="13"/>
        <v>22378.567298067868</v>
      </c>
      <c r="Z20" s="1"/>
    </row>
    <row r="21" spans="1:26">
      <c r="A21" t="s">
        <v>50</v>
      </c>
      <c r="B21" s="1">
        <f>B9+'2023 Projections'!Y50</f>
        <v>10276.419591916905</v>
      </c>
      <c r="C21" s="1">
        <f t="shared" si="2"/>
        <v>10334.652636271101</v>
      </c>
      <c r="D21" s="1">
        <f>C9+MAX(Table14[[#This Row],[Jan]:[Jan_Int]])</f>
        <v>11334.652636271101</v>
      </c>
      <c r="E21" s="1">
        <f t="shared" si="3"/>
        <v>11398.882334543305</v>
      </c>
      <c r="F21" s="1">
        <f>D9+MAX(Table14[[#This Row],[Jan]:[Feb_Int]])</f>
        <v>12398.882334543305</v>
      </c>
      <c r="G21" s="1">
        <f t="shared" si="4"/>
        <v>12469.142667772385</v>
      </c>
      <c r="H21" s="1">
        <f>E9+MAX(Table14[[#This Row],[Jan]:[Mar_Int]])</f>
        <v>13469.142667772385</v>
      </c>
      <c r="I21" s="1">
        <f t="shared" si="5"/>
        <v>13545.467809556429</v>
      </c>
      <c r="J21" s="1">
        <f>F9+MAX(Table14[[#This Row],[Jan]:[Apr_Int]])</f>
        <v>14545.467809556429</v>
      </c>
      <c r="K21" s="1">
        <f t="shared" si="6"/>
        <v>14627.892127143916</v>
      </c>
      <c r="L21" s="1">
        <f>G9+MAX(Table14[[#This Row],[Jan]:[May_Int]])</f>
        <v>15627.892127143916</v>
      </c>
      <c r="M21" s="1">
        <f t="shared" si="7"/>
        <v>15716.450182531065</v>
      </c>
      <c r="N21" s="1">
        <f>H9+MAX(Table14[[#This Row],[Jan]:[Jun_Int]])</f>
        <v>16716.450182531065</v>
      </c>
      <c r="O21" s="1">
        <f t="shared" si="8"/>
        <v>16811.176733565408</v>
      </c>
      <c r="P21" s="1">
        <f>I9+MAX(Table14[[#This Row],[Jan]:[Jul_Int]])</f>
        <v>17811.176733565408</v>
      </c>
      <c r="Q21" s="1">
        <f t="shared" si="9"/>
        <v>17912.106735055611</v>
      </c>
      <c r="R21" s="1">
        <f>J9+MAX(Table14[[#This Row],[Jan]:[Aug_Int]])</f>
        <v>18912.106735055611</v>
      </c>
      <c r="S21" s="1">
        <f t="shared" si="10"/>
        <v>19019.275339887594</v>
      </c>
      <c r="T21" s="1">
        <f>K9+MAX(Table14[[#This Row],[Jan]:[Sep_Int]])</f>
        <v>20019.275339887594</v>
      </c>
      <c r="U21" s="1">
        <f t="shared" si="11"/>
        <v>20132.717900146959</v>
      </c>
      <c r="V21" s="1">
        <f>L9+MAX(Table14[[#This Row],[Jan]:[Oct_Int]])</f>
        <v>21132.717900146959</v>
      </c>
      <c r="W21" s="1">
        <f t="shared" si="12"/>
        <v>21252.469968247795</v>
      </c>
      <c r="X21" s="1">
        <f>M9+MAX(Table14[[#This Row],[Jan]:[Nov_Int]])</f>
        <v>22252.469968247795</v>
      </c>
      <c r="Y21" s="1">
        <f t="shared" si="13"/>
        <v>22378.567298067868</v>
      </c>
      <c r="Z21" s="1"/>
    </row>
    <row r="22" spans="1:26">
      <c r="A22" t="s">
        <v>51</v>
      </c>
      <c r="B22" s="1">
        <f>B10+'2023 Projections'!Y51</f>
        <v>10276.419591916905</v>
      </c>
      <c r="C22" s="1">
        <f t="shared" si="2"/>
        <v>10334.652636271101</v>
      </c>
      <c r="D22" s="1">
        <f>C10+MAX(Table14[[#This Row],[Jan]:[Jan_Int]])</f>
        <v>11334.652636271101</v>
      </c>
      <c r="E22" s="1">
        <f t="shared" si="3"/>
        <v>11398.882334543305</v>
      </c>
      <c r="F22" s="1">
        <f>D10+MAX(Table14[[#This Row],[Jan]:[Feb_Int]])</f>
        <v>12398.882334543305</v>
      </c>
      <c r="G22" s="1">
        <f t="shared" si="4"/>
        <v>12469.142667772385</v>
      </c>
      <c r="H22" s="1">
        <f>E10+MAX(Table14[[#This Row],[Jan]:[Mar_Int]])</f>
        <v>13469.142667772385</v>
      </c>
      <c r="I22" s="1">
        <f t="shared" si="5"/>
        <v>13545.467809556429</v>
      </c>
      <c r="J22" s="1">
        <f>F10+MAX(Table14[[#This Row],[Jan]:[Apr_Int]])</f>
        <v>14545.467809556429</v>
      </c>
      <c r="K22" s="1">
        <f t="shared" si="6"/>
        <v>14627.892127143916</v>
      </c>
      <c r="L22" s="1">
        <f>G10+MAX(Table14[[#This Row],[Jan]:[May_Int]])</f>
        <v>15627.892127143916</v>
      </c>
      <c r="M22" s="1">
        <f t="shared" si="7"/>
        <v>15716.450182531065</v>
      </c>
      <c r="N22" s="1">
        <f>H10+MAX(Table14[[#This Row],[Jan]:[Jun_Int]])</f>
        <v>16716.450182531065</v>
      </c>
      <c r="O22" s="1">
        <f t="shared" si="8"/>
        <v>16811.176733565408</v>
      </c>
      <c r="P22" s="1">
        <f>I10+MAX(Table14[[#This Row],[Jan]:[Jul_Int]])</f>
        <v>17811.176733565408</v>
      </c>
      <c r="Q22" s="1">
        <f t="shared" si="9"/>
        <v>17912.106735055611</v>
      </c>
      <c r="R22" s="1">
        <f>J10+MAX(Table14[[#This Row],[Jan]:[Aug_Int]])</f>
        <v>18912.106735055611</v>
      </c>
      <c r="S22" s="1">
        <f t="shared" si="10"/>
        <v>19019.275339887594</v>
      </c>
      <c r="T22" s="1">
        <f>K10+MAX(Table14[[#This Row],[Jan]:[Sep_Int]])</f>
        <v>20019.275339887594</v>
      </c>
      <c r="U22" s="1">
        <f t="shared" si="11"/>
        <v>20132.717900146959</v>
      </c>
      <c r="V22" s="1">
        <f>L10+MAX(Table14[[#This Row],[Jan]:[Oct_Int]])</f>
        <v>21132.717900146959</v>
      </c>
      <c r="W22" s="1">
        <f t="shared" si="12"/>
        <v>21252.469968247795</v>
      </c>
      <c r="X22" s="1">
        <f>M10+MAX(Table14[[#This Row],[Jan]:[Nov_Int]])</f>
        <v>22252.469968247795</v>
      </c>
      <c r="Y22" s="1">
        <f t="shared" si="13"/>
        <v>22378.567298067868</v>
      </c>
      <c r="Z22" s="1"/>
    </row>
    <row r="23" spans="1:26">
      <c r="A23" t="s">
        <v>52</v>
      </c>
      <c r="B23" s="1">
        <f>B11+'2023 Projections'!Y52</f>
        <v>10276.419591916905</v>
      </c>
      <c r="C23" s="1">
        <f t="shared" si="2"/>
        <v>10334.652636271101</v>
      </c>
      <c r="D23" s="1">
        <f>C11+MAX(Table14[[#This Row],[Jan]:[Jan_Int]])</f>
        <v>11334.652636271101</v>
      </c>
      <c r="E23" s="1">
        <f t="shared" si="3"/>
        <v>11398.882334543305</v>
      </c>
      <c r="F23" s="1">
        <f>D11+MAX(Table14[[#This Row],[Jan]:[Feb_Int]])</f>
        <v>12398.882334543305</v>
      </c>
      <c r="G23" s="1">
        <f t="shared" si="4"/>
        <v>12469.142667772385</v>
      </c>
      <c r="H23" s="1">
        <f>E11+MAX(Table14[[#This Row],[Jan]:[Mar_Int]])</f>
        <v>13469.142667772385</v>
      </c>
      <c r="I23" s="1">
        <f t="shared" si="5"/>
        <v>13545.467809556429</v>
      </c>
      <c r="J23" s="1">
        <f>F11+MAX(Table14[[#This Row],[Jan]:[Apr_Int]])</f>
        <v>14545.467809556429</v>
      </c>
      <c r="K23" s="1">
        <f t="shared" si="6"/>
        <v>14627.892127143916</v>
      </c>
      <c r="L23" s="1">
        <f>G11+MAX(Table14[[#This Row],[Jan]:[May_Int]])</f>
        <v>15627.892127143916</v>
      </c>
      <c r="M23" s="1">
        <f t="shared" si="7"/>
        <v>15716.450182531065</v>
      </c>
      <c r="N23" s="1">
        <f>H11+MAX(Table14[[#This Row],[Jan]:[Jun_Int]])</f>
        <v>16716.450182531065</v>
      </c>
      <c r="O23" s="1">
        <f t="shared" si="8"/>
        <v>16811.176733565408</v>
      </c>
      <c r="P23" s="1">
        <f>I11+MAX(Table14[[#This Row],[Jan]:[Jul_Int]])</f>
        <v>17811.176733565408</v>
      </c>
      <c r="Q23" s="1">
        <f t="shared" si="9"/>
        <v>17912.106735055611</v>
      </c>
      <c r="R23" s="1">
        <f>J11+MAX(Table14[[#This Row],[Jan]:[Aug_Int]])</f>
        <v>18912.106735055611</v>
      </c>
      <c r="S23" s="1">
        <f t="shared" si="10"/>
        <v>19019.275339887594</v>
      </c>
      <c r="T23" s="1">
        <f>K11+MAX(Table14[[#This Row],[Jan]:[Sep_Int]])</f>
        <v>20019.275339887594</v>
      </c>
      <c r="U23" s="1">
        <f t="shared" si="11"/>
        <v>20132.717900146959</v>
      </c>
      <c r="V23" s="1">
        <f>L11+MAX(Table14[[#This Row],[Jan]:[Oct_Int]])</f>
        <v>21132.717900146959</v>
      </c>
      <c r="W23" s="1">
        <f t="shared" si="12"/>
        <v>21252.469968247795</v>
      </c>
      <c r="X23" s="1">
        <f>M11+MAX(Table14[[#This Row],[Jan]:[Nov_Int]])</f>
        <v>22252.469968247795</v>
      </c>
      <c r="Y23" s="1">
        <f t="shared" si="13"/>
        <v>22378.567298067868</v>
      </c>
      <c r="Z23" s="1"/>
    </row>
    <row r="24" spans="1:26">
      <c r="A24" t="s">
        <v>23</v>
      </c>
      <c r="B24" s="1">
        <f>B12+'2023 Projections'!Y53</f>
        <v>10276.419591916905</v>
      </c>
      <c r="C24" s="1">
        <f t="shared" si="2"/>
        <v>10334.652636271101</v>
      </c>
      <c r="D24" s="1">
        <f>C12+MAX(Table14[[#This Row],[Jan]:[Jan_Int]])</f>
        <v>11334.652636271101</v>
      </c>
      <c r="E24" s="1">
        <f t="shared" si="3"/>
        <v>11398.882334543305</v>
      </c>
      <c r="F24" s="1">
        <f>D12+MAX(Table14[[#This Row],[Jan]:[Feb_Int]])</f>
        <v>12398.882334543305</v>
      </c>
      <c r="G24" s="1">
        <f t="shared" si="4"/>
        <v>12469.142667772385</v>
      </c>
      <c r="H24" s="1">
        <f>E12+MAX(Table14[[#This Row],[Jan]:[Mar_Int]])</f>
        <v>13469.142667772385</v>
      </c>
      <c r="I24" s="1">
        <f t="shared" si="5"/>
        <v>13545.467809556429</v>
      </c>
      <c r="J24" s="1">
        <f>F12+MAX(Table14[[#This Row],[Jan]:[Apr_Int]])</f>
        <v>14545.467809556429</v>
      </c>
      <c r="K24" s="1">
        <f t="shared" si="6"/>
        <v>14627.892127143916</v>
      </c>
      <c r="L24" s="1">
        <f>G12+MAX(Table14[[#This Row],[Jan]:[May_Int]])</f>
        <v>15627.892127143916</v>
      </c>
      <c r="M24" s="1">
        <f t="shared" si="7"/>
        <v>15716.450182531065</v>
      </c>
      <c r="N24" s="1">
        <f>H12+MAX(Table14[[#This Row],[Jan]:[Jun_Int]])</f>
        <v>16716.450182531065</v>
      </c>
      <c r="O24" s="1">
        <f t="shared" si="8"/>
        <v>16811.176733565408</v>
      </c>
      <c r="P24" s="1">
        <f>I12+MAX(Table14[[#This Row],[Jan]:[Jul_Int]])</f>
        <v>17811.176733565408</v>
      </c>
      <c r="Q24" s="1">
        <f t="shared" si="9"/>
        <v>17912.106735055611</v>
      </c>
      <c r="R24" s="1">
        <f>J12+MAX(Table14[[#This Row],[Jan]:[Aug_Int]])</f>
        <v>18912.106735055611</v>
      </c>
      <c r="S24" s="1">
        <f t="shared" si="10"/>
        <v>19019.275339887594</v>
      </c>
      <c r="T24" s="1">
        <f>K12+MAX(Table14[[#This Row],[Jan]:[Sep_Int]])</f>
        <v>20019.275339887594</v>
      </c>
      <c r="U24" s="1">
        <f t="shared" si="11"/>
        <v>20132.717900146959</v>
      </c>
      <c r="V24" s="1">
        <f>L12+MAX(Table14[[#This Row],[Jan]:[Oct_Int]])</f>
        <v>21132.717900146959</v>
      </c>
      <c r="W24" s="1">
        <f t="shared" si="12"/>
        <v>21252.469968247795</v>
      </c>
      <c r="X24" s="1">
        <f>M12+MAX(Table14[[#This Row],[Jan]:[Nov_Int]])</f>
        <v>22252.469968247795</v>
      </c>
      <c r="Y24" s="1">
        <f t="shared" si="13"/>
        <v>22378.567298067868</v>
      </c>
      <c r="Z24" s="1"/>
    </row>
    <row r="25" spans="1:26" ht="15" thickBot="1">
      <c r="A25" s="60" t="s">
        <v>53</v>
      </c>
      <c r="B25" s="61">
        <f>B13+'2023 Projections'!Y54</f>
        <v>10276.419591916905</v>
      </c>
      <c r="C25" s="61">
        <f t="shared" si="2"/>
        <v>10334.652636271101</v>
      </c>
      <c r="D25" s="1">
        <f>C13+MAX(Table14[[#This Row],[Jan]:[Jan_Int]])</f>
        <v>11334.652636271101</v>
      </c>
      <c r="E25" s="61">
        <f t="shared" si="3"/>
        <v>11398.882334543305</v>
      </c>
      <c r="F25" s="1">
        <f>D13+MAX(Table14[[#This Row],[Jan]:[Feb_Int]])</f>
        <v>12398.882334543305</v>
      </c>
      <c r="G25" s="61">
        <f t="shared" si="4"/>
        <v>12469.142667772385</v>
      </c>
      <c r="H25" s="1">
        <f>E13+MAX(Table14[[#This Row],[Jan]:[Mar_Int]])</f>
        <v>13469.142667772385</v>
      </c>
      <c r="I25" s="61">
        <f t="shared" si="5"/>
        <v>13545.467809556429</v>
      </c>
      <c r="J25" s="1">
        <f>F13+MAX(Table14[[#This Row],[Jan]:[Apr_Int]])</f>
        <v>14545.467809556429</v>
      </c>
      <c r="K25" s="61">
        <f t="shared" si="6"/>
        <v>14627.892127143916</v>
      </c>
      <c r="L25" s="1">
        <f>G13+MAX(Table14[[#This Row],[Jan]:[May_Int]])</f>
        <v>15627.892127143916</v>
      </c>
      <c r="M25" s="61">
        <f t="shared" si="7"/>
        <v>15716.450182531065</v>
      </c>
      <c r="N25" s="1">
        <f>H13+MAX(Table14[[#This Row],[Jan]:[Jun_Int]])</f>
        <v>16716.450182531065</v>
      </c>
      <c r="O25" s="61">
        <f t="shared" si="8"/>
        <v>16811.176733565408</v>
      </c>
      <c r="P25" s="1">
        <f>I13+MAX(Table14[[#This Row],[Jan]:[Jul_Int]])</f>
        <v>17811.176733565408</v>
      </c>
      <c r="Q25" s="61">
        <f t="shared" si="9"/>
        <v>17912.106735055611</v>
      </c>
      <c r="R25" s="1">
        <f>J13+MAX(Table14[[#This Row],[Jan]:[Aug_Int]])</f>
        <v>18912.106735055611</v>
      </c>
      <c r="S25" s="61">
        <f t="shared" si="10"/>
        <v>19019.275339887594</v>
      </c>
      <c r="T25" s="1">
        <f>K13+MAX(Table14[[#This Row],[Jan]:[Sep_Int]])</f>
        <v>20019.275339887594</v>
      </c>
      <c r="U25" s="61">
        <f t="shared" si="11"/>
        <v>20132.717900146959</v>
      </c>
      <c r="V25" s="1">
        <f>L13+MAX(Table14[[#This Row],[Jan]:[Oct_Int]])</f>
        <v>21132.717900146959</v>
      </c>
      <c r="W25" s="61">
        <f t="shared" si="12"/>
        <v>21252.469968247795</v>
      </c>
      <c r="X25" s="1">
        <f>M13+MAX(Table14[[#This Row],[Jan]:[Nov_Int]])</f>
        <v>22252.469968247795</v>
      </c>
      <c r="Y25" s="61">
        <f t="shared" si="13"/>
        <v>22378.567298067868</v>
      </c>
      <c r="Z25" s="1"/>
    </row>
    <row r="26" spans="1:26" ht="15.6" thickTop="1" thickBot="1">
      <c r="A26" s="64" t="s">
        <v>54</v>
      </c>
      <c r="B26" s="65">
        <f>SUM(B18:B25)</f>
        <v>82211.356735335241</v>
      </c>
      <c r="C26" s="65">
        <f t="shared" ref="C26:Y26" si="14">SUM(C18:C25)</f>
        <v>82677.221090168809</v>
      </c>
      <c r="D26" s="65">
        <f t="shared" si="14"/>
        <v>90677.221090168809</v>
      </c>
      <c r="E26" s="65">
        <f t="shared" si="14"/>
        <v>91191.058676346438</v>
      </c>
      <c r="F26" s="65">
        <f t="shared" si="14"/>
        <v>99191.058676346438</v>
      </c>
      <c r="G26" s="65">
        <f t="shared" si="14"/>
        <v>99753.141342179064</v>
      </c>
      <c r="H26" s="65">
        <f t="shared" si="14"/>
        <v>107753.14134217906</v>
      </c>
      <c r="I26" s="65">
        <f t="shared" si="14"/>
        <v>108363.74247645143</v>
      </c>
      <c r="J26" s="65">
        <f t="shared" si="14"/>
        <v>116363.74247645143</v>
      </c>
      <c r="K26" s="65">
        <f t="shared" si="14"/>
        <v>117023.13701715133</v>
      </c>
      <c r="L26" s="65">
        <f t="shared" si="14"/>
        <v>125023.13701715133</v>
      </c>
      <c r="M26" s="65">
        <f t="shared" si="14"/>
        <v>125731.60146024849</v>
      </c>
      <c r="N26" s="65">
        <f t="shared" si="14"/>
        <v>133731.60146024849</v>
      </c>
      <c r="O26" s="65">
        <f t="shared" si="14"/>
        <v>134489.41386852323</v>
      </c>
      <c r="P26" s="65">
        <f t="shared" si="14"/>
        <v>142489.41386852323</v>
      </c>
      <c r="Q26" s="65">
        <f t="shared" si="14"/>
        <v>143296.85388044489</v>
      </c>
      <c r="R26" s="65">
        <f t="shared" si="14"/>
        <v>151296.85388044489</v>
      </c>
      <c r="S26" s="65">
        <f t="shared" si="14"/>
        <v>152154.20271910075</v>
      </c>
      <c r="T26" s="65">
        <f t="shared" si="14"/>
        <v>160154.20271910075</v>
      </c>
      <c r="U26" s="65">
        <f t="shared" si="14"/>
        <v>161061.74320117568</v>
      </c>
      <c r="V26" s="65">
        <f t="shared" si="14"/>
        <v>169061.74320117568</v>
      </c>
      <c r="W26" s="65">
        <f t="shared" si="14"/>
        <v>170019.75974598236</v>
      </c>
      <c r="X26" s="65">
        <f t="shared" si="14"/>
        <v>178019.75974598236</v>
      </c>
      <c r="Y26" s="65">
        <f t="shared" si="14"/>
        <v>179028.53838454298</v>
      </c>
      <c r="Z26" s="1"/>
    </row>
    <row r="27" spans="1:26" ht="15" thickTop="1"/>
    <row r="28" spans="1:26">
      <c r="A28" s="287" t="s">
        <v>109</v>
      </c>
      <c r="B28" s="287"/>
      <c r="C28" s="287"/>
      <c r="D28" s="1">
        <f>Y26-(N14+'2023 Projections'!N14)</f>
        <v>11028.538384542975</v>
      </c>
    </row>
    <row r="29" spans="1:26">
      <c r="B29" s="1"/>
      <c r="Y29" s="1"/>
    </row>
  </sheetData>
  <mergeCells count="3">
    <mergeCell ref="A1:I3"/>
    <mergeCell ref="P3:Q3"/>
    <mergeCell ref="A28:C2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395-1FE9-4501-BF9F-80F0F55E0737}">
  <sheetPr>
    <tabColor rgb="FF00B0F0"/>
  </sheetPr>
  <dimension ref="A1:Z29"/>
  <sheetViews>
    <sheetView workbookViewId="0">
      <selection activeCell="A24" sqref="A24"/>
    </sheetView>
  </sheetViews>
  <sheetFormatPr defaultRowHeight="14.4"/>
  <cols>
    <col min="1" max="1" width="10.109375" customWidth="1"/>
    <col min="2" max="2" width="12.44140625" bestFit="1" customWidth="1"/>
    <col min="3" max="3" width="9.33203125" customWidth="1"/>
    <col min="4" max="7" width="10.44140625" bestFit="1" customWidth="1"/>
    <col min="8" max="20" width="11.44140625" bestFit="1" customWidth="1"/>
    <col min="21" max="21" width="11.33203125" customWidth="1"/>
    <col min="22" max="25" width="11.44140625" bestFit="1" customWidth="1"/>
    <col min="26" max="26" width="10.44140625" bestFit="1" customWidth="1"/>
  </cols>
  <sheetData>
    <row r="1" spans="1:17">
      <c r="A1" s="274" t="s">
        <v>41</v>
      </c>
      <c r="B1" s="275"/>
      <c r="C1" s="275"/>
      <c r="D1" s="275"/>
      <c r="E1" s="275"/>
      <c r="F1" s="275"/>
      <c r="G1" s="275"/>
      <c r="H1" s="275"/>
      <c r="I1" s="276"/>
    </row>
    <row r="2" spans="1:17" ht="15" thickBot="1">
      <c r="A2" s="277"/>
      <c r="B2" s="278"/>
      <c r="C2" s="278"/>
      <c r="D2" s="278"/>
      <c r="E2" s="278"/>
      <c r="F2" s="278"/>
      <c r="G2" s="278"/>
      <c r="H2" s="278"/>
      <c r="I2" s="279"/>
    </row>
    <row r="3" spans="1:17" ht="15" thickBot="1">
      <c r="A3" s="280"/>
      <c r="B3" s="281"/>
      <c r="C3" s="281"/>
      <c r="D3" s="281"/>
      <c r="E3" s="281"/>
      <c r="F3" s="281"/>
      <c r="G3" s="281"/>
      <c r="H3" s="281"/>
      <c r="I3" s="282"/>
      <c r="P3" s="283" t="s">
        <v>42</v>
      </c>
      <c r="Q3" s="255"/>
    </row>
    <row r="4" spans="1:17" ht="15" thickBot="1">
      <c r="P4" s="2" t="s">
        <v>1</v>
      </c>
      <c r="Q4" s="21"/>
    </row>
    <row r="5" spans="1:17" ht="15" thickBot="1">
      <c r="B5" s="17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5" t="s">
        <v>12</v>
      </c>
      <c r="P5" s="5" t="s">
        <v>2</v>
      </c>
      <c r="Q5" s="22"/>
    </row>
    <row r="6" spans="1:17">
      <c r="A6" s="26" t="s">
        <v>45</v>
      </c>
      <c r="B6" s="10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>
        <v>0</v>
      </c>
      <c r="N6" s="13">
        <f>SUM(B6:M6)</f>
        <v>0</v>
      </c>
      <c r="P6" s="5" t="s">
        <v>3</v>
      </c>
      <c r="Q6" s="22"/>
    </row>
    <row r="7" spans="1:17">
      <c r="A7" s="27" t="s">
        <v>47</v>
      </c>
      <c r="B7" s="1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6">
        <v>0</v>
      </c>
      <c r="N7" s="14">
        <f t="shared" ref="N7:N13" si="0">SUM(B7:M7)</f>
        <v>0</v>
      </c>
      <c r="P7" s="5" t="s">
        <v>4</v>
      </c>
      <c r="Q7" s="22"/>
    </row>
    <row r="8" spans="1:17">
      <c r="A8" s="27" t="s">
        <v>48</v>
      </c>
      <c r="B8" s="1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6">
        <v>0</v>
      </c>
      <c r="N8" s="14">
        <f t="shared" si="0"/>
        <v>0</v>
      </c>
      <c r="P8" s="5" t="s">
        <v>5</v>
      </c>
      <c r="Q8" s="22"/>
    </row>
    <row r="9" spans="1:17">
      <c r="A9" s="27" t="s">
        <v>50</v>
      </c>
      <c r="B9" s="1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6">
        <v>0</v>
      </c>
      <c r="N9" s="14">
        <f t="shared" si="0"/>
        <v>0</v>
      </c>
      <c r="P9" s="5" t="s">
        <v>6</v>
      </c>
      <c r="Q9" s="22"/>
    </row>
    <row r="10" spans="1:17">
      <c r="A10" s="27" t="s">
        <v>51</v>
      </c>
      <c r="B10" s="1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6">
        <v>0</v>
      </c>
      <c r="N10" s="14">
        <f t="shared" si="0"/>
        <v>0</v>
      </c>
      <c r="P10" s="5" t="s">
        <v>7</v>
      </c>
      <c r="Q10" s="22"/>
    </row>
    <row r="11" spans="1:17">
      <c r="A11" s="27" t="s">
        <v>52</v>
      </c>
      <c r="B11" s="1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6">
        <v>0</v>
      </c>
      <c r="N11" s="14">
        <f t="shared" si="0"/>
        <v>0</v>
      </c>
      <c r="P11" s="5" t="s">
        <v>8</v>
      </c>
      <c r="Q11" s="22"/>
    </row>
    <row r="12" spans="1:17">
      <c r="A12" s="27" t="s">
        <v>23</v>
      </c>
      <c r="B12" s="1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6">
        <v>0</v>
      </c>
      <c r="N12" s="14">
        <f t="shared" si="0"/>
        <v>0</v>
      </c>
      <c r="P12" s="5" t="s">
        <v>9</v>
      </c>
      <c r="Q12" s="22"/>
    </row>
    <row r="13" spans="1:17" ht="15" thickBot="1">
      <c r="A13" s="28" t="s">
        <v>53</v>
      </c>
      <c r="B13" s="12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15">
        <f t="shared" si="0"/>
        <v>0</v>
      </c>
      <c r="P13" s="5" t="s">
        <v>10</v>
      </c>
      <c r="Q13" s="22"/>
    </row>
    <row r="14" spans="1:17" ht="15" thickBot="1">
      <c r="A14" s="17" t="s">
        <v>54</v>
      </c>
      <c r="B14" s="18">
        <f>SUM(B6:B13)</f>
        <v>0</v>
      </c>
      <c r="C14" s="19">
        <f t="shared" ref="C14:M14" si="1">SUM(C6:C13)</f>
        <v>0</v>
      </c>
      <c r="D14" s="19">
        <f t="shared" si="1"/>
        <v>0</v>
      </c>
      <c r="E14" s="19">
        <f t="shared" si="1"/>
        <v>0</v>
      </c>
      <c r="F14" s="19">
        <f t="shared" si="1"/>
        <v>0</v>
      </c>
      <c r="G14" s="19">
        <f t="shared" si="1"/>
        <v>0</v>
      </c>
      <c r="H14" s="19">
        <f t="shared" si="1"/>
        <v>0</v>
      </c>
      <c r="I14" s="19">
        <f t="shared" si="1"/>
        <v>0</v>
      </c>
      <c r="J14" s="19">
        <f t="shared" si="1"/>
        <v>0</v>
      </c>
      <c r="K14" s="19">
        <f t="shared" si="1"/>
        <v>0</v>
      </c>
      <c r="L14" s="19">
        <f t="shared" si="1"/>
        <v>0</v>
      </c>
      <c r="M14" s="20">
        <f t="shared" si="1"/>
        <v>0</v>
      </c>
      <c r="N14" s="16">
        <f>SUM(N6:N13)</f>
        <v>0</v>
      </c>
      <c r="P14" s="5" t="s">
        <v>11</v>
      </c>
      <c r="Q14" s="22"/>
    </row>
    <row r="15" spans="1:17" ht="15" thickBot="1">
      <c r="N15" s="1"/>
      <c r="P15" s="7" t="s">
        <v>12</v>
      </c>
      <c r="Q15" s="23"/>
    </row>
    <row r="17" spans="1:26">
      <c r="A17" t="s">
        <v>108</v>
      </c>
      <c r="B17" t="s">
        <v>1</v>
      </c>
      <c r="C17" t="s">
        <v>57</v>
      </c>
      <c r="D17" t="s">
        <v>2</v>
      </c>
      <c r="E17" t="s">
        <v>58</v>
      </c>
      <c r="F17" t="s">
        <v>3</v>
      </c>
      <c r="G17" t="s">
        <v>59</v>
      </c>
      <c r="H17" t="s">
        <v>4</v>
      </c>
      <c r="I17" t="s">
        <v>60</v>
      </c>
      <c r="J17" t="s">
        <v>5</v>
      </c>
      <c r="K17" t="s">
        <v>61</v>
      </c>
      <c r="L17" t="s">
        <v>6</v>
      </c>
      <c r="M17" t="s">
        <v>62</v>
      </c>
      <c r="N17" t="s">
        <v>7</v>
      </c>
      <c r="O17" t="s">
        <v>63</v>
      </c>
      <c r="P17" t="s">
        <v>8</v>
      </c>
      <c r="Q17" t="s">
        <v>64</v>
      </c>
      <c r="R17" t="s">
        <v>9</v>
      </c>
      <c r="S17" t="s">
        <v>65</v>
      </c>
      <c r="T17" t="s">
        <v>10</v>
      </c>
      <c r="U17" t="s">
        <v>66</v>
      </c>
      <c r="V17" t="s">
        <v>11</v>
      </c>
      <c r="W17" t="s">
        <v>67</v>
      </c>
      <c r="X17" t="s">
        <v>12</v>
      </c>
      <c r="Y17" t="s">
        <v>68</v>
      </c>
    </row>
    <row r="18" spans="1:26">
      <c r="A18" t="s">
        <v>45</v>
      </c>
      <c r="B18" s="1">
        <f>B6</f>
        <v>0</v>
      </c>
      <c r="C18" s="1">
        <f t="shared" ref="C18:C25" si="2">B18*(1+$Q$4/12)</f>
        <v>0</v>
      </c>
      <c r="D18" s="1">
        <f>C6+Table15[[#This Row],[Jan_Int]]</f>
        <v>0</v>
      </c>
      <c r="E18" s="1">
        <f t="shared" ref="E18:E25" si="3">D18*(1+$Q$5/12)</f>
        <v>0</v>
      </c>
      <c r="F18" s="1">
        <f>D6+Table15[[#This Row],[Feb_Int]]</f>
        <v>0</v>
      </c>
      <c r="G18" s="1">
        <f t="shared" ref="G18:G25" si="4">F18*(1+$Q$6/12)</f>
        <v>0</v>
      </c>
      <c r="H18" s="1">
        <f>E6+Table15[[#This Row],[Mar_Int]]</f>
        <v>0</v>
      </c>
      <c r="I18" s="1">
        <f t="shared" ref="I18:I25" si="5">H18*(1+$Q$7/12)</f>
        <v>0</v>
      </c>
      <c r="J18" s="1">
        <f>F6+Table15[[#This Row],[Apr_Int]]</f>
        <v>0</v>
      </c>
      <c r="K18" s="1">
        <f t="shared" ref="K18:K25" si="6">J18*(1+$Q$8/12)</f>
        <v>0</v>
      </c>
      <c r="L18" s="1">
        <f>G6+Table15[[#This Row],[May_Int]]</f>
        <v>0</v>
      </c>
      <c r="M18" s="1">
        <f t="shared" ref="M18:M25" si="7">L18*(1+$Q$9/12)</f>
        <v>0</v>
      </c>
      <c r="N18" s="1">
        <f>H6+Table15[[#This Row],[Jun_Int]]</f>
        <v>0</v>
      </c>
      <c r="O18" s="1">
        <f t="shared" ref="O18:O25" si="8">N18*(1+$Q$10/12)</f>
        <v>0</v>
      </c>
      <c r="P18" s="1">
        <f>I6+Table15[[#This Row],[Jul_Int]]</f>
        <v>0</v>
      </c>
      <c r="Q18" s="1">
        <f t="shared" ref="Q18:Q25" si="9">P18*(1+$Q$11/12)</f>
        <v>0</v>
      </c>
      <c r="R18" s="1">
        <f>J6+Table15[[#This Row],[Aug_Int]]</f>
        <v>0</v>
      </c>
      <c r="S18" s="1">
        <f t="shared" ref="S18:S25" si="10">R18*(1+$Q$12/12)</f>
        <v>0</v>
      </c>
      <c r="T18" s="1">
        <f>K6+Table15[[#This Row],[Sep_Int]]</f>
        <v>0</v>
      </c>
      <c r="U18" s="1">
        <f t="shared" ref="U18:U25" si="11">T18*(1+$Q$13/12)</f>
        <v>0</v>
      </c>
      <c r="V18" s="1">
        <f>L6+Table15[[#This Row],[Oct_Int]]</f>
        <v>0</v>
      </c>
      <c r="W18" s="1">
        <f t="shared" ref="W18:W25" si="12">V18*(1+$Q$14/12)</f>
        <v>0</v>
      </c>
      <c r="X18" s="1">
        <f>M6+Table15[[#This Row],[Nov_Int]]</f>
        <v>0</v>
      </c>
      <c r="Y18" s="1">
        <f t="shared" ref="Y18:Y25" si="13">X18*(1+$Q$15/12)</f>
        <v>0</v>
      </c>
      <c r="Z18" s="1"/>
    </row>
    <row r="19" spans="1:26">
      <c r="A19" t="s">
        <v>47</v>
      </c>
      <c r="B19" s="1">
        <f t="shared" ref="B19:B25" si="14">B7</f>
        <v>0</v>
      </c>
      <c r="C19" s="1">
        <f t="shared" si="2"/>
        <v>0</v>
      </c>
      <c r="D19" s="1">
        <f>C7+Table15[[#This Row],[Jan_Int]]</f>
        <v>0</v>
      </c>
      <c r="E19" s="1">
        <f t="shared" si="3"/>
        <v>0</v>
      </c>
      <c r="F19" s="1">
        <f>D7+Table15[[#This Row],[Feb_Int]]</f>
        <v>0</v>
      </c>
      <c r="G19" s="1">
        <f t="shared" si="4"/>
        <v>0</v>
      </c>
      <c r="H19" s="1">
        <f>E7+Table15[[#This Row],[Mar_Int]]</f>
        <v>0</v>
      </c>
      <c r="I19" s="1">
        <f t="shared" si="5"/>
        <v>0</v>
      </c>
      <c r="J19" s="1">
        <f>F7+Table15[[#This Row],[Apr_Int]]</f>
        <v>0</v>
      </c>
      <c r="K19" s="1">
        <f t="shared" si="6"/>
        <v>0</v>
      </c>
      <c r="L19" s="1">
        <f>G7+Table15[[#This Row],[May_Int]]</f>
        <v>0</v>
      </c>
      <c r="M19" s="1">
        <f t="shared" si="7"/>
        <v>0</v>
      </c>
      <c r="N19" s="1">
        <f>H7+Table15[[#This Row],[Jun_Int]]</f>
        <v>0</v>
      </c>
      <c r="O19" s="1">
        <f t="shared" si="8"/>
        <v>0</v>
      </c>
      <c r="P19" s="1">
        <f>I7+Table15[[#This Row],[Jul_Int]]</f>
        <v>0</v>
      </c>
      <c r="Q19" s="1">
        <f t="shared" si="9"/>
        <v>0</v>
      </c>
      <c r="R19" s="1">
        <f>J7+Table15[[#This Row],[Aug_Int]]</f>
        <v>0</v>
      </c>
      <c r="S19" s="1">
        <f t="shared" si="10"/>
        <v>0</v>
      </c>
      <c r="T19" s="1">
        <f>K7+Table15[[#This Row],[Sep_Int]]</f>
        <v>0</v>
      </c>
      <c r="U19" s="1">
        <f t="shared" si="11"/>
        <v>0</v>
      </c>
      <c r="V19" s="1">
        <f>L7+Table15[[#This Row],[Oct_Int]]</f>
        <v>0</v>
      </c>
      <c r="W19" s="1">
        <f t="shared" si="12"/>
        <v>0</v>
      </c>
      <c r="X19" s="1">
        <f>M7+Table15[[#This Row],[Nov_Int]]</f>
        <v>0</v>
      </c>
      <c r="Y19" s="1">
        <f t="shared" si="13"/>
        <v>0</v>
      </c>
      <c r="Z19" s="1"/>
    </row>
    <row r="20" spans="1:26">
      <c r="A20" t="s">
        <v>48</v>
      </c>
      <c r="B20" s="1">
        <f t="shared" si="14"/>
        <v>0</v>
      </c>
      <c r="C20" s="1">
        <f t="shared" si="2"/>
        <v>0</v>
      </c>
      <c r="D20" s="1">
        <f>C8+Table15[[#This Row],[Jan_Int]]</f>
        <v>0</v>
      </c>
      <c r="E20" s="1">
        <f t="shared" si="3"/>
        <v>0</v>
      </c>
      <c r="F20" s="1">
        <f>D8+Table15[[#This Row],[Feb_Int]]</f>
        <v>0</v>
      </c>
      <c r="G20" s="1">
        <f t="shared" si="4"/>
        <v>0</v>
      </c>
      <c r="H20" s="1">
        <f>E8+Table15[[#This Row],[Mar_Int]]</f>
        <v>0</v>
      </c>
      <c r="I20" s="1">
        <f t="shared" si="5"/>
        <v>0</v>
      </c>
      <c r="J20" s="1">
        <f>F8+Table15[[#This Row],[Apr_Int]]</f>
        <v>0</v>
      </c>
      <c r="K20" s="1">
        <f t="shared" si="6"/>
        <v>0</v>
      </c>
      <c r="L20" s="1">
        <f>G8+Table15[[#This Row],[May_Int]]</f>
        <v>0</v>
      </c>
      <c r="M20" s="1">
        <f t="shared" si="7"/>
        <v>0</v>
      </c>
      <c r="N20" s="1">
        <f>H8+Table15[[#This Row],[Jun_Int]]</f>
        <v>0</v>
      </c>
      <c r="O20" s="1">
        <f t="shared" si="8"/>
        <v>0</v>
      </c>
      <c r="P20" s="1">
        <f>I8+Table15[[#This Row],[Jul_Int]]</f>
        <v>0</v>
      </c>
      <c r="Q20" s="1">
        <f t="shared" si="9"/>
        <v>0</v>
      </c>
      <c r="R20" s="1">
        <f>J8+Table15[[#This Row],[Aug_Int]]</f>
        <v>0</v>
      </c>
      <c r="S20" s="1">
        <f t="shared" si="10"/>
        <v>0</v>
      </c>
      <c r="T20" s="1">
        <f>K8+Table15[[#This Row],[Sep_Int]]</f>
        <v>0</v>
      </c>
      <c r="U20" s="1">
        <f t="shared" si="11"/>
        <v>0</v>
      </c>
      <c r="V20" s="1">
        <f>L8+Table15[[#This Row],[Oct_Int]]</f>
        <v>0</v>
      </c>
      <c r="W20" s="1">
        <f t="shared" si="12"/>
        <v>0</v>
      </c>
      <c r="X20" s="1">
        <f>M8+Table15[[#This Row],[Nov_Int]]</f>
        <v>0</v>
      </c>
      <c r="Y20" s="1">
        <f t="shared" si="13"/>
        <v>0</v>
      </c>
      <c r="Z20" s="1"/>
    </row>
    <row r="21" spans="1:26">
      <c r="A21" t="s">
        <v>50</v>
      </c>
      <c r="B21" s="1">
        <f t="shared" si="14"/>
        <v>0</v>
      </c>
      <c r="C21" s="1">
        <f t="shared" si="2"/>
        <v>0</v>
      </c>
      <c r="D21" s="1">
        <f>C9+Table15[[#This Row],[Jan_Int]]</f>
        <v>0</v>
      </c>
      <c r="E21" s="1">
        <f t="shared" si="3"/>
        <v>0</v>
      </c>
      <c r="F21" s="1">
        <f>D9+Table15[[#This Row],[Feb_Int]]</f>
        <v>0</v>
      </c>
      <c r="G21" s="1">
        <f t="shared" si="4"/>
        <v>0</v>
      </c>
      <c r="H21" s="1">
        <f>E9+Table15[[#This Row],[Mar_Int]]</f>
        <v>0</v>
      </c>
      <c r="I21" s="1">
        <f t="shared" si="5"/>
        <v>0</v>
      </c>
      <c r="J21" s="1">
        <f>F9+Table15[[#This Row],[Apr_Int]]</f>
        <v>0</v>
      </c>
      <c r="K21" s="1">
        <f t="shared" si="6"/>
        <v>0</v>
      </c>
      <c r="L21" s="1">
        <f>G9+Table15[[#This Row],[May_Int]]</f>
        <v>0</v>
      </c>
      <c r="M21" s="1">
        <f t="shared" si="7"/>
        <v>0</v>
      </c>
      <c r="N21" s="1">
        <f>H9+Table15[[#This Row],[Jun_Int]]</f>
        <v>0</v>
      </c>
      <c r="O21" s="1">
        <f t="shared" si="8"/>
        <v>0</v>
      </c>
      <c r="P21" s="1">
        <f>I9+Table15[[#This Row],[Jul_Int]]</f>
        <v>0</v>
      </c>
      <c r="Q21" s="1">
        <f t="shared" si="9"/>
        <v>0</v>
      </c>
      <c r="R21" s="1">
        <f>J9+Table15[[#This Row],[Aug_Int]]</f>
        <v>0</v>
      </c>
      <c r="S21" s="1">
        <f t="shared" si="10"/>
        <v>0</v>
      </c>
      <c r="T21" s="1">
        <f>K9+Table15[[#This Row],[Sep_Int]]</f>
        <v>0</v>
      </c>
      <c r="U21" s="1">
        <f t="shared" si="11"/>
        <v>0</v>
      </c>
      <c r="V21" s="1">
        <f>L9+Table15[[#This Row],[Oct_Int]]</f>
        <v>0</v>
      </c>
      <c r="W21" s="1">
        <f t="shared" si="12"/>
        <v>0</v>
      </c>
      <c r="X21" s="1">
        <f>M9+Table15[[#This Row],[Nov_Int]]</f>
        <v>0</v>
      </c>
      <c r="Y21" s="1">
        <f t="shared" si="13"/>
        <v>0</v>
      </c>
      <c r="Z21" s="1"/>
    </row>
    <row r="22" spans="1:26">
      <c r="A22" t="s">
        <v>51</v>
      </c>
      <c r="B22" s="1">
        <f t="shared" si="14"/>
        <v>0</v>
      </c>
      <c r="C22" s="1">
        <f t="shared" si="2"/>
        <v>0</v>
      </c>
      <c r="D22" s="1">
        <f>C10+Table15[[#This Row],[Jan_Int]]</f>
        <v>0</v>
      </c>
      <c r="E22" s="1">
        <f t="shared" si="3"/>
        <v>0</v>
      </c>
      <c r="F22" s="1">
        <f>D10+Table15[[#This Row],[Feb_Int]]</f>
        <v>0</v>
      </c>
      <c r="G22" s="1">
        <f t="shared" si="4"/>
        <v>0</v>
      </c>
      <c r="H22" s="1">
        <f>E10+Table15[[#This Row],[Mar_Int]]</f>
        <v>0</v>
      </c>
      <c r="I22" s="1">
        <f t="shared" si="5"/>
        <v>0</v>
      </c>
      <c r="J22" s="1">
        <f>F10+Table15[[#This Row],[Apr_Int]]</f>
        <v>0</v>
      </c>
      <c r="K22" s="1">
        <f t="shared" si="6"/>
        <v>0</v>
      </c>
      <c r="L22" s="1">
        <f>G10+Table15[[#This Row],[May_Int]]</f>
        <v>0</v>
      </c>
      <c r="M22" s="1">
        <f t="shared" si="7"/>
        <v>0</v>
      </c>
      <c r="N22" s="1">
        <f>H10+Table15[[#This Row],[Jun_Int]]</f>
        <v>0</v>
      </c>
      <c r="O22" s="1">
        <f t="shared" si="8"/>
        <v>0</v>
      </c>
      <c r="P22" s="1">
        <f>I10+Table15[[#This Row],[Jul_Int]]</f>
        <v>0</v>
      </c>
      <c r="Q22" s="1">
        <f t="shared" si="9"/>
        <v>0</v>
      </c>
      <c r="R22" s="1">
        <f>J10+Table15[[#This Row],[Aug_Int]]</f>
        <v>0</v>
      </c>
      <c r="S22" s="1">
        <f t="shared" si="10"/>
        <v>0</v>
      </c>
      <c r="T22" s="1">
        <f>K10+Table15[[#This Row],[Sep_Int]]</f>
        <v>0</v>
      </c>
      <c r="U22" s="1">
        <f t="shared" si="11"/>
        <v>0</v>
      </c>
      <c r="V22" s="1">
        <f>L10+Table15[[#This Row],[Oct_Int]]</f>
        <v>0</v>
      </c>
      <c r="W22" s="1">
        <f t="shared" si="12"/>
        <v>0</v>
      </c>
      <c r="X22" s="1">
        <f>M10+Table15[[#This Row],[Nov_Int]]</f>
        <v>0</v>
      </c>
      <c r="Y22" s="1">
        <f t="shared" si="13"/>
        <v>0</v>
      </c>
      <c r="Z22" s="1"/>
    </row>
    <row r="23" spans="1:26">
      <c r="A23" t="s">
        <v>52</v>
      </c>
      <c r="B23" s="1">
        <f t="shared" si="14"/>
        <v>0</v>
      </c>
      <c r="C23" s="1">
        <f t="shared" si="2"/>
        <v>0</v>
      </c>
      <c r="D23" s="1">
        <f>C11+Table15[[#This Row],[Jan_Int]]</f>
        <v>0</v>
      </c>
      <c r="E23" s="1">
        <f t="shared" si="3"/>
        <v>0</v>
      </c>
      <c r="F23" s="1">
        <f>D11+Table15[[#This Row],[Feb_Int]]</f>
        <v>0</v>
      </c>
      <c r="G23" s="1">
        <f t="shared" si="4"/>
        <v>0</v>
      </c>
      <c r="H23" s="1">
        <f>E11+Table15[[#This Row],[Mar_Int]]</f>
        <v>0</v>
      </c>
      <c r="I23" s="1">
        <f t="shared" si="5"/>
        <v>0</v>
      </c>
      <c r="J23" s="1">
        <f>F11+Table15[[#This Row],[Apr_Int]]</f>
        <v>0</v>
      </c>
      <c r="K23" s="1">
        <f t="shared" si="6"/>
        <v>0</v>
      </c>
      <c r="L23" s="1">
        <f>G11+Table15[[#This Row],[May_Int]]</f>
        <v>0</v>
      </c>
      <c r="M23" s="1">
        <f t="shared" si="7"/>
        <v>0</v>
      </c>
      <c r="N23" s="1">
        <f>H11+Table15[[#This Row],[Jun_Int]]</f>
        <v>0</v>
      </c>
      <c r="O23" s="1">
        <f t="shared" si="8"/>
        <v>0</v>
      </c>
      <c r="P23" s="1">
        <f>I11+Table15[[#This Row],[Jul_Int]]</f>
        <v>0</v>
      </c>
      <c r="Q23" s="1">
        <f t="shared" si="9"/>
        <v>0</v>
      </c>
      <c r="R23" s="1">
        <f>J11+Table15[[#This Row],[Aug_Int]]</f>
        <v>0</v>
      </c>
      <c r="S23" s="1">
        <f t="shared" si="10"/>
        <v>0</v>
      </c>
      <c r="T23" s="1">
        <f>K11+Table15[[#This Row],[Sep_Int]]</f>
        <v>0</v>
      </c>
      <c r="U23" s="1">
        <f t="shared" si="11"/>
        <v>0</v>
      </c>
      <c r="V23" s="1">
        <f>L11+Table15[[#This Row],[Oct_Int]]</f>
        <v>0</v>
      </c>
      <c r="W23" s="1">
        <f t="shared" si="12"/>
        <v>0</v>
      </c>
      <c r="X23" s="1">
        <f>M11+Table15[[#This Row],[Nov_Int]]</f>
        <v>0</v>
      </c>
      <c r="Y23" s="1">
        <f t="shared" si="13"/>
        <v>0</v>
      </c>
      <c r="Z23" s="1"/>
    </row>
    <row r="24" spans="1:26">
      <c r="A24" t="s">
        <v>23</v>
      </c>
      <c r="B24" s="1">
        <f t="shared" si="14"/>
        <v>0</v>
      </c>
      <c r="C24" s="1">
        <f t="shared" si="2"/>
        <v>0</v>
      </c>
      <c r="D24" s="1">
        <f>C12+Table15[[#This Row],[Jan_Int]]</f>
        <v>0</v>
      </c>
      <c r="E24" s="1">
        <f t="shared" si="3"/>
        <v>0</v>
      </c>
      <c r="F24" s="1">
        <f>D12+Table15[[#This Row],[Feb_Int]]</f>
        <v>0</v>
      </c>
      <c r="G24" s="1">
        <f t="shared" si="4"/>
        <v>0</v>
      </c>
      <c r="H24" s="1">
        <f>E12+Table15[[#This Row],[Mar_Int]]</f>
        <v>0</v>
      </c>
      <c r="I24" s="1">
        <f t="shared" si="5"/>
        <v>0</v>
      </c>
      <c r="J24" s="1">
        <f>F12+Table15[[#This Row],[Apr_Int]]</f>
        <v>0</v>
      </c>
      <c r="K24" s="1">
        <f t="shared" si="6"/>
        <v>0</v>
      </c>
      <c r="L24" s="1">
        <f>G12+Table15[[#This Row],[May_Int]]</f>
        <v>0</v>
      </c>
      <c r="M24" s="1">
        <f t="shared" si="7"/>
        <v>0</v>
      </c>
      <c r="N24" s="1">
        <f>H12+Table15[[#This Row],[Jun_Int]]</f>
        <v>0</v>
      </c>
      <c r="O24" s="1">
        <f t="shared" si="8"/>
        <v>0</v>
      </c>
      <c r="P24" s="1">
        <f>I12+Table15[[#This Row],[Jul_Int]]</f>
        <v>0</v>
      </c>
      <c r="Q24" s="1">
        <f t="shared" si="9"/>
        <v>0</v>
      </c>
      <c r="R24" s="1">
        <f>J12+Table15[[#This Row],[Aug_Int]]</f>
        <v>0</v>
      </c>
      <c r="S24" s="1">
        <f t="shared" si="10"/>
        <v>0</v>
      </c>
      <c r="T24" s="1">
        <f>K12+Table15[[#This Row],[Sep_Int]]</f>
        <v>0</v>
      </c>
      <c r="U24" s="1">
        <f t="shared" si="11"/>
        <v>0</v>
      </c>
      <c r="V24" s="1">
        <f>L12+Table15[[#This Row],[Oct_Int]]</f>
        <v>0</v>
      </c>
      <c r="W24" s="1">
        <f t="shared" si="12"/>
        <v>0</v>
      </c>
      <c r="X24" s="1">
        <f>M12+Table15[[#This Row],[Nov_Int]]</f>
        <v>0</v>
      </c>
      <c r="Y24" s="1">
        <f t="shared" si="13"/>
        <v>0</v>
      </c>
      <c r="Z24" s="1"/>
    </row>
    <row r="25" spans="1:26">
      <c r="A25" t="s">
        <v>53</v>
      </c>
      <c r="B25" s="1">
        <f t="shared" si="14"/>
        <v>0</v>
      </c>
      <c r="C25" s="1">
        <f t="shared" si="2"/>
        <v>0</v>
      </c>
      <c r="D25" s="1">
        <f>C13+Table15[[#This Row],[Jan_Int]]</f>
        <v>0</v>
      </c>
      <c r="E25" s="1">
        <f t="shared" si="3"/>
        <v>0</v>
      </c>
      <c r="F25" s="1">
        <f>D13+Table15[[#This Row],[Feb_Int]]</f>
        <v>0</v>
      </c>
      <c r="G25" s="1">
        <f t="shared" si="4"/>
        <v>0</v>
      </c>
      <c r="H25" s="1">
        <f>E13+Table15[[#This Row],[Mar_Int]]</f>
        <v>0</v>
      </c>
      <c r="I25" s="1">
        <f t="shared" si="5"/>
        <v>0</v>
      </c>
      <c r="J25" s="1">
        <f>F13+Table15[[#This Row],[Apr_Int]]</f>
        <v>0</v>
      </c>
      <c r="K25" s="1">
        <f t="shared" si="6"/>
        <v>0</v>
      </c>
      <c r="L25" s="1">
        <f>G13+Table15[[#This Row],[May_Int]]</f>
        <v>0</v>
      </c>
      <c r="M25" s="1">
        <f t="shared" si="7"/>
        <v>0</v>
      </c>
      <c r="N25" s="1">
        <f>H13+Table15[[#This Row],[Jun_Int]]</f>
        <v>0</v>
      </c>
      <c r="O25" s="1">
        <f t="shared" si="8"/>
        <v>0</v>
      </c>
      <c r="P25" s="1">
        <f>I13+Table15[[#This Row],[Jul_Int]]</f>
        <v>0</v>
      </c>
      <c r="Q25" s="1">
        <f t="shared" si="9"/>
        <v>0</v>
      </c>
      <c r="R25" s="1">
        <f>J13+Table15[[#This Row],[Aug_Int]]</f>
        <v>0</v>
      </c>
      <c r="S25" s="1">
        <f t="shared" si="10"/>
        <v>0</v>
      </c>
      <c r="T25" s="1">
        <f>K13+Table15[[#This Row],[Sep_Int]]</f>
        <v>0</v>
      </c>
      <c r="U25" s="1">
        <f t="shared" si="11"/>
        <v>0</v>
      </c>
      <c r="V25" s="1">
        <f>L13+Table15[[#This Row],[Oct_Int]]</f>
        <v>0</v>
      </c>
      <c r="W25" s="1">
        <f t="shared" si="12"/>
        <v>0</v>
      </c>
      <c r="X25" s="1">
        <f>M13+Table15[[#This Row],[Nov_Int]]</f>
        <v>0</v>
      </c>
      <c r="Y25" s="1">
        <f t="shared" si="13"/>
        <v>0</v>
      </c>
      <c r="Z25" s="1"/>
    </row>
    <row r="26" spans="1:26">
      <c r="A26" t="s">
        <v>54</v>
      </c>
      <c r="B26" s="1">
        <f>SUM(B18:B25)</f>
        <v>0</v>
      </c>
      <c r="C26" s="1">
        <f t="shared" ref="C26:Y26" si="15">SUM(C18:C25)</f>
        <v>0</v>
      </c>
      <c r="D26" s="1">
        <f t="shared" si="15"/>
        <v>0</v>
      </c>
      <c r="E26" s="1">
        <f t="shared" si="15"/>
        <v>0</v>
      </c>
      <c r="F26" s="1">
        <f t="shared" si="15"/>
        <v>0</v>
      </c>
      <c r="G26" s="1">
        <f t="shared" si="15"/>
        <v>0</v>
      </c>
      <c r="H26" s="1">
        <f t="shared" si="15"/>
        <v>0</v>
      </c>
      <c r="I26" s="1">
        <f t="shared" si="15"/>
        <v>0</v>
      </c>
      <c r="J26" s="1">
        <f t="shared" si="15"/>
        <v>0</v>
      </c>
      <c r="K26" s="1">
        <f t="shared" si="15"/>
        <v>0</v>
      </c>
      <c r="L26" s="1">
        <f t="shared" si="15"/>
        <v>0</v>
      </c>
      <c r="M26" s="1">
        <f t="shared" si="15"/>
        <v>0</v>
      </c>
      <c r="N26" s="1">
        <f t="shared" si="15"/>
        <v>0</v>
      </c>
      <c r="O26" s="1">
        <f t="shared" si="15"/>
        <v>0</v>
      </c>
      <c r="P26" s="1">
        <f t="shared" si="15"/>
        <v>0</v>
      </c>
      <c r="Q26" s="1">
        <f t="shared" si="15"/>
        <v>0</v>
      </c>
      <c r="R26" s="1">
        <f t="shared" si="15"/>
        <v>0</v>
      </c>
      <c r="S26" s="1">
        <f t="shared" si="15"/>
        <v>0</v>
      </c>
      <c r="T26" s="1">
        <f t="shared" si="15"/>
        <v>0</v>
      </c>
      <c r="U26" s="1">
        <f t="shared" si="15"/>
        <v>0</v>
      </c>
      <c r="V26" s="1">
        <f t="shared" si="15"/>
        <v>0</v>
      </c>
      <c r="W26" s="1">
        <f t="shared" si="15"/>
        <v>0</v>
      </c>
      <c r="X26" s="1">
        <f t="shared" si="15"/>
        <v>0</v>
      </c>
      <c r="Y26" s="29">
        <f t="shared" si="15"/>
        <v>0</v>
      </c>
      <c r="Z26" s="1"/>
    </row>
    <row r="28" spans="1:26">
      <c r="A28" s="287" t="s">
        <v>109</v>
      </c>
      <c r="B28" s="287"/>
      <c r="C28" s="287"/>
      <c r="D28" s="1">
        <f>Y26-N14</f>
        <v>0</v>
      </c>
    </row>
    <row r="29" spans="1:26">
      <c r="B29" s="1"/>
    </row>
  </sheetData>
  <mergeCells count="3">
    <mergeCell ref="A1:I3"/>
    <mergeCell ref="P3:Q3"/>
    <mergeCell ref="A28:C28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138-5914-412D-86A3-2009D185E98B}">
  <sheetPr>
    <tabColor rgb="FF92D050"/>
  </sheetPr>
  <dimension ref="A1:Z31"/>
  <sheetViews>
    <sheetView workbookViewId="0">
      <selection activeCell="R12" sqref="R12"/>
    </sheetView>
  </sheetViews>
  <sheetFormatPr defaultRowHeight="14.4"/>
  <cols>
    <col min="1" max="3" width="12.44140625" bestFit="1" customWidth="1"/>
    <col min="4" max="13" width="11.44140625" bestFit="1" customWidth="1"/>
    <col min="14" max="14" width="12.44140625" bestFit="1" customWidth="1"/>
    <col min="15" max="20" width="11.44140625" bestFit="1" customWidth="1"/>
    <col min="21" max="21" width="11.33203125" customWidth="1"/>
    <col min="22" max="24" width="11.44140625" bestFit="1" customWidth="1"/>
    <col min="25" max="25" width="12.44140625" bestFit="1" customWidth="1"/>
    <col min="26" max="26" width="10.44140625" bestFit="1" customWidth="1"/>
  </cols>
  <sheetData>
    <row r="1" spans="1:25" ht="15" thickBot="1">
      <c r="A1" s="274" t="s">
        <v>41</v>
      </c>
      <c r="B1" s="275"/>
      <c r="C1" s="275"/>
      <c r="D1" s="275"/>
      <c r="E1" s="275"/>
      <c r="F1" s="275"/>
      <c r="G1" s="275"/>
      <c r="H1" s="275"/>
      <c r="I1" s="276"/>
    </row>
    <row r="2" spans="1:25" ht="15" thickBot="1">
      <c r="A2" s="277"/>
      <c r="B2" s="278"/>
      <c r="C2" s="278"/>
      <c r="D2" s="278"/>
      <c r="E2" s="278"/>
      <c r="F2" s="278"/>
      <c r="G2" s="278"/>
      <c r="H2" s="278"/>
      <c r="I2" s="279"/>
      <c r="P2" s="283" t="s">
        <v>42</v>
      </c>
      <c r="Q2" s="255"/>
    </row>
    <row r="3" spans="1:25" ht="15" thickBot="1">
      <c r="A3" s="280"/>
      <c r="B3" s="281"/>
      <c r="C3" s="281"/>
      <c r="D3" s="281"/>
      <c r="E3" s="281"/>
      <c r="F3" s="281"/>
      <c r="G3" s="281"/>
      <c r="H3" s="281"/>
      <c r="I3" s="282"/>
      <c r="P3" s="2" t="s">
        <v>1</v>
      </c>
      <c r="Q3" s="51">
        <v>6.8000000000000005E-2</v>
      </c>
    </row>
    <row r="4" spans="1:25" ht="15" thickBot="1">
      <c r="P4" s="5" t="s">
        <v>2</v>
      </c>
      <c r="Q4" s="52">
        <v>6.8000000000000005E-2</v>
      </c>
    </row>
    <row r="5" spans="1:25" ht="15" thickBot="1">
      <c r="B5" s="17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5" t="s">
        <v>12</v>
      </c>
      <c r="P5" s="5" t="s">
        <v>3</v>
      </c>
      <c r="Q5" s="52">
        <v>6.8000000000000005E-2</v>
      </c>
    </row>
    <row r="6" spans="1:25">
      <c r="A6" s="26" t="s">
        <v>45</v>
      </c>
      <c r="B6" s="10">
        <v>1500</v>
      </c>
      <c r="C6" s="3">
        <v>1500</v>
      </c>
      <c r="D6" s="3">
        <v>1500</v>
      </c>
      <c r="E6" s="3">
        <v>1500</v>
      </c>
      <c r="F6" s="3">
        <v>1500</v>
      </c>
      <c r="G6" s="3">
        <v>1500</v>
      </c>
      <c r="H6" s="3">
        <v>1500</v>
      </c>
      <c r="I6" s="3">
        <v>1500</v>
      </c>
      <c r="J6" s="3">
        <v>1500</v>
      </c>
      <c r="K6" s="3">
        <v>1500</v>
      </c>
      <c r="L6" s="3">
        <v>1500</v>
      </c>
      <c r="M6" s="4">
        <v>1500</v>
      </c>
      <c r="N6" s="13">
        <f>SUM(B6:M6)</f>
        <v>18000</v>
      </c>
      <c r="P6" s="5" t="s">
        <v>4</v>
      </c>
      <c r="Q6" s="52">
        <v>6.8000000000000005E-2</v>
      </c>
    </row>
    <row r="7" spans="1:25">
      <c r="A7" s="27" t="s">
        <v>47</v>
      </c>
      <c r="B7" s="11">
        <v>1500</v>
      </c>
      <c r="C7" s="1">
        <v>1500</v>
      </c>
      <c r="D7" s="1">
        <v>1500</v>
      </c>
      <c r="E7" s="1">
        <v>1500</v>
      </c>
      <c r="F7" s="1">
        <v>1500</v>
      </c>
      <c r="G7" s="1">
        <v>1500</v>
      </c>
      <c r="H7" s="1">
        <v>1500</v>
      </c>
      <c r="I7" s="1">
        <v>1500</v>
      </c>
      <c r="J7" s="1">
        <v>1500</v>
      </c>
      <c r="K7" s="1">
        <v>1500</v>
      </c>
      <c r="L7" s="1">
        <v>1500</v>
      </c>
      <c r="M7" s="6">
        <v>1500</v>
      </c>
      <c r="N7" s="14">
        <f t="shared" ref="N7:N13" si="0">SUM(B7:M7)</f>
        <v>18000</v>
      </c>
      <c r="P7" s="5" t="s">
        <v>5</v>
      </c>
      <c r="Q7" s="52">
        <v>6.8000000000000005E-2</v>
      </c>
    </row>
    <row r="8" spans="1:25">
      <c r="A8" s="27" t="s">
        <v>48</v>
      </c>
      <c r="B8" s="11">
        <v>1500</v>
      </c>
      <c r="C8" s="1">
        <v>1500</v>
      </c>
      <c r="D8" s="1">
        <v>1500</v>
      </c>
      <c r="E8" s="1">
        <v>1500</v>
      </c>
      <c r="F8" s="1">
        <v>1500</v>
      </c>
      <c r="G8" s="1">
        <v>1500</v>
      </c>
      <c r="H8" s="1">
        <v>1500</v>
      </c>
      <c r="I8" s="1">
        <v>1500</v>
      </c>
      <c r="J8" s="1">
        <v>1500</v>
      </c>
      <c r="K8" s="1">
        <v>1500</v>
      </c>
      <c r="L8" s="1">
        <v>1500</v>
      </c>
      <c r="M8" s="6">
        <v>1500</v>
      </c>
      <c r="N8" s="14">
        <f t="shared" si="0"/>
        <v>18000</v>
      </c>
      <c r="P8" s="5" t="s">
        <v>6</v>
      </c>
      <c r="Q8" s="52">
        <v>6.8000000000000005E-2</v>
      </c>
    </row>
    <row r="9" spans="1:25">
      <c r="A9" s="27" t="s">
        <v>50</v>
      </c>
      <c r="B9" s="11">
        <v>1500</v>
      </c>
      <c r="C9" s="1">
        <v>1500</v>
      </c>
      <c r="D9" s="1">
        <v>1500</v>
      </c>
      <c r="E9" s="1">
        <v>1500</v>
      </c>
      <c r="F9" s="1">
        <v>1500</v>
      </c>
      <c r="G9" s="1">
        <v>1500</v>
      </c>
      <c r="H9" s="1">
        <v>1500</v>
      </c>
      <c r="I9" s="1">
        <v>1500</v>
      </c>
      <c r="J9" s="1">
        <v>1500</v>
      </c>
      <c r="K9" s="1">
        <v>1500</v>
      </c>
      <c r="L9" s="1">
        <v>1500</v>
      </c>
      <c r="M9" s="6">
        <v>1500</v>
      </c>
      <c r="N9" s="14">
        <f t="shared" si="0"/>
        <v>18000</v>
      </c>
      <c r="P9" s="5" t="s">
        <v>7</v>
      </c>
      <c r="Q9" s="52">
        <v>6.8000000000000005E-2</v>
      </c>
    </row>
    <row r="10" spans="1:25">
      <c r="A10" s="27" t="s">
        <v>51</v>
      </c>
      <c r="B10" s="11">
        <v>1500</v>
      </c>
      <c r="C10" s="1">
        <v>1500</v>
      </c>
      <c r="D10" s="1">
        <v>1500</v>
      </c>
      <c r="E10" s="1">
        <v>1500</v>
      </c>
      <c r="F10" s="1">
        <v>1500</v>
      </c>
      <c r="G10" s="1">
        <v>1500</v>
      </c>
      <c r="H10" s="1">
        <v>1500</v>
      </c>
      <c r="I10" s="1">
        <v>1500</v>
      </c>
      <c r="J10" s="1">
        <v>1500</v>
      </c>
      <c r="K10" s="1">
        <v>1500</v>
      </c>
      <c r="L10" s="1">
        <v>1500</v>
      </c>
      <c r="M10" s="6">
        <v>1500</v>
      </c>
      <c r="N10" s="14">
        <f t="shared" si="0"/>
        <v>18000</v>
      </c>
      <c r="P10" s="5" t="s">
        <v>8</v>
      </c>
      <c r="Q10" s="52">
        <v>6.8000000000000005E-2</v>
      </c>
    </row>
    <row r="11" spans="1:25">
      <c r="A11" s="27" t="s">
        <v>52</v>
      </c>
      <c r="B11" s="11">
        <v>1500</v>
      </c>
      <c r="C11" s="1">
        <v>1500</v>
      </c>
      <c r="D11" s="1">
        <v>1500</v>
      </c>
      <c r="E11" s="1">
        <v>1500</v>
      </c>
      <c r="F11" s="1">
        <v>1500</v>
      </c>
      <c r="G11" s="1">
        <v>1500</v>
      </c>
      <c r="H11" s="1">
        <v>1500</v>
      </c>
      <c r="I11" s="1">
        <v>1500</v>
      </c>
      <c r="J11" s="1">
        <v>1500</v>
      </c>
      <c r="K11" s="1">
        <v>1500</v>
      </c>
      <c r="L11" s="1">
        <v>1500</v>
      </c>
      <c r="M11" s="6">
        <v>1500</v>
      </c>
      <c r="N11" s="14">
        <f t="shared" si="0"/>
        <v>18000</v>
      </c>
      <c r="P11" s="5" t="s">
        <v>9</v>
      </c>
      <c r="Q11" s="52">
        <v>6.8000000000000005E-2</v>
      </c>
    </row>
    <row r="12" spans="1:25">
      <c r="A12" s="27" t="s">
        <v>23</v>
      </c>
      <c r="B12" s="11">
        <v>1500</v>
      </c>
      <c r="C12" s="1">
        <v>1500</v>
      </c>
      <c r="D12" s="1">
        <v>1500</v>
      </c>
      <c r="E12" s="1">
        <v>1500</v>
      </c>
      <c r="F12" s="1">
        <v>1500</v>
      </c>
      <c r="G12" s="1">
        <v>1500</v>
      </c>
      <c r="H12" s="1">
        <v>1500</v>
      </c>
      <c r="I12" s="1">
        <v>1500</v>
      </c>
      <c r="J12" s="1">
        <v>1500</v>
      </c>
      <c r="K12" s="1">
        <v>1500</v>
      </c>
      <c r="L12" s="1">
        <v>1500</v>
      </c>
      <c r="M12" s="6">
        <v>1500</v>
      </c>
      <c r="N12" s="14">
        <f t="shared" si="0"/>
        <v>18000</v>
      </c>
      <c r="P12" s="5" t="s">
        <v>10</v>
      </c>
      <c r="Q12" s="52">
        <v>6.8000000000000005E-2</v>
      </c>
    </row>
    <row r="13" spans="1:25" ht="15" thickBot="1">
      <c r="A13" s="28" t="s">
        <v>53</v>
      </c>
      <c r="B13" s="12">
        <v>1500</v>
      </c>
      <c r="C13" s="8">
        <v>1500</v>
      </c>
      <c r="D13" s="8">
        <v>1500</v>
      </c>
      <c r="E13" s="8">
        <v>1500</v>
      </c>
      <c r="F13" s="8">
        <v>1500</v>
      </c>
      <c r="G13" s="8">
        <v>1500</v>
      </c>
      <c r="H13" s="8">
        <v>1500</v>
      </c>
      <c r="I13" s="8">
        <v>1500</v>
      </c>
      <c r="J13" s="8">
        <v>1500</v>
      </c>
      <c r="K13" s="8">
        <v>1500</v>
      </c>
      <c r="L13" s="8">
        <v>1500</v>
      </c>
      <c r="M13" s="9">
        <v>1500</v>
      </c>
      <c r="N13" s="15">
        <f t="shared" si="0"/>
        <v>18000</v>
      </c>
      <c r="P13" s="5" t="s">
        <v>11</v>
      </c>
      <c r="Q13" s="52">
        <v>6.8000000000000005E-2</v>
      </c>
    </row>
    <row r="14" spans="1:25" ht="15" thickBot="1">
      <c r="A14" s="17" t="s">
        <v>54</v>
      </c>
      <c r="B14" s="18">
        <f>SUM(B6:B13)</f>
        <v>12000</v>
      </c>
      <c r="C14" s="19">
        <f t="shared" ref="C14:M14" si="1">SUM(C6:C13)</f>
        <v>12000</v>
      </c>
      <c r="D14" s="19">
        <f t="shared" si="1"/>
        <v>12000</v>
      </c>
      <c r="E14" s="19">
        <f t="shared" si="1"/>
        <v>12000</v>
      </c>
      <c r="F14" s="19">
        <f t="shared" si="1"/>
        <v>12000</v>
      </c>
      <c r="G14" s="19">
        <f t="shared" si="1"/>
        <v>12000</v>
      </c>
      <c r="H14" s="19">
        <f t="shared" si="1"/>
        <v>12000</v>
      </c>
      <c r="I14" s="19">
        <f t="shared" si="1"/>
        <v>12000</v>
      </c>
      <c r="J14" s="19">
        <f t="shared" si="1"/>
        <v>12000</v>
      </c>
      <c r="K14" s="19">
        <f t="shared" si="1"/>
        <v>12000</v>
      </c>
      <c r="L14" s="19">
        <f t="shared" si="1"/>
        <v>12000</v>
      </c>
      <c r="M14" s="20">
        <f t="shared" si="1"/>
        <v>12000</v>
      </c>
      <c r="N14" s="16">
        <f>SUM(N6:N13)</f>
        <v>144000</v>
      </c>
      <c r="P14" s="7" t="s">
        <v>12</v>
      </c>
      <c r="Q14" s="53">
        <v>6.8000000000000005E-2</v>
      </c>
    </row>
    <row r="15" spans="1:25">
      <c r="N15" s="1"/>
    </row>
    <row r="16" spans="1:25">
      <c r="C16" s="74">
        <v>6.5500000000000003E-2</v>
      </c>
      <c r="E16" s="74">
        <v>6.5500000000000003E-2</v>
      </c>
      <c r="G16" s="74">
        <v>6.5500000000000003E-2</v>
      </c>
      <c r="I16" s="74">
        <v>6.5500000000000003E-2</v>
      </c>
      <c r="K16" s="74">
        <v>6.5500000000000003E-2</v>
      </c>
      <c r="M16" s="74">
        <v>6.5500000000000003E-2</v>
      </c>
      <c r="O16" s="74">
        <v>6.5500000000000003E-2</v>
      </c>
      <c r="Q16" s="74">
        <v>6.5500000000000003E-2</v>
      </c>
      <c r="S16" s="74">
        <v>6.5500000000000003E-2</v>
      </c>
      <c r="U16" s="74">
        <v>6.5500000000000003E-2</v>
      </c>
      <c r="W16" s="74">
        <v>6.5500000000000003E-2</v>
      </c>
      <c r="Y16" s="74">
        <v>6.5500000000000003E-2</v>
      </c>
    </row>
    <row r="17" spans="1:26">
      <c r="A17" t="s">
        <v>108</v>
      </c>
      <c r="B17" t="s">
        <v>1</v>
      </c>
      <c r="C17" t="s">
        <v>57</v>
      </c>
      <c r="D17" t="s">
        <v>2</v>
      </c>
      <c r="E17" t="s">
        <v>58</v>
      </c>
      <c r="F17" t="s">
        <v>3</v>
      </c>
      <c r="G17" t="s">
        <v>59</v>
      </c>
      <c r="H17" t="s">
        <v>4</v>
      </c>
      <c r="I17" t="s">
        <v>60</v>
      </c>
      <c r="J17" t="s">
        <v>5</v>
      </c>
      <c r="K17" t="s">
        <v>61</v>
      </c>
      <c r="L17" t="s">
        <v>6</v>
      </c>
      <c r="M17" t="s">
        <v>62</v>
      </c>
      <c r="N17" t="s">
        <v>7</v>
      </c>
      <c r="O17" t="s">
        <v>63</v>
      </c>
      <c r="P17" t="s">
        <v>8</v>
      </c>
      <c r="Q17" t="s">
        <v>64</v>
      </c>
      <c r="R17" t="s">
        <v>9</v>
      </c>
      <c r="S17" t="s">
        <v>65</v>
      </c>
      <c r="T17" t="s">
        <v>10</v>
      </c>
      <c r="U17" t="s">
        <v>66</v>
      </c>
      <c r="V17" t="s">
        <v>11</v>
      </c>
      <c r="W17" t="s">
        <v>67</v>
      </c>
      <c r="X17" t="s">
        <v>12</v>
      </c>
      <c r="Y17" t="s">
        <v>68</v>
      </c>
    </row>
    <row r="18" spans="1:26">
      <c r="A18" t="s">
        <v>45</v>
      </c>
      <c r="B18" s="1">
        <f>B6+Table14[[#This Row],[Dec_Int]]</f>
        <v>23878.567298067868</v>
      </c>
      <c r="C18" s="1">
        <f t="shared" ref="C18:C25" si="2">B18*(1+$Q$3/12)</f>
        <v>24013.879179423588</v>
      </c>
      <c r="D18" s="1">
        <f>C6+Table148[[#This Row],[Jan_Int]]</f>
        <v>25513.879179423588</v>
      </c>
      <c r="E18" s="1">
        <f t="shared" ref="E18:E25" si="3">D18*(1+$Q$4/12)</f>
        <v>25658.457828106988</v>
      </c>
      <c r="F18" s="1">
        <f>D6+Table148[[#This Row],[Feb_Int]]</f>
        <v>27158.457828106988</v>
      </c>
      <c r="G18" s="1">
        <f t="shared" ref="G18:G25" si="4">F18*(1+$Q$5/12)</f>
        <v>27312.355755799595</v>
      </c>
      <c r="H18" s="1">
        <f>E6+Table148[[#This Row],[Mar_Int]]</f>
        <v>28812.355755799595</v>
      </c>
      <c r="I18" s="1">
        <f t="shared" ref="I18:I25" si="5">H18*(1+$Q$6/12)</f>
        <v>28975.625771749128</v>
      </c>
      <c r="J18" s="1">
        <f>F6+Table148[[#This Row],[Apr_Int]]</f>
        <v>30475.625771749128</v>
      </c>
      <c r="K18" s="1">
        <f t="shared" ref="K18:K25" si="6">J18*(1+$Q$7/12)</f>
        <v>30648.320984455706</v>
      </c>
      <c r="L18" s="1">
        <f>G6+Table148[[#This Row],[May_Int]]</f>
        <v>32148.320984455706</v>
      </c>
      <c r="M18" s="1">
        <f t="shared" ref="M18:M25" si="7">L18*(1+$Q$8/12)</f>
        <v>32330.494803367623</v>
      </c>
      <c r="N18" s="1">
        <f>H6+Table148[[#This Row],[Jun_Int]]</f>
        <v>33830.494803367619</v>
      </c>
      <c r="O18" s="1">
        <f t="shared" ref="O18:O25" si="8">N18*(1+$Q$9/12)</f>
        <v>34022.200940586707</v>
      </c>
      <c r="P18" s="1">
        <f>I6+Table148[[#This Row],[Jul_Int]]</f>
        <v>35522.200940586707</v>
      </c>
      <c r="Q18" s="1">
        <f t="shared" ref="Q18:Q25" si="9">P18*(1+$Q$10/12)</f>
        <v>35723.493412583368</v>
      </c>
      <c r="R18" s="1">
        <f>J6+Table148[[#This Row],[Aug_Int]]</f>
        <v>37223.493412583368</v>
      </c>
      <c r="S18" s="1">
        <f t="shared" ref="S18:S25" si="10">R18*(1+$Q$11/12)</f>
        <v>37434.426541921341</v>
      </c>
      <c r="T18" s="1">
        <f>K6+Table148[[#This Row],[Sep_Int]]</f>
        <v>38934.426541921341</v>
      </c>
      <c r="U18" s="1">
        <f t="shared" ref="U18:U25" si="11">T18*(1+$Q$12/12)</f>
        <v>39155.05495899223</v>
      </c>
      <c r="V18" s="1">
        <f>L6+Table148[[#This Row],[Oct_Int]]</f>
        <v>40655.05495899223</v>
      </c>
      <c r="W18" s="1">
        <f t="shared" ref="W18:W25" si="12">V18*(1+$Q$13/12)</f>
        <v>40885.433603759855</v>
      </c>
      <c r="X18" s="1">
        <f>M6+Table148[[#This Row],[Nov_Int]]</f>
        <v>42385.433603759855</v>
      </c>
      <c r="Y18" s="1">
        <f t="shared" ref="Y18:Y25" si="13">X18*(1+$Q$14/12)</f>
        <v>42625.617727514495</v>
      </c>
      <c r="Z18" s="1"/>
    </row>
    <row r="19" spans="1:26">
      <c r="A19" t="s">
        <v>47</v>
      </c>
      <c r="B19" s="1">
        <f>B7+Table14[[#This Row],[Dec_Int]]</f>
        <v>23878.567298067868</v>
      </c>
      <c r="C19" s="1">
        <f t="shared" si="2"/>
        <v>24013.879179423588</v>
      </c>
      <c r="D19" s="1">
        <f>C7+Table148[[#This Row],[Jan_Int]]</f>
        <v>25513.879179423588</v>
      </c>
      <c r="E19" s="1">
        <f t="shared" si="3"/>
        <v>25658.457828106988</v>
      </c>
      <c r="F19" s="1">
        <f>D7+Table148[[#This Row],[Feb_Int]]</f>
        <v>27158.457828106988</v>
      </c>
      <c r="G19" s="1">
        <f t="shared" si="4"/>
        <v>27312.355755799595</v>
      </c>
      <c r="H19" s="1">
        <f>E7+Table148[[#This Row],[Mar_Int]]</f>
        <v>28812.355755799595</v>
      </c>
      <c r="I19" s="1">
        <f t="shared" si="5"/>
        <v>28975.625771749128</v>
      </c>
      <c r="J19" s="1">
        <f>F7+Table148[[#This Row],[Apr_Int]]</f>
        <v>30475.625771749128</v>
      </c>
      <c r="K19" s="1">
        <f t="shared" si="6"/>
        <v>30648.320984455706</v>
      </c>
      <c r="L19" s="1">
        <f>G7+Table148[[#This Row],[May_Int]]</f>
        <v>32148.320984455706</v>
      </c>
      <c r="M19" s="1">
        <f t="shared" si="7"/>
        <v>32330.494803367623</v>
      </c>
      <c r="N19" s="1">
        <f>H7+Table148[[#This Row],[Jun_Int]]</f>
        <v>33830.494803367619</v>
      </c>
      <c r="O19" s="1">
        <f t="shared" si="8"/>
        <v>34022.200940586707</v>
      </c>
      <c r="P19" s="1">
        <f>I7+Table148[[#This Row],[Jul_Int]]</f>
        <v>35522.200940586707</v>
      </c>
      <c r="Q19" s="1">
        <f t="shared" si="9"/>
        <v>35723.493412583368</v>
      </c>
      <c r="R19" s="1">
        <f>J7+Table148[[#This Row],[Aug_Int]]</f>
        <v>37223.493412583368</v>
      </c>
      <c r="S19" s="1">
        <f t="shared" si="10"/>
        <v>37434.426541921341</v>
      </c>
      <c r="T19" s="1">
        <f>K7+Table148[[#This Row],[Sep_Int]]</f>
        <v>38934.426541921341</v>
      </c>
      <c r="U19" s="1">
        <f t="shared" si="11"/>
        <v>39155.05495899223</v>
      </c>
      <c r="V19" s="1">
        <f>L7+Table148[[#This Row],[Oct_Int]]</f>
        <v>40655.05495899223</v>
      </c>
      <c r="W19" s="1">
        <f t="shared" si="12"/>
        <v>40885.433603759855</v>
      </c>
      <c r="X19" s="1">
        <f>M7+Table148[[#This Row],[Nov_Int]]</f>
        <v>42385.433603759855</v>
      </c>
      <c r="Y19" s="1">
        <f t="shared" si="13"/>
        <v>42625.617727514495</v>
      </c>
      <c r="Z19" s="1"/>
    </row>
    <row r="20" spans="1:26">
      <c r="A20" t="s">
        <v>48</v>
      </c>
      <c r="B20" s="1">
        <f>B8+Table14[[#This Row],[Dec_Int]]</f>
        <v>23878.567298067868</v>
      </c>
      <c r="C20" s="1">
        <f t="shared" si="2"/>
        <v>24013.879179423588</v>
      </c>
      <c r="D20" s="1">
        <f>C8+Table148[[#This Row],[Jan_Int]]</f>
        <v>25513.879179423588</v>
      </c>
      <c r="E20" s="1">
        <f t="shared" si="3"/>
        <v>25658.457828106988</v>
      </c>
      <c r="F20" s="1">
        <f>D8+Table148[[#This Row],[Feb_Int]]</f>
        <v>27158.457828106988</v>
      </c>
      <c r="G20" s="1">
        <f t="shared" si="4"/>
        <v>27312.355755799595</v>
      </c>
      <c r="H20" s="1">
        <f>E8+Table148[[#This Row],[Mar_Int]]</f>
        <v>28812.355755799595</v>
      </c>
      <c r="I20" s="1">
        <f t="shared" si="5"/>
        <v>28975.625771749128</v>
      </c>
      <c r="J20" s="1">
        <f>F8+Table148[[#This Row],[Apr_Int]]</f>
        <v>30475.625771749128</v>
      </c>
      <c r="K20" s="1">
        <f t="shared" si="6"/>
        <v>30648.320984455706</v>
      </c>
      <c r="L20" s="1">
        <f>G8+Table148[[#This Row],[May_Int]]</f>
        <v>32148.320984455706</v>
      </c>
      <c r="M20" s="1">
        <f t="shared" si="7"/>
        <v>32330.494803367623</v>
      </c>
      <c r="N20" s="1">
        <f>H8+Table148[[#This Row],[Jun_Int]]</f>
        <v>33830.494803367619</v>
      </c>
      <c r="O20" s="1">
        <f t="shared" si="8"/>
        <v>34022.200940586707</v>
      </c>
      <c r="P20" s="1">
        <f>I8+Table148[[#This Row],[Jul_Int]]</f>
        <v>35522.200940586707</v>
      </c>
      <c r="Q20" s="1">
        <f t="shared" si="9"/>
        <v>35723.493412583368</v>
      </c>
      <c r="R20" s="1">
        <f>J8+Table148[[#This Row],[Aug_Int]]</f>
        <v>37223.493412583368</v>
      </c>
      <c r="S20" s="1">
        <f t="shared" si="10"/>
        <v>37434.426541921341</v>
      </c>
      <c r="T20" s="1">
        <f>K8+Table148[[#This Row],[Sep_Int]]</f>
        <v>38934.426541921341</v>
      </c>
      <c r="U20" s="1">
        <f t="shared" si="11"/>
        <v>39155.05495899223</v>
      </c>
      <c r="V20" s="1">
        <f>L8+Table148[[#This Row],[Oct_Int]]</f>
        <v>40655.05495899223</v>
      </c>
      <c r="W20" s="1">
        <f t="shared" si="12"/>
        <v>40885.433603759855</v>
      </c>
      <c r="X20" s="1">
        <f>M8+Table148[[#This Row],[Nov_Int]]</f>
        <v>42385.433603759855</v>
      </c>
      <c r="Y20" s="1">
        <f t="shared" si="13"/>
        <v>42625.617727514495</v>
      </c>
      <c r="Z20" s="1"/>
    </row>
    <row r="21" spans="1:26">
      <c r="A21" t="s">
        <v>50</v>
      </c>
      <c r="B21" s="1">
        <f>B9+Table14[[#This Row],[Dec_Int]]</f>
        <v>23878.567298067868</v>
      </c>
      <c r="C21" s="1">
        <f t="shared" si="2"/>
        <v>24013.879179423588</v>
      </c>
      <c r="D21" s="1">
        <f>C9+Table148[[#This Row],[Jan_Int]]</f>
        <v>25513.879179423588</v>
      </c>
      <c r="E21" s="1">
        <f t="shared" si="3"/>
        <v>25658.457828106988</v>
      </c>
      <c r="F21" s="1">
        <f>D9+Table148[[#This Row],[Feb_Int]]</f>
        <v>27158.457828106988</v>
      </c>
      <c r="G21" s="1">
        <f t="shared" si="4"/>
        <v>27312.355755799595</v>
      </c>
      <c r="H21" s="1">
        <f>E9+Table148[[#This Row],[Mar_Int]]</f>
        <v>28812.355755799595</v>
      </c>
      <c r="I21" s="1">
        <f t="shared" si="5"/>
        <v>28975.625771749128</v>
      </c>
      <c r="J21" s="1">
        <f>F9+Table148[[#This Row],[Apr_Int]]</f>
        <v>30475.625771749128</v>
      </c>
      <c r="K21" s="1">
        <f t="shared" si="6"/>
        <v>30648.320984455706</v>
      </c>
      <c r="L21" s="1">
        <f>G9+Table148[[#This Row],[May_Int]]</f>
        <v>32148.320984455706</v>
      </c>
      <c r="M21" s="1">
        <f t="shared" si="7"/>
        <v>32330.494803367623</v>
      </c>
      <c r="N21" s="1">
        <f>H9+Table148[[#This Row],[Jun_Int]]</f>
        <v>33830.494803367619</v>
      </c>
      <c r="O21" s="1">
        <f t="shared" si="8"/>
        <v>34022.200940586707</v>
      </c>
      <c r="P21" s="1">
        <f>I9+Table148[[#This Row],[Jul_Int]]</f>
        <v>35522.200940586707</v>
      </c>
      <c r="Q21" s="1">
        <f t="shared" si="9"/>
        <v>35723.493412583368</v>
      </c>
      <c r="R21" s="1">
        <f>J9+Table148[[#This Row],[Aug_Int]]</f>
        <v>37223.493412583368</v>
      </c>
      <c r="S21" s="1">
        <f t="shared" si="10"/>
        <v>37434.426541921341</v>
      </c>
      <c r="T21" s="1">
        <f>K9+Table148[[#This Row],[Sep_Int]]</f>
        <v>38934.426541921341</v>
      </c>
      <c r="U21" s="1">
        <f t="shared" si="11"/>
        <v>39155.05495899223</v>
      </c>
      <c r="V21" s="1">
        <f>L9+Table148[[#This Row],[Oct_Int]]</f>
        <v>40655.05495899223</v>
      </c>
      <c r="W21" s="1">
        <f t="shared" si="12"/>
        <v>40885.433603759855</v>
      </c>
      <c r="X21" s="1">
        <f>M9+Table148[[#This Row],[Nov_Int]]</f>
        <v>42385.433603759855</v>
      </c>
      <c r="Y21" s="1">
        <f t="shared" si="13"/>
        <v>42625.617727514495</v>
      </c>
      <c r="Z21" s="1"/>
    </row>
    <row r="22" spans="1:26">
      <c r="A22" t="s">
        <v>51</v>
      </c>
      <c r="B22" s="1">
        <f>B10+Table14[[#This Row],[Dec_Int]]</f>
        <v>23878.567298067868</v>
      </c>
      <c r="C22" s="1">
        <f t="shared" si="2"/>
        <v>24013.879179423588</v>
      </c>
      <c r="D22" s="1">
        <f>C10+Table148[[#This Row],[Jan_Int]]</f>
        <v>25513.879179423588</v>
      </c>
      <c r="E22" s="1">
        <f t="shared" si="3"/>
        <v>25658.457828106988</v>
      </c>
      <c r="F22" s="1">
        <f>D10+Table148[[#This Row],[Feb_Int]]</f>
        <v>27158.457828106988</v>
      </c>
      <c r="G22" s="1">
        <f t="shared" si="4"/>
        <v>27312.355755799595</v>
      </c>
      <c r="H22" s="1">
        <f>E10+Table148[[#This Row],[Mar_Int]]</f>
        <v>28812.355755799595</v>
      </c>
      <c r="I22" s="1">
        <f t="shared" si="5"/>
        <v>28975.625771749128</v>
      </c>
      <c r="J22" s="1">
        <f>F10+Table148[[#This Row],[Apr_Int]]</f>
        <v>30475.625771749128</v>
      </c>
      <c r="K22" s="1">
        <f t="shared" si="6"/>
        <v>30648.320984455706</v>
      </c>
      <c r="L22" s="1">
        <f>G10+Table148[[#This Row],[May_Int]]</f>
        <v>32148.320984455706</v>
      </c>
      <c r="M22" s="1">
        <f t="shared" si="7"/>
        <v>32330.494803367623</v>
      </c>
      <c r="N22" s="1">
        <f>H10+Table148[[#This Row],[Jun_Int]]</f>
        <v>33830.494803367619</v>
      </c>
      <c r="O22" s="1">
        <f t="shared" si="8"/>
        <v>34022.200940586707</v>
      </c>
      <c r="P22" s="1">
        <f>I10+Table148[[#This Row],[Jul_Int]]</f>
        <v>35522.200940586707</v>
      </c>
      <c r="Q22" s="1">
        <f t="shared" si="9"/>
        <v>35723.493412583368</v>
      </c>
      <c r="R22" s="1">
        <f>J10+Table148[[#This Row],[Aug_Int]]</f>
        <v>37223.493412583368</v>
      </c>
      <c r="S22" s="1">
        <f t="shared" si="10"/>
        <v>37434.426541921341</v>
      </c>
      <c r="T22" s="1">
        <f>K10+Table148[[#This Row],[Sep_Int]]</f>
        <v>38934.426541921341</v>
      </c>
      <c r="U22" s="1">
        <f t="shared" si="11"/>
        <v>39155.05495899223</v>
      </c>
      <c r="V22" s="1">
        <f>L10+Table148[[#This Row],[Oct_Int]]</f>
        <v>40655.05495899223</v>
      </c>
      <c r="W22" s="1">
        <f t="shared" si="12"/>
        <v>40885.433603759855</v>
      </c>
      <c r="X22" s="1">
        <f>M10+Table148[[#This Row],[Nov_Int]]</f>
        <v>42385.433603759855</v>
      </c>
      <c r="Y22" s="1">
        <f t="shared" si="13"/>
        <v>42625.617727514495</v>
      </c>
      <c r="Z22" s="1"/>
    </row>
    <row r="23" spans="1:26">
      <c r="A23" t="s">
        <v>52</v>
      </c>
      <c r="B23" s="1">
        <f>B11+Table14[[#This Row],[Dec_Int]]</f>
        <v>23878.567298067868</v>
      </c>
      <c r="C23" s="1">
        <f t="shared" si="2"/>
        <v>24013.879179423588</v>
      </c>
      <c r="D23" s="1">
        <f>C11+Table148[[#This Row],[Jan_Int]]</f>
        <v>25513.879179423588</v>
      </c>
      <c r="E23" s="1">
        <f t="shared" si="3"/>
        <v>25658.457828106988</v>
      </c>
      <c r="F23" s="1">
        <f>D11+Table148[[#This Row],[Feb_Int]]</f>
        <v>27158.457828106988</v>
      </c>
      <c r="G23" s="1">
        <f t="shared" si="4"/>
        <v>27312.355755799595</v>
      </c>
      <c r="H23" s="1">
        <f>E11+Table148[[#This Row],[Mar_Int]]</f>
        <v>28812.355755799595</v>
      </c>
      <c r="I23" s="1">
        <f t="shared" si="5"/>
        <v>28975.625771749128</v>
      </c>
      <c r="J23" s="1">
        <f>F11+Table148[[#This Row],[Apr_Int]]</f>
        <v>30475.625771749128</v>
      </c>
      <c r="K23" s="1">
        <f t="shared" si="6"/>
        <v>30648.320984455706</v>
      </c>
      <c r="L23" s="1">
        <f>G11+Table148[[#This Row],[May_Int]]</f>
        <v>32148.320984455706</v>
      </c>
      <c r="M23" s="1">
        <f t="shared" si="7"/>
        <v>32330.494803367623</v>
      </c>
      <c r="N23" s="1">
        <f>H11+Table148[[#This Row],[Jun_Int]]</f>
        <v>33830.494803367619</v>
      </c>
      <c r="O23" s="1">
        <f t="shared" si="8"/>
        <v>34022.200940586707</v>
      </c>
      <c r="P23" s="1">
        <f>I11+Table148[[#This Row],[Jul_Int]]</f>
        <v>35522.200940586707</v>
      </c>
      <c r="Q23" s="1">
        <f t="shared" si="9"/>
        <v>35723.493412583368</v>
      </c>
      <c r="R23" s="1">
        <f>J11+Table148[[#This Row],[Aug_Int]]</f>
        <v>37223.493412583368</v>
      </c>
      <c r="S23" s="1">
        <f t="shared" si="10"/>
        <v>37434.426541921341</v>
      </c>
      <c r="T23" s="1">
        <f>K11+Table148[[#This Row],[Sep_Int]]</f>
        <v>38934.426541921341</v>
      </c>
      <c r="U23" s="1">
        <f t="shared" si="11"/>
        <v>39155.05495899223</v>
      </c>
      <c r="V23" s="1">
        <f>L11+Table148[[#This Row],[Oct_Int]]</f>
        <v>40655.05495899223</v>
      </c>
      <c r="W23" s="1">
        <f t="shared" si="12"/>
        <v>40885.433603759855</v>
      </c>
      <c r="X23" s="1">
        <f>M11+Table148[[#This Row],[Nov_Int]]</f>
        <v>42385.433603759855</v>
      </c>
      <c r="Y23" s="1">
        <f t="shared" si="13"/>
        <v>42625.617727514495</v>
      </c>
      <c r="Z23" s="1"/>
    </row>
    <row r="24" spans="1:26">
      <c r="A24" t="s">
        <v>23</v>
      </c>
      <c r="B24" s="1">
        <f>B12+Table14[[#This Row],[Dec_Int]]</f>
        <v>23878.567298067868</v>
      </c>
      <c r="C24" s="1">
        <f t="shared" si="2"/>
        <v>24013.879179423588</v>
      </c>
      <c r="D24" s="1">
        <f>C12+Table148[[#This Row],[Jan_Int]]</f>
        <v>25513.879179423588</v>
      </c>
      <c r="E24" s="1">
        <f t="shared" si="3"/>
        <v>25658.457828106988</v>
      </c>
      <c r="F24" s="1">
        <f>D12+Table148[[#This Row],[Feb_Int]]</f>
        <v>27158.457828106988</v>
      </c>
      <c r="G24" s="1">
        <f t="shared" si="4"/>
        <v>27312.355755799595</v>
      </c>
      <c r="H24" s="1">
        <f>E12+Table148[[#This Row],[Mar_Int]]</f>
        <v>28812.355755799595</v>
      </c>
      <c r="I24" s="1">
        <f t="shared" si="5"/>
        <v>28975.625771749128</v>
      </c>
      <c r="J24" s="1">
        <f>F12+Table148[[#This Row],[Apr_Int]]</f>
        <v>30475.625771749128</v>
      </c>
      <c r="K24" s="1">
        <f t="shared" si="6"/>
        <v>30648.320984455706</v>
      </c>
      <c r="L24" s="1">
        <f>G12+Table148[[#This Row],[May_Int]]</f>
        <v>32148.320984455706</v>
      </c>
      <c r="M24" s="1">
        <f t="shared" si="7"/>
        <v>32330.494803367623</v>
      </c>
      <c r="N24" s="1">
        <f>H12+Table148[[#This Row],[Jun_Int]]</f>
        <v>33830.494803367619</v>
      </c>
      <c r="O24" s="1">
        <f t="shared" si="8"/>
        <v>34022.200940586707</v>
      </c>
      <c r="P24" s="1">
        <f>I12+Table148[[#This Row],[Jul_Int]]</f>
        <v>35522.200940586707</v>
      </c>
      <c r="Q24" s="1">
        <f t="shared" si="9"/>
        <v>35723.493412583368</v>
      </c>
      <c r="R24" s="1">
        <f>J12+Table148[[#This Row],[Aug_Int]]</f>
        <v>37223.493412583368</v>
      </c>
      <c r="S24" s="1">
        <f t="shared" si="10"/>
        <v>37434.426541921341</v>
      </c>
      <c r="T24" s="1">
        <f>K12+Table148[[#This Row],[Sep_Int]]</f>
        <v>38934.426541921341</v>
      </c>
      <c r="U24" s="1">
        <f t="shared" si="11"/>
        <v>39155.05495899223</v>
      </c>
      <c r="V24" s="1">
        <f>L12+Table148[[#This Row],[Oct_Int]]</f>
        <v>40655.05495899223</v>
      </c>
      <c r="W24" s="1">
        <f t="shared" si="12"/>
        <v>40885.433603759855</v>
      </c>
      <c r="X24" s="1">
        <f>M12+Table148[[#This Row],[Nov_Int]]</f>
        <v>42385.433603759855</v>
      </c>
      <c r="Y24" s="1">
        <f t="shared" si="13"/>
        <v>42625.617727514495</v>
      </c>
      <c r="Z24" s="1"/>
    </row>
    <row r="25" spans="1:26" ht="15" thickBot="1">
      <c r="A25" s="60" t="s">
        <v>53</v>
      </c>
      <c r="B25" s="61">
        <f>B13+Table14[[#This Row],[Dec_Int]]</f>
        <v>23878.567298067868</v>
      </c>
      <c r="C25" s="61">
        <f t="shared" si="2"/>
        <v>24013.879179423588</v>
      </c>
      <c r="D25" s="61">
        <f>C13+Table148[[#This Row],[Jan_Int]]</f>
        <v>25513.879179423588</v>
      </c>
      <c r="E25" s="61">
        <f t="shared" si="3"/>
        <v>25658.457828106988</v>
      </c>
      <c r="F25" s="61">
        <f>D13+Table148[[#This Row],[Feb_Int]]</f>
        <v>27158.457828106988</v>
      </c>
      <c r="G25" s="61">
        <f t="shared" si="4"/>
        <v>27312.355755799595</v>
      </c>
      <c r="H25" s="61">
        <f>E13+Table148[[#This Row],[Mar_Int]]</f>
        <v>28812.355755799595</v>
      </c>
      <c r="I25" s="61">
        <f t="shared" si="5"/>
        <v>28975.625771749128</v>
      </c>
      <c r="J25" s="61">
        <f>F13+Table148[[#This Row],[Apr_Int]]</f>
        <v>30475.625771749128</v>
      </c>
      <c r="K25" s="61">
        <f t="shared" si="6"/>
        <v>30648.320984455706</v>
      </c>
      <c r="L25" s="61">
        <f>G13+Table148[[#This Row],[May_Int]]</f>
        <v>32148.320984455706</v>
      </c>
      <c r="M25" s="61">
        <f t="shared" si="7"/>
        <v>32330.494803367623</v>
      </c>
      <c r="N25" s="61">
        <f>H13+Table148[[#This Row],[Jun_Int]]</f>
        <v>33830.494803367619</v>
      </c>
      <c r="O25" s="61">
        <f t="shared" si="8"/>
        <v>34022.200940586707</v>
      </c>
      <c r="P25" s="61">
        <f>I13+Table148[[#This Row],[Jul_Int]]</f>
        <v>35522.200940586707</v>
      </c>
      <c r="Q25" s="61">
        <f t="shared" si="9"/>
        <v>35723.493412583368</v>
      </c>
      <c r="R25" s="61">
        <f>J13+Table148[[#This Row],[Aug_Int]]</f>
        <v>37223.493412583368</v>
      </c>
      <c r="S25" s="61">
        <f t="shared" si="10"/>
        <v>37434.426541921341</v>
      </c>
      <c r="T25" s="61">
        <f>K13+Table148[[#This Row],[Sep_Int]]</f>
        <v>38934.426541921341</v>
      </c>
      <c r="U25" s="61">
        <f t="shared" si="11"/>
        <v>39155.05495899223</v>
      </c>
      <c r="V25" s="61">
        <f>L13+Table148[[#This Row],[Oct_Int]]</f>
        <v>40655.05495899223</v>
      </c>
      <c r="W25" s="61">
        <f t="shared" si="12"/>
        <v>40885.433603759855</v>
      </c>
      <c r="X25" s="61">
        <f>M13+Table148[[#This Row],[Nov_Int]]</f>
        <v>42385.433603759855</v>
      </c>
      <c r="Y25" s="61">
        <f t="shared" si="13"/>
        <v>42625.617727514495</v>
      </c>
      <c r="Z25" s="1"/>
    </row>
    <row r="26" spans="1:26" ht="15.6" thickTop="1" thickBot="1">
      <c r="A26" s="64" t="s">
        <v>54</v>
      </c>
      <c r="B26" s="65">
        <f>SUM(B18:B25)</f>
        <v>191028.53838454298</v>
      </c>
      <c r="C26" s="65">
        <f t="shared" ref="C26:Y26" si="14">SUM(C18:C25)</f>
        <v>192111.0334353887</v>
      </c>
      <c r="D26" s="65">
        <f t="shared" si="14"/>
        <v>204111.0334353887</v>
      </c>
      <c r="E26" s="65">
        <f t="shared" si="14"/>
        <v>205267.66262485593</v>
      </c>
      <c r="F26" s="65">
        <f t="shared" si="14"/>
        <v>217267.66262485593</v>
      </c>
      <c r="G26" s="65">
        <f t="shared" si="14"/>
        <v>218498.84604639676</v>
      </c>
      <c r="H26" s="65">
        <f t="shared" si="14"/>
        <v>230498.84604639676</v>
      </c>
      <c r="I26" s="65">
        <f t="shared" si="14"/>
        <v>231805.00617399302</v>
      </c>
      <c r="J26" s="65">
        <f t="shared" si="14"/>
        <v>243805.00617399302</v>
      </c>
      <c r="K26" s="65">
        <f t="shared" si="14"/>
        <v>245186.56787564562</v>
      </c>
      <c r="L26" s="65">
        <f t="shared" si="14"/>
        <v>257186.56787564562</v>
      </c>
      <c r="M26" s="65">
        <f t="shared" si="14"/>
        <v>258643.95842694098</v>
      </c>
      <c r="N26" s="65">
        <f t="shared" si="14"/>
        <v>270643.95842694095</v>
      </c>
      <c r="O26" s="65">
        <f t="shared" si="14"/>
        <v>272177.60752469365</v>
      </c>
      <c r="P26" s="65">
        <f t="shared" si="14"/>
        <v>284177.60752469365</v>
      </c>
      <c r="Q26" s="65">
        <f t="shared" si="14"/>
        <v>285787.94730066694</v>
      </c>
      <c r="R26" s="65">
        <f t="shared" si="14"/>
        <v>297787.94730066694</v>
      </c>
      <c r="S26" s="65">
        <f t="shared" si="14"/>
        <v>299475.41233537073</v>
      </c>
      <c r="T26" s="65">
        <f t="shared" si="14"/>
        <v>311475.41233537073</v>
      </c>
      <c r="U26" s="65">
        <f t="shared" si="14"/>
        <v>313240.43967193784</v>
      </c>
      <c r="V26" s="65">
        <f t="shared" si="14"/>
        <v>325240.43967193784</v>
      </c>
      <c r="W26" s="65">
        <f t="shared" si="14"/>
        <v>327083.46883007884</v>
      </c>
      <c r="X26" s="65">
        <f t="shared" si="14"/>
        <v>339083.46883007884</v>
      </c>
      <c r="Y26" s="65">
        <f t="shared" si="14"/>
        <v>341004.94182011596</v>
      </c>
      <c r="Z26" s="1"/>
    </row>
    <row r="27" spans="1:26" ht="15" thickTop="1"/>
    <row r="28" spans="1:26">
      <c r="A28" s="287" t="s">
        <v>110</v>
      </c>
      <c r="B28" s="287"/>
      <c r="C28" s="287"/>
      <c r="D28" s="1">
        <f>Y26-(N14+'2024 Projections'!N14+'2023 Projections'!N14)</f>
        <v>29004.941820115957</v>
      </c>
    </row>
    <row r="29" spans="1:26">
      <c r="B29" s="1"/>
      <c r="I29" s="1"/>
    </row>
    <row r="30" spans="1:26">
      <c r="I30" s="1"/>
    </row>
    <row r="31" spans="1:26">
      <c r="I31" s="1"/>
    </row>
  </sheetData>
  <mergeCells count="3">
    <mergeCell ref="A1:I3"/>
    <mergeCell ref="P2:Q2"/>
    <mergeCell ref="A28:C2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CD3-4AED-4BAD-9B2F-60D04C15E9EC}">
  <sheetPr>
    <tabColor theme="0" tint="-0.499984740745262"/>
  </sheetPr>
  <dimension ref="A1:X155"/>
  <sheetViews>
    <sheetView topLeftCell="A90" workbookViewId="0">
      <selection activeCell="E109" sqref="E109"/>
    </sheetView>
  </sheetViews>
  <sheetFormatPr defaultRowHeight="14.4"/>
  <cols>
    <col min="4" max="4" width="1.6640625" customWidth="1"/>
    <col min="5" max="5" width="12.44140625" bestFit="1" customWidth="1"/>
    <col min="8" max="8" width="9.6640625" customWidth="1"/>
    <col min="10" max="10" width="1.6640625" customWidth="1"/>
    <col min="11" max="11" width="12.44140625" bestFit="1" customWidth="1"/>
    <col min="14" max="14" width="11.6640625" bestFit="1" customWidth="1"/>
    <col min="17" max="17" width="1.6640625" customWidth="1"/>
    <col min="18" max="18" width="12.44140625" bestFit="1" customWidth="1"/>
    <col min="20" max="20" width="2" bestFit="1" customWidth="1"/>
    <col min="21" max="21" width="13.33203125" customWidth="1"/>
    <col min="22" max="22" width="14.88671875" customWidth="1"/>
    <col min="23" max="23" width="14.109375" customWidth="1"/>
    <col min="24" max="24" width="15.44140625" customWidth="1"/>
  </cols>
  <sheetData>
    <row r="1" spans="1:24">
      <c r="A1" t="s">
        <v>111</v>
      </c>
      <c r="G1" t="s">
        <v>112</v>
      </c>
      <c r="M1" t="s">
        <v>15</v>
      </c>
      <c r="T1" s="55"/>
      <c r="U1" s="56" t="s">
        <v>113</v>
      </c>
      <c r="V1" s="55"/>
      <c r="W1" s="55"/>
      <c r="X1" s="55"/>
    </row>
    <row r="2" spans="1:24" ht="15" thickBot="1">
      <c r="A2" s="45" t="s">
        <v>114</v>
      </c>
      <c r="G2" s="45" t="s">
        <v>115</v>
      </c>
      <c r="M2" s="45" t="s">
        <v>116</v>
      </c>
      <c r="T2" s="55">
        <v>8</v>
      </c>
      <c r="U2" s="55" t="s">
        <v>117</v>
      </c>
      <c r="V2" s="55" t="s">
        <v>111</v>
      </c>
      <c r="W2" s="55" t="s">
        <v>106</v>
      </c>
      <c r="X2" s="55" t="s">
        <v>15</v>
      </c>
    </row>
    <row r="3" spans="1:24">
      <c r="A3" s="296" t="s">
        <v>118</v>
      </c>
      <c r="B3" s="297"/>
      <c r="C3" s="70" t="s">
        <v>119</v>
      </c>
      <c r="E3" t="s">
        <v>120</v>
      </c>
      <c r="G3" s="296" t="s">
        <v>121</v>
      </c>
      <c r="H3" s="297"/>
      <c r="I3" s="70" t="s">
        <v>119</v>
      </c>
      <c r="K3" t="s">
        <v>120</v>
      </c>
      <c r="M3" s="296" t="s">
        <v>121</v>
      </c>
      <c r="N3" s="297"/>
      <c r="O3" s="71" t="s">
        <v>122</v>
      </c>
      <c r="P3" s="70" t="s">
        <v>123</v>
      </c>
      <c r="R3" t="s">
        <v>120</v>
      </c>
      <c r="T3" s="55"/>
      <c r="U3" s="57">
        <f>500*T2*12</f>
        <v>48000</v>
      </c>
      <c r="V3" s="57">
        <f>$U$3*(1+C6)</f>
        <v>50040</v>
      </c>
      <c r="W3" s="57">
        <f>$U$3*(1+I6)</f>
        <v>49824</v>
      </c>
      <c r="X3" s="57">
        <f>$U$3*(1+O7)</f>
        <v>50880</v>
      </c>
    </row>
    <row r="4" spans="1:24">
      <c r="A4" s="293" t="s">
        <v>124</v>
      </c>
      <c r="B4" s="294"/>
      <c r="C4" s="47" t="s">
        <v>125</v>
      </c>
      <c r="E4" s="58"/>
      <c r="G4" s="293" t="s">
        <v>124</v>
      </c>
      <c r="H4" s="294"/>
      <c r="I4" s="47">
        <v>3.2000000000000001E-2</v>
      </c>
      <c r="J4">
        <v>999</v>
      </c>
      <c r="K4" s="59">
        <f>J4*(1+I4)</f>
        <v>1030.9680000000001</v>
      </c>
      <c r="M4" s="291" t="s">
        <v>126</v>
      </c>
      <c r="N4" s="292"/>
      <c r="O4" s="295">
        <v>5.8000000000000003E-2</v>
      </c>
      <c r="P4" s="290">
        <v>5.96E-2</v>
      </c>
      <c r="Q4" s="289">
        <v>19999</v>
      </c>
      <c r="R4" s="288">
        <f>Q4*(1+P4)</f>
        <v>21190.940400000003</v>
      </c>
      <c r="T4" s="55"/>
      <c r="U4" s="57">
        <f>T2*6*(500+1000)</f>
        <v>72000</v>
      </c>
      <c r="V4" s="57">
        <f>$U$4*(1+C10)</f>
        <v>75420</v>
      </c>
      <c r="W4" s="57">
        <f>$U$4*(1+I10)</f>
        <v>75096</v>
      </c>
      <c r="X4" s="57">
        <f>$U$4*(1+O11)</f>
        <v>76716.000000000015</v>
      </c>
    </row>
    <row r="5" spans="1:24">
      <c r="A5" s="293" t="s">
        <v>127</v>
      </c>
      <c r="B5" s="294"/>
      <c r="C5" s="47">
        <v>0.04</v>
      </c>
      <c r="D5">
        <v>9999</v>
      </c>
      <c r="E5" s="59">
        <f>D5*(1+C5)</f>
        <v>10398.960000000001</v>
      </c>
      <c r="G5" s="293" t="s">
        <v>127</v>
      </c>
      <c r="H5" s="294"/>
      <c r="I5" s="47">
        <v>3.5499999999999997E-2</v>
      </c>
      <c r="J5">
        <v>9999</v>
      </c>
      <c r="K5" s="59">
        <f>J5*(1+I5)</f>
        <v>10353.9645</v>
      </c>
      <c r="M5" s="291"/>
      <c r="N5" s="292"/>
      <c r="O5" s="295"/>
      <c r="P5" s="290"/>
      <c r="Q5" s="289"/>
      <c r="R5" s="288"/>
      <c r="T5" s="55"/>
      <c r="U5" s="57">
        <f>T2*1000*12</f>
        <v>96000</v>
      </c>
      <c r="V5" s="57">
        <f>$U$5*(1+C11)</f>
        <v>101040</v>
      </c>
      <c r="W5" s="57">
        <f>$U$5*(1+I10)</f>
        <v>100128</v>
      </c>
      <c r="X5" s="57">
        <f>$U$5*(1+O11)</f>
        <v>102288.00000000001</v>
      </c>
    </row>
    <row r="6" spans="1:24">
      <c r="A6" s="291" t="s">
        <v>128</v>
      </c>
      <c r="B6" s="292"/>
      <c r="C6" s="290">
        <v>4.2500000000000003E-2</v>
      </c>
      <c r="D6">
        <v>49999</v>
      </c>
      <c r="E6" s="59">
        <f t="shared" ref="E6:E12" si="0">D6*(1+C6)</f>
        <v>52123.957499999997</v>
      </c>
      <c r="G6" s="291" t="s">
        <v>128</v>
      </c>
      <c r="H6" s="292"/>
      <c r="I6" s="290">
        <v>3.7999999999999999E-2</v>
      </c>
      <c r="J6" s="289">
        <v>49999</v>
      </c>
      <c r="K6" s="288">
        <f t="shared" ref="K6:K12" si="1">J6*(1+I6)</f>
        <v>51898.962</v>
      </c>
      <c r="M6" s="291"/>
      <c r="N6" s="292"/>
      <c r="O6" s="295"/>
      <c r="P6" s="290"/>
      <c r="Q6" s="289"/>
      <c r="R6" s="288"/>
    </row>
    <row r="7" spans="1:24">
      <c r="A7" s="291"/>
      <c r="B7" s="292"/>
      <c r="C7" s="290"/>
      <c r="E7" s="59"/>
      <c r="G7" s="291"/>
      <c r="H7" s="292"/>
      <c r="I7" s="290"/>
      <c r="J7" s="289"/>
      <c r="K7" s="288"/>
      <c r="M7" s="291" t="s">
        <v>129</v>
      </c>
      <c r="N7" s="292"/>
      <c r="O7" s="295">
        <v>0.06</v>
      </c>
      <c r="P7" s="290">
        <v>6.1699999999999998E-2</v>
      </c>
      <c r="Q7" s="289">
        <v>25999</v>
      </c>
      <c r="R7" s="288">
        <f t="shared" ref="R7:R12" si="2">Q7*(1+P7)</f>
        <v>27603.138300000002</v>
      </c>
      <c r="T7" s="50"/>
      <c r="U7" s="50"/>
      <c r="V7" s="50"/>
      <c r="W7" s="50"/>
    </row>
    <row r="8" spans="1:24">
      <c r="A8" s="291"/>
      <c r="B8" s="292"/>
      <c r="C8" s="290"/>
      <c r="E8" s="59"/>
      <c r="G8" s="291"/>
      <c r="H8" s="292"/>
      <c r="I8" s="290"/>
      <c r="J8" s="289"/>
      <c r="K8" s="288"/>
      <c r="M8" s="291"/>
      <c r="N8" s="292"/>
      <c r="O8" s="295"/>
      <c r="P8" s="290"/>
      <c r="Q8" s="289"/>
      <c r="R8" s="288"/>
      <c r="T8" s="50"/>
      <c r="U8" s="50"/>
      <c r="V8" s="50"/>
      <c r="W8" s="50"/>
    </row>
    <row r="9" spans="1:24">
      <c r="A9" s="291"/>
      <c r="B9" s="292"/>
      <c r="C9" s="290"/>
      <c r="E9" s="59"/>
      <c r="G9" s="291"/>
      <c r="H9" s="292"/>
      <c r="I9" s="290"/>
      <c r="J9" s="289"/>
      <c r="K9" s="288"/>
      <c r="M9" s="291" t="s">
        <v>130</v>
      </c>
      <c r="N9" s="292"/>
      <c r="O9" s="295">
        <v>6.4500000000000002E-2</v>
      </c>
      <c r="P9" s="290">
        <v>6.6400000000000001E-2</v>
      </c>
      <c r="Q9" s="289">
        <v>75999</v>
      </c>
      <c r="R9" s="288">
        <f t="shared" si="2"/>
        <v>81045.333599999998</v>
      </c>
      <c r="T9" s="50"/>
      <c r="U9" s="50"/>
      <c r="V9" s="50"/>
      <c r="W9" s="50"/>
    </row>
    <row r="10" spans="1:24">
      <c r="A10" s="293" t="s">
        <v>131</v>
      </c>
      <c r="B10" s="294"/>
      <c r="C10" s="47">
        <v>4.7500000000000001E-2</v>
      </c>
      <c r="D10">
        <v>74999</v>
      </c>
      <c r="E10" s="59">
        <f t="shared" si="0"/>
        <v>78561.452500000014</v>
      </c>
      <c r="G10" s="291" t="s">
        <v>132</v>
      </c>
      <c r="H10" s="292"/>
      <c r="I10" s="290">
        <v>4.2999999999999997E-2</v>
      </c>
      <c r="J10">
        <v>99999</v>
      </c>
      <c r="K10" s="59">
        <f>J10*(1+I10)</f>
        <v>104298.95699999999</v>
      </c>
      <c r="M10" s="291"/>
      <c r="N10" s="292"/>
      <c r="O10" s="295"/>
      <c r="P10" s="290"/>
      <c r="Q10" s="289"/>
      <c r="R10" s="288"/>
    </row>
    <row r="11" spans="1:24">
      <c r="A11" s="293" t="s">
        <v>133</v>
      </c>
      <c r="B11" s="294"/>
      <c r="C11" s="47">
        <v>5.2499999999999998E-2</v>
      </c>
      <c r="D11">
        <v>99999</v>
      </c>
      <c r="E11" s="59">
        <f t="shared" si="0"/>
        <v>105248.94749999999</v>
      </c>
      <c r="G11" s="291"/>
      <c r="H11" s="292"/>
      <c r="I11" s="290"/>
      <c r="K11" s="59"/>
      <c r="M11" s="293" t="s">
        <v>133</v>
      </c>
      <c r="N11" s="294"/>
      <c r="O11" s="46">
        <v>6.5500000000000003E-2</v>
      </c>
      <c r="P11" s="47">
        <v>6.7500000000000004E-2</v>
      </c>
      <c r="Q11">
        <v>99999</v>
      </c>
      <c r="R11" s="59">
        <f t="shared" si="2"/>
        <v>106748.9325</v>
      </c>
    </row>
    <row r="12" spans="1:24" ht="15" thickBot="1">
      <c r="A12" s="298" t="s">
        <v>134</v>
      </c>
      <c r="B12" s="299"/>
      <c r="C12" s="48">
        <v>5.7500000000000002E-2</v>
      </c>
      <c r="D12">
        <v>100000</v>
      </c>
      <c r="E12" s="59">
        <f t="shared" si="0"/>
        <v>105750.00000000001</v>
      </c>
      <c r="G12" s="298" t="s">
        <v>134</v>
      </c>
      <c r="H12" s="299"/>
      <c r="I12" s="48">
        <v>5.0500000000000003E-2</v>
      </c>
      <c r="J12">
        <v>100000</v>
      </c>
      <c r="K12" s="59">
        <f t="shared" si="1"/>
        <v>105050</v>
      </c>
      <c r="M12" s="298" t="s">
        <v>134</v>
      </c>
      <c r="N12" s="299"/>
      <c r="O12" s="49">
        <v>6.5500000000000003E-2</v>
      </c>
      <c r="P12" s="48">
        <v>6.7500000000000004E-2</v>
      </c>
      <c r="Q12">
        <v>100000</v>
      </c>
      <c r="R12" s="59">
        <f t="shared" si="2"/>
        <v>106749.99999999999</v>
      </c>
    </row>
    <row r="13" spans="1:24">
      <c r="A13" s="45" t="s">
        <v>135</v>
      </c>
    </row>
    <row r="14" spans="1:24">
      <c r="A14" s="45" t="s">
        <v>136</v>
      </c>
    </row>
    <row r="15" spans="1:24">
      <c r="G15" s="45" t="s">
        <v>115</v>
      </c>
      <c r="M15" s="45" t="s">
        <v>137</v>
      </c>
    </row>
    <row r="16" spans="1:24">
      <c r="A16" t="s">
        <v>138</v>
      </c>
      <c r="C16" t="s">
        <v>139</v>
      </c>
      <c r="G16" t="s">
        <v>138</v>
      </c>
      <c r="I16" t="s">
        <v>139</v>
      </c>
      <c r="M16" t="s">
        <v>138</v>
      </c>
      <c r="O16" t="s">
        <v>139</v>
      </c>
    </row>
    <row r="17" spans="3:14">
      <c r="C17" t="s">
        <v>140</v>
      </c>
      <c r="G17" t="s">
        <v>141</v>
      </c>
      <c r="I17" t="s">
        <v>142</v>
      </c>
      <c r="M17" t="s">
        <v>143</v>
      </c>
    </row>
    <row r="18" spans="3:14">
      <c r="C18" t="s">
        <v>144</v>
      </c>
      <c r="I18" t="s">
        <v>145</v>
      </c>
      <c r="M18" t="s">
        <v>146</v>
      </c>
    </row>
    <row r="19" spans="3:14">
      <c r="C19" t="s">
        <v>147</v>
      </c>
      <c r="I19" s="228" t="s">
        <v>148</v>
      </c>
      <c r="J19" s="228"/>
      <c r="K19" s="228"/>
      <c r="M19" t="s">
        <v>149</v>
      </c>
    </row>
    <row r="20" spans="3:14">
      <c r="I20" s="228"/>
      <c r="J20" s="228"/>
      <c r="K20" s="228"/>
      <c r="M20" s="228" t="s">
        <v>150</v>
      </c>
      <c r="N20" s="228"/>
    </row>
    <row r="21" spans="3:14">
      <c r="I21" t="s">
        <v>151</v>
      </c>
      <c r="M21" s="228"/>
      <c r="N21" s="228"/>
    </row>
    <row r="22" spans="3:14">
      <c r="I22" t="s">
        <v>152</v>
      </c>
      <c r="M22" s="228" t="s">
        <v>153</v>
      </c>
      <c r="N22" s="228"/>
    </row>
    <row r="23" spans="3:14">
      <c r="I23" s="228" t="s">
        <v>154</v>
      </c>
      <c r="J23" s="228"/>
      <c r="K23" s="228"/>
      <c r="M23" s="228"/>
      <c r="N23" s="228"/>
    </row>
    <row r="24" spans="3:14">
      <c r="I24" s="228"/>
      <c r="J24" s="228"/>
      <c r="K24" s="228"/>
      <c r="M24" s="228" t="s">
        <v>155</v>
      </c>
      <c r="N24" s="228"/>
    </row>
    <row r="25" spans="3:14">
      <c r="I25" s="228"/>
      <c r="J25" s="228"/>
      <c r="K25" s="228"/>
      <c r="M25" s="228"/>
      <c r="N25" s="228"/>
    </row>
    <row r="26" spans="3:14">
      <c r="I26" t="s">
        <v>156</v>
      </c>
      <c r="M26" s="228"/>
      <c r="N26" s="228"/>
    </row>
    <row r="27" spans="3:14">
      <c r="M27" t="s">
        <v>157</v>
      </c>
    </row>
    <row r="47" spans="10:15">
      <c r="J47" s="287"/>
      <c r="K47" s="287"/>
      <c r="L47" s="287"/>
      <c r="M47" s="44"/>
      <c r="N47" s="44"/>
      <c r="O47" s="44"/>
    </row>
    <row r="48" spans="10:15">
      <c r="J48" s="287"/>
      <c r="K48" s="287"/>
      <c r="L48" s="287"/>
      <c r="M48" s="44"/>
      <c r="N48" s="44"/>
      <c r="O48" s="44"/>
    </row>
    <row r="49" spans="10:15">
      <c r="J49" s="287"/>
      <c r="K49" s="287"/>
      <c r="L49" s="287"/>
      <c r="M49" s="44"/>
      <c r="N49" s="44"/>
      <c r="O49" s="44"/>
    </row>
    <row r="50" spans="10:15">
      <c r="J50" s="287"/>
      <c r="K50" s="287"/>
      <c r="L50" s="287"/>
      <c r="M50" s="44"/>
      <c r="N50" s="44"/>
      <c r="O50" s="44"/>
    </row>
    <row r="51" spans="10:15">
      <c r="J51" s="287"/>
      <c r="K51" s="287"/>
      <c r="L51" s="287"/>
      <c r="M51" s="44"/>
      <c r="N51" s="44"/>
      <c r="O51" s="44"/>
    </row>
    <row r="109" spans="11:11" ht="39.6">
      <c r="K109" s="173" t="s">
        <v>158</v>
      </c>
    </row>
    <row r="110" spans="11:11">
      <c r="K110" s="174"/>
    </row>
    <row r="111" spans="11:11" ht="14.4" customHeight="1">
      <c r="K111" s="175" t="s">
        <v>159</v>
      </c>
    </row>
    <row r="112" spans="11:11" ht="14.4" customHeight="1">
      <c r="K112" s="175" t="s">
        <v>160</v>
      </c>
    </row>
    <row r="113" spans="11:11" ht="14.4" customHeight="1">
      <c r="K113" s="175" t="s">
        <v>161</v>
      </c>
    </row>
    <row r="114" spans="11:11" ht="14.4" customHeight="1">
      <c r="K114" s="175" t="s">
        <v>162</v>
      </c>
    </row>
    <row r="115" spans="11:11" ht="14.4" customHeight="1">
      <c r="K115" s="175" t="s">
        <v>163</v>
      </c>
    </row>
    <row r="116" spans="11:11" ht="14.4" customHeight="1">
      <c r="K116" s="175" t="s">
        <v>164</v>
      </c>
    </row>
    <row r="117" spans="11:11" ht="14.4" customHeight="1">
      <c r="K117" s="175" t="s">
        <v>165</v>
      </c>
    </row>
    <row r="118" spans="11:11" ht="14.4" customHeight="1">
      <c r="K118" s="175" t="s">
        <v>166</v>
      </c>
    </row>
    <row r="119" spans="11:11">
      <c r="K119" s="174"/>
    </row>
    <row r="120" spans="11:11">
      <c r="K120" s="176" t="s">
        <v>167</v>
      </c>
    </row>
    <row r="121" spans="11:11" ht="14.4" customHeight="1">
      <c r="K121" s="175" t="s">
        <v>168</v>
      </c>
    </row>
    <row r="122" spans="11:11" ht="14.4" customHeight="1">
      <c r="K122" s="175" t="s">
        <v>169</v>
      </c>
    </row>
    <row r="123" spans="11:11" ht="14.4" customHeight="1">
      <c r="K123" s="175" t="s">
        <v>170</v>
      </c>
    </row>
    <row r="124" spans="11:11" ht="14.4" customHeight="1">
      <c r="K124" s="175" t="s">
        <v>171</v>
      </c>
    </row>
    <row r="125" spans="11:11" ht="14.4" customHeight="1">
      <c r="K125" s="175" t="s">
        <v>172</v>
      </c>
    </row>
    <row r="126" spans="11:11" ht="14.4" customHeight="1">
      <c r="K126" s="175" t="s">
        <v>173</v>
      </c>
    </row>
    <row r="127" spans="11:11" ht="14.4" customHeight="1">
      <c r="K127" s="175" t="s">
        <v>174</v>
      </c>
    </row>
    <row r="128" spans="11:11" ht="14.4" customHeight="1">
      <c r="K128" s="175" t="s">
        <v>175</v>
      </c>
    </row>
    <row r="129" spans="11:11">
      <c r="K129" s="174"/>
    </row>
    <row r="130" spans="11:11" ht="14.4" customHeight="1">
      <c r="K130" s="175" t="s">
        <v>176</v>
      </c>
    </row>
    <row r="131" spans="11:11" ht="14.4" customHeight="1">
      <c r="K131" s="175" t="s">
        <v>177</v>
      </c>
    </row>
    <row r="132" spans="11:11" ht="14.4" customHeight="1">
      <c r="K132" s="175" t="s">
        <v>178</v>
      </c>
    </row>
    <row r="133" spans="11:11" ht="14.4" customHeight="1">
      <c r="K133" s="175" t="s">
        <v>179</v>
      </c>
    </row>
    <row r="134" spans="11:11" ht="14.4" customHeight="1">
      <c r="K134" s="175" t="s">
        <v>180</v>
      </c>
    </row>
    <row r="135" spans="11:11" ht="14.4" customHeight="1">
      <c r="K135" s="175" t="s">
        <v>181</v>
      </c>
    </row>
    <row r="136" spans="11:11" ht="14.4" customHeight="1">
      <c r="K136" s="175" t="s">
        <v>182</v>
      </c>
    </row>
    <row r="137" spans="11:11" ht="14.4" customHeight="1">
      <c r="K137" s="175" t="s">
        <v>183</v>
      </c>
    </row>
    <row r="138" spans="11:11">
      <c r="K138" s="174"/>
    </row>
    <row r="139" spans="11:11" ht="14.4" customHeight="1">
      <c r="K139" s="175" t="s">
        <v>184</v>
      </c>
    </row>
    <row r="140" spans="11:11" ht="14.4" customHeight="1">
      <c r="K140" s="175" t="s">
        <v>185</v>
      </c>
    </row>
    <row r="141" spans="11:11" ht="14.4" customHeight="1">
      <c r="K141" s="175" t="s">
        <v>186</v>
      </c>
    </row>
    <row r="142" spans="11:11" ht="14.4" customHeight="1">
      <c r="K142" s="175" t="s">
        <v>187</v>
      </c>
    </row>
    <row r="143" spans="11:11" ht="14.4" customHeight="1">
      <c r="K143" s="175" t="s">
        <v>188</v>
      </c>
    </row>
    <row r="144" spans="11:11" ht="14.4" customHeight="1">
      <c r="K144" s="175" t="s">
        <v>189</v>
      </c>
    </row>
    <row r="145" spans="11:11" ht="14.4" customHeight="1">
      <c r="K145" s="175" t="s">
        <v>190</v>
      </c>
    </row>
    <row r="146" spans="11:11" ht="14.4" customHeight="1">
      <c r="K146" s="175" t="s">
        <v>191</v>
      </c>
    </row>
    <row r="147" spans="11:11">
      <c r="K147" s="174"/>
    </row>
    <row r="148" spans="11:11" ht="14.4" customHeight="1">
      <c r="K148" s="175" t="s">
        <v>192</v>
      </c>
    </row>
    <row r="149" spans="11:11" ht="14.4" customHeight="1">
      <c r="K149" s="175" t="s">
        <v>193</v>
      </c>
    </row>
    <row r="150" spans="11:11" ht="14.4" customHeight="1">
      <c r="K150" s="175" t="s">
        <v>194</v>
      </c>
    </row>
    <row r="151" spans="11:11" ht="14.4" customHeight="1">
      <c r="K151" s="175" t="s">
        <v>195</v>
      </c>
    </row>
    <row r="152" spans="11:11" ht="14.4" customHeight="1">
      <c r="K152" s="175" t="s">
        <v>196</v>
      </c>
    </row>
    <row r="153" spans="11:11" ht="14.4" customHeight="1">
      <c r="K153" s="175" t="s">
        <v>197</v>
      </c>
    </row>
    <row r="154" spans="11:11" ht="14.4" customHeight="1">
      <c r="K154" s="175" t="s">
        <v>198</v>
      </c>
    </row>
    <row r="155" spans="11:11" ht="14.4" customHeight="1">
      <c r="K155" s="175" t="s">
        <v>199</v>
      </c>
    </row>
  </sheetData>
  <mergeCells count="46">
    <mergeCell ref="A3:B3"/>
    <mergeCell ref="A5:B5"/>
    <mergeCell ref="A12:B12"/>
    <mergeCell ref="G4:H4"/>
    <mergeCell ref="G5:H5"/>
    <mergeCell ref="G12:H12"/>
    <mergeCell ref="A4:B4"/>
    <mergeCell ref="G10:H11"/>
    <mergeCell ref="J51:L51"/>
    <mergeCell ref="G3:H3"/>
    <mergeCell ref="M3:N3"/>
    <mergeCell ref="M11:N11"/>
    <mergeCell ref="G6:H9"/>
    <mergeCell ref="I6:I9"/>
    <mergeCell ref="M12:N12"/>
    <mergeCell ref="J47:L47"/>
    <mergeCell ref="J48:L48"/>
    <mergeCell ref="J49:L49"/>
    <mergeCell ref="J50:L50"/>
    <mergeCell ref="I23:K25"/>
    <mergeCell ref="I19:K20"/>
    <mergeCell ref="M20:N21"/>
    <mergeCell ref="M22:N23"/>
    <mergeCell ref="M24:N26"/>
    <mergeCell ref="M9:N10"/>
    <mergeCell ref="O9:O10"/>
    <mergeCell ref="P9:P10"/>
    <mergeCell ref="J6:J9"/>
    <mergeCell ref="K6:K9"/>
    <mergeCell ref="M4:N6"/>
    <mergeCell ref="O4:O6"/>
    <mergeCell ref="P4:P6"/>
    <mergeCell ref="M7:N8"/>
    <mergeCell ref="O7:O8"/>
    <mergeCell ref="P7:P8"/>
    <mergeCell ref="I10:I11"/>
    <mergeCell ref="A6:B9"/>
    <mergeCell ref="C6:C9"/>
    <mergeCell ref="A10:B10"/>
    <mergeCell ref="A11:B11"/>
    <mergeCell ref="R7:R8"/>
    <mergeCell ref="R9:R10"/>
    <mergeCell ref="R4:R6"/>
    <mergeCell ref="Q4:Q6"/>
    <mergeCell ref="Q7:Q8"/>
    <mergeCell ref="Q9:Q10"/>
  </mergeCells>
  <phoneticPr fontId="2" type="noConversion"/>
  <hyperlinks>
    <hyperlink ref="M2" r:id="rId1" display="https://www.fnb.co.za/rates/TransactionalAccounts.html?ratesGroup=Transactional%20Accounts&amp;productName=Stokvel%20Account" xr:uid="{2F95F92B-DCE9-4BCD-A294-9D356F666243}"/>
    <hyperlink ref="G2" r:id="rId2" display="https://www.standardbank.co.za/southafrica/personal/products-and-services/grow-your-money/savings-and-investment/our-accounts/society-scheme-savings-account" xr:uid="{68534FDB-0CE8-4F64-B39B-8262E2D4053B}"/>
    <hyperlink ref="A2" r:id="rId3" display="https://personal.nedbank.co.za/save-and-invest/accounts/on-demand/stokvel/2022-rates-and-fees.html" xr:uid="{0095871A-08CF-4C6B-B4BD-995FC959A02E}"/>
    <hyperlink ref="A13" r:id="rId4" display="C:\Users\GeorgeNyirenda\OneDrive - Motornostix (Pty) Ltd\George\everyday-banking-fees-2023.pdf" xr:uid="{2F0E1065-F137-4694-B600-9AF52EFA06F7}"/>
    <hyperlink ref="A14" r:id="rId5" display="https://personal.nedbank.co.za/save-and-invest/accounts/on-demand/stokvel/ready-to-apply.html" xr:uid="{6091035C-761B-4FFF-9FF0-946BAF7108E7}"/>
    <hyperlink ref="M15" r:id="rId6" display="https://www.fnb.co.za/savings-account/stokvel-account.html" xr:uid="{CCF20013-9AC0-4F98-BD80-4678B378AEA9}"/>
    <hyperlink ref="G15" r:id="rId7" display="https://www.standardbank.co.za/southafrica/personal/products-and-services/grow-your-money/savings-and-investment/our-accounts/society-scheme-savings-account" xr:uid="{1F10FB1B-2CD2-4424-B746-E65C3122C554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Contributions</vt:lpstr>
      <vt:lpstr>2023 Cashflows</vt:lpstr>
      <vt:lpstr>2023 Projections</vt:lpstr>
      <vt:lpstr>2024 Projections</vt:lpstr>
      <vt:lpstr>2024 Cashflow</vt:lpstr>
      <vt:lpstr>2025 Projections</vt:lpstr>
      <vt:lpstr>Bank Rates</vt:lpstr>
      <vt:lpstr>Apr</vt:lpstr>
      <vt:lpstr>Aug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Sep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Nyirenda</dc:creator>
  <cp:keywords/>
  <dc:description/>
  <cp:lastModifiedBy>George Nyirenda</cp:lastModifiedBy>
  <cp:revision/>
  <dcterms:created xsi:type="dcterms:W3CDTF">2023-01-15T17:32:21Z</dcterms:created>
  <dcterms:modified xsi:type="dcterms:W3CDTF">2023-06-05T17:21:08Z</dcterms:modified>
  <cp:category/>
  <cp:contentStatus/>
</cp:coreProperties>
</file>