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0ff6a812066170/Desktop/"/>
    </mc:Choice>
  </mc:AlternateContent>
  <xr:revisionPtr revIDLastSave="0" documentId="8_{43647D41-3D3F-4C99-B7B8-47B43F6C219A}" xr6:coauthVersionLast="47" xr6:coauthVersionMax="47" xr10:uidLastSave="{00000000-0000-0000-0000-000000000000}"/>
  <bookViews>
    <workbookView xWindow="14295" yWindow="0" windowWidth="14610" windowHeight="15585" activeTab="2" xr2:uid="{7101C8F5-BEEA-4EEB-9F42-CD106C8FB4A2}"/>
  </bookViews>
  <sheets>
    <sheet name="Cell Count" sheetId="1" r:id="rId1"/>
    <sheet name="Phosphorilization_Exp1" sheetId="2" r:id="rId2"/>
    <sheet name="Phosphorilization_Exp2" sheetId="3" r:id="rId3"/>
    <sheet name="Sheet1" sheetId="4" r:id="rId4"/>
  </sheets>
  <definedNames>
    <definedName name="_xlnm._FilterDatabase" localSheetId="1" hidden="1">Phosphorilization_Exp1!$A$1:$M$24</definedName>
    <definedName name="_xlnm._FilterDatabase" localSheetId="2" hidden="1">Phosphorilization_Exp2!$A$1:$P$40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3" l="1"/>
  <c r="J9" i="3"/>
  <c r="J12" i="3"/>
  <c r="J15" i="3"/>
  <c r="J19" i="3"/>
  <c r="J23" i="3"/>
  <c r="J24" i="3"/>
  <c r="J26" i="3"/>
  <c r="J30" i="3"/>
  <c r="J31" i="3"/>
  <c r="K31" i="3" s="1"/>
  <c r="J32" i="3"/>
  <c r="J34" i="3"/>
  <c r="J36" i="3"/>
  <c r="J38" i="3"/>
  <c r="J39" i="3"/>
  <c r="J40" i="3"/>
  <c r="J4" i="3"/>
  <c r="J23" i="2"/>
  <c r="J21" i="2"/>
  <c r="J20" i="2"/>
  <c r="J18" i="2"/>
  <c r="K17" i="2"/>
  <c r="J15" i="2"/>
  <c r="J7" i="2"/>
  <c r="K7" i="2" s="1"/>
  <c r="G23" i="2"/>
  <c r="G21" i="2"/>
  <c r="G20" i="2"/>
  <c r="G18" i="2"/>
  <c r="G15" i="2"/>
  <c r="D21" i="2"/>
  <c r="D20" i="2"/>
  <c r="D19" i="2"/>
  <c r="D18" i="2"/>
  <c r="D17" i="2"/>
  <c r="D15" i="2"/>
  <c r="D9" i="2"/>
  <c r="G30" i="3"/>
  <c r="G28" i="3"/>
  <c r="G27" i="3"/>
  <c r="G26" i="3"/>
  <c r="G24" i="3"/>
  <c r="G19" i="3"/>
  <c r="G15" i="3"/>
  <c r="G12" i="3"/>
  <c r="G11" i="3"/>
  <c r="G4" i="3"/>
  <c r="D30" i="3"/>
  <c r="D28" i="3"/>
  <c r="D27" i="3"/>
  <c r="D26" i="3"/>
  <c r="D24" i="3"/>
  <c r="D19" i="3"/>
  <c r="D15" i="3"/>
  <c r="D13" i="3"/>
  <c r="D12" i="3"/>
  <c r="D9" i="3"/>
  <c r="D8" i="3"/>
  <c r="D4" i="3"/>
  <c r="J4" i="1"/>
  <c r="J6" i="1"/>
  <c r="J7" i="1"/>
  <c r="J8" i="1"/>
  <c r="J9" i="1"/>
  <c r="J10" i="1"/>
  <c r="J12" i="1"/>
  <c r="J13" i="1"/>
  <c r="J14" i="1"/>
  <c r="J15" i="1"/>
  <c r="J16" i="1"/>
  <c r="J17" i="1"/>
  <c r="J3" i="1"/>
  <c r="J2" i="1"/>
  <c r="H26" i="1"/>
  <c r="H28" i="1"/>
  <c r="H29" i="1"/>
  <c r="H31" i="1"/>
  <c r="H32" i="1"/>
  <c r="H33" i="1"/>
  <c r="H34" i="1"/>
  <c r="H35" i="1"/>
  <c r="H36" i="1"/>
  <c r="H38" i="1"/>
  <c r="H39" i="1"/>
  <c r="H40" i="1"/>
  <c r="H41" i="1"/>
  <c r="H42" i="1"/>
  <c r="H44" i="1"/>
  <c r="H45" i="1"/>
  <c r="H47" i="1"/>
  <c r="H48" i="1"/>
  <c r="H49" i="1"/>
  <c r="H19" i="1"/>
  <c r="H20" i="1"/>
  <c r="H22" i="1"/>
  <c r="H23" i="1"/>
  <c r="H24" i="1"/>
  <c r="H25" i="1"/>
  <c r="H16" i="1"/>
  <c r="H17" i="1"/>
  <c r="H18" i="1"/>
  <c r="G36" i="1"/>
  <c r="G38" i="1"/>
  <c r="G39" i="1"/>
  <c r="G40" i="1"/>
  <c r="G41" i="1"/>
  <c r="G42" i="1"/>
  <c r="G44" i="1"/>
  <c r="G45" i="1"/>
  <c r="G47" i="1"/>
  <c r="G48" i="1"/>
  <c r="G49" i="1"/>
  <c r="G20" i="1"/>
  <c r="G22" i="1"/>
  <c r="G23" i="1"/>
  <c r="G24" i="1"/>
  <c r="G25" i="1"/>
  <c r="G26" i="1"/>
  <c r="G28" i="1"/>
  <c r="G29" i="1"/>
  <c r="G31" i="1"/>
  <c r="G32" i="1"/>
  <c r="G33" i="1"/>
  <c r="G34" i="1"/>
  <c r="G35" i="1"/>
  <c r="G19" i="1"/>
  <c r="G18" i="1"/>
  <c r="D49" i="1"/>
  <c r="C49" i="1"/>
  <c r="B49" i="1"/>
  <c r="D48" i="1"/>
  <c r="C48" i="1"/>
  <c r="B48" i="1"/>
  <c r="D47" i="1"/>
  <c r="C47" i="1"/>
  <c r="B47" i="1"/>
  <c r="D45" i="1"/>
  <c r="C45" i="1"/>
  <c r="B45" i="1"/>
  <c r="D44" i="1"/>
  <c r="C44" i="1"/>
  <c r="B44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29" i="1"/>
  <c r="C29" i="1"/>
  <c r="B29" i="1"/>
  <c r="D28" i="1"/>
  <c r="C28" i="1"/>
  <c r="B28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C20" i="1"/>
  <c r="B20" i="1"/>
  <c r="D19" i="1"/>
  <c r="C19" i="1"/>
  <c r="B19" i="1"/>
  <c r="C18" i="1"/>
  <c r="B18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18" i="1"/>
  <c r="H3" i="1"/>
  <c r="H6" i="1"/>
  <c r="H7" i="1"/>
  <c r="H8" i="1"/>
  <c r="H9" i="1"/>
  <c r="H10" i="1"/>
  <c r="H12" i="1"/>
  <c r="H13" i="1"/>
  <c r="H14" i="1"/>
  <c r="H15" i="1"/>
  <c r="H2" i="1"/>
  <c r="G6" i="1"/>
  <c r="G7" i="1"/>
  <c r="G8" i="1"/>
  <c r="G9" i="1"/>
  <c r="G10" i="1"/>
  <c r="G12" i="1"/>
  <c r="G13" i="1"/>
  <c r="G14" i="1"/>
  <c r="G15" i="1"/>
  <c r="G16" i="1"/>
  <c r="G17" i="1"/>
  <c r="G3" i="1"/>
  <c r="G2" i="1"/>
  <c r="D17" i="1"/>
  <c r="C17" i="1"/>
  <c r="B17" i="1"/>
  <c r="D16" i="1"/>
  <c r="C16" i="1"/>
  <c r="D15" i="1"/>
  <c r="C15" i="1"/>
  <c r="B15" i="1"/>
  <c r="D14" i="1"/>
  <c r="C14" i="1"/>
  <c r="B14" i="1"/>
  <c r="B13" i="1"/>
  <c r="D12" i="1"/>
  <c r="C12" i="1"/>
  <c r="B12" i="1"/>
  <c r="D10" i="1"/>
  <c r="C10" i="1"/>
  <c r="D9" i="1"/>
  <c r="C9" i="1"/>
  <c r="B9" i="1"/>
  <c r="D8" i="1"/>
  <c r="C8" i="1"/>
  <c r="B8" i="1"/>
  <c r="D7" i="1"/>
  <c r="C7" i="1"/>
  <c r="B7" i="1"/>
  <c r="D6" i="1"/>
  <c r="C6" i="1"/>
  <c r="B6" i="1"/>
  <c r="D3" i="1"/>
  <c r="C3" i="1"/>
  <c r="B3" i="1"/>
  <c r="D2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B2" i="1"/>
  <c r="F2" i="1"/>
  <c r="K18" i="2" l="1"/>
  <c r="K13" i="3"/>
  <c r="K4" i="3"/>
  <c r="P4" i="3" s="1" a="1"/>
  <c r="P4" i="3" s="1"/>
  <c r="K30" i="3"/>
  <c r="K26" i="3"/>
  <c r="K9" i="3"/>
  <c r="K8" i="3"/>
  <c r="K12" i="3"/>
  <c r="K15" i="2"/>
  <c r="K9" i="2"/>
  <c r="K19" i="2"/>
  <c r="K28" i="3"/>
  <c r="K24" i="3"/>
  <c r="K19" i="3"/>
  <c r="K15" i="3"/>
  <c r="K11" i="3"/>
  <c r="K27" i="3"/>
  <c r="K23" i="3"/>
  <c r="K23" i="2"/>
  <c r="K20" i="2"/>
  <c r="K21" i="2"/>
  <c r="P11" i="3" l="1" a="1"/>
  <c r="P11" i="3" s="1"/>
  <c r="P19" i="3" a="1"/>
  <c r="P19" i="3" s="1"/>
  <c r="P27" i="3" a="1"/>
  <c r="P27" i="3" s="1"/>
  <c r="P37" i="3" a="1"/>
  <c r="P37" i="3" s="1"/>
  <c r="P12" i="3" a="1"/>
  <c r="P12" i="3" s="1"/>
  <c r="P28" i="3" a="1"/>
  <c r="P28" i="3" s="1"/>
  <c r="P36" i="3" a="1"/>
  <c r="P36" i="3" s="1"/>
  <c r="P13" i="3" a="1"/>
  <c r="P13" i="3" s="1"/>
  <c r="P30" i="3" a="1"/>
  <c r="P30" i="3" s="1"/>
  <c r="P38" i="3" a="1"/>
  <c r="P38" i="3" s="1"/>
  <c r="P15" i="3" a="1"/>
  <c r="P15" i="3" s="1"/>
  <c r="P23" i="3" a="1"/>
  <c r="P23" i="3" s="1"/>
  <c r="P39" i="3" a="1"/>
  <c r="P39" i="3" s="1"/>
  <c r="P8" i="3" a="1"/>
  <c r="P8" i="3" s="1"/>
  <c r="P24" i="3" a="1"/>
  <c r="P24" i="3" s="1"/>
  <c r="P32" i="3" a="1"/>
  <c r="P32" i="3" s="1"/>
  <c r="P40" i="3" a="1"/>
  <c r="P40" i="3" s="1"/>
  <c r="P9" i="3" a="1"/>
  <c r="P9" i="3" s="1"/>
  <c r="P34" i="3" a="1"/>
  <c r="P34" i="3" s="1"/>
  <c r="P26" i="3" a="1"/>
  <c r="P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<sst xmlns="http://schemas.openxmlformats.org/spreadsheetml/2006/main" count="561" uniqueCount="28">
  <si>
    <t>ml</t>
  </si>
  <si>
    <t>NA</t>
  </si>
  <si>
    <t>mean</t>
  </si>
  <si>
    <t>dilution</t>
  </si>
  <si>
    <t>media</t>
  </si>
  <si>
    <t>TSA</t>
  </si>
  <si>
    <t>NFB</t>
  </si>
  <si>
    <t>meanCellCount</t>
  </si>
  <si>
    <t>count1</t>
  </si>
  <si>
    <t>count2</t>
  </si>
  <si>
    <t>count3</t>
  </si>
  <si>
    <t>strainNum</t>
  </si>
  <si>
    <t>colonyDiam1</t>
  </si>
  <si>
    <t>clearDiam1</t>
  </si>
  <si>
    <t>diff1</t>
  </si>
  <si>
    <t>colonyDiam2</t>
  </si>
  <si>
    <t>clearDiam2</t>
  </si>
  <si>
    <t>diff2</t>
  </si>
  <si>
    <t>colonyDiam3</t>
  </si>
  <si>
    <t>clearDiam3</t>
  </si>
  <si>
    <t>diff3</t>
  </si>
  <si>
    <t>meanDiff</t>
  </si>
  <si>
    <t>allMeanCount</t>
  </si>
  <si>
    <t>cellCount</t>
  </si>
  <si>
    <t>meanPI</t>
  </si>
  <si>
    <t>uniqueGenes</t>
  </si>
  <si>
    <t>sumGenes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</si>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</sst>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EAFC-9000-4072-97B4-E489DBA2E075}">
  <dimension ref="A1:J49"/>
  <sheetViews>
    <sheetView workbookViewId="0">
      <selection activeCell="H16" sqref="H16"/>
    </sheetView>
  </sheetViews>
  <sheetFormatPr defaultRowHeight="15" x14ac:dyDescent="0.25"/>
  <cols>
    <col min="1" max="1" width="10.140625" customWidth="1"/>
    <col min="2" max="2" width="11.28515625" customWidth="1"/>
    <col min="5" max="5" width="10.5703125" customWidth="1"/>
    <col min="8" max="8" width="10" bestFit="1" customWidth="1"/>
    <col min="10" max="10" width="12" bestFit="1" customWidth="1"/>
  </cols>
  <sheetData>
    <row r="1" spans="1:10" x14ac:dyDescent="0.25">
      <c r="A1" t="s">
        <v>11</v>
      </c>
      <c r="B1" t="s">
        <v>8</v>
      </c>
      <c r="C1" t="s">
        <v>9</v>
      </c>
      <c r="D1" t="s">
        <v>10</v>
      </c>
      <c r="E1" t="s">
        <v>0</v>
      </c>
      <c r="F1" t="s">
        <v>3</v>
      </c>
      <c r="G1" t="s">
        <v>2</v>
      </c>
      <c r="H1" t="s">
        <v>7</v>
      </c>
      <c r="I1" t="s">
        <v>4</v>
      </c>
      <c r="J1" s="2" t="s">
        <v>22</v>
      </c>
    </row>
    <row r="2" spans="1:10" x14ac:dyDescent="0.25">
      <c r="A2">
        <v>1</v>
      </c>
      <c r="B2">
        <f>11*10^3</f>
        <v>11000</v>
      </c>
      <c r="C2">
        <f>7*10^3</f>
        <v>7000</v>
      </c>
      <c r="D2">
        <f>10*10^3</f>
        <v>10000</v>
      </c>
      <c r="E2">
        <v>5.0000000000000001E-3</v>
      </c>
      <c r="F2">
        <f>1/0.005</f>
        <v>200</v>
      </c>
      <c r="G2">
        <f>AVERAGE(B2:D2)</f>
        <v>9333.3333333333339</v>
      </c>
      <c r="H2">
        <f>G2*F2</f>
        <v>1866666.6666666667</v>
      </c>
      <c r="I2" t="s">
        <v>6</v>
      </c>
      <c r="J2" s="2">
        <f>AVERAGE(H2,H18,H34)</f>
        <v>59955555.555555552</v>
      </c>
    </row>
    <row r="3" spans="1:10" x14ac:dyDescent="0.25">
      <c r="A3">
        <v>4</v>
      </c>
      <c r="B3">
        <f>6*10^3</f>
        <v>6000</v>
      </c>
      <c r="C3">
        <f>2*10^3</f>
        <v>2000</v>
      </c>
      <c r="D3">
        <f>1*10^3</f>
        <v>1000</v>
      </c>
      <c r="E3">
        <v>5.0000000000000001E-3</v>
      </c>
      <c r="F3">
        <f t="shared" ref="F3:F17" si="0">1/0.005</f>
        <v>200</v>
      </c>
      <c r="G3">
        <f>AVERAGE(B3:D3)</f>
        <v>3000</v>
      </c>
      <c r="H3">
        <f t="shared" ref="H3:H49" si="1">G3*F3</f>
        <v>600000</v>
      </c>
      <c r="I3" t="s">
        <v>6</v>
      </c>
      <c r="J3" s="2">
        <f>AVERAGE(H3,H19,H35)</f>
        <v>25755555.555555552</v>
      </c>
    </row>
    <row r="4" spans="1:10" x14ac:dyDescent="0.25">
      <c r="A4">
        <v>5</v>
      </c>
      <c r="B4" t="s">
        <v>1</v>
      </c>
      <c r="C4" t="s">
        <v>1</v>
      </c>
      <c r="D4" t="s">
        <v>1</v>
      </c>
      <c r="E4">
        <v>5.0000000000000001E-3</v>
      </c>
      <c r="F4">
        <f t="shared" si="0"/>
        <v>200</v>
      </c>
      <c r="G4" t="s">
        <v>1</v>
      </c>
      <c r="H4" t="s">
        <v>1</v>
      </c>
      <c r="I4" t="s">
        <v>6</v>
      </c>
      <c r="J4" s="2">
        <f t="shared" ref="J4:J17" si="2">AVERAGE(H4,H20,H36)</f>
        <v>8775000</v>
      </c>
    </row>
    <row r="5" spans="1:10" x14ac:dyDescent="0.25">
      <c r="A5">
        <v>6</v>
      </c>
      <c r="B5" t="s">
        <v>1</v>
      </c>
      <c r="C5" t="s">
        <v>1</v>
      </c>
      <c r="D5" t="s">
        <v>1</v>
      </c>
      <c r="E5">
        <v>5.0000000000000001E-3</v>
      </c>
      <c r="F5">
        <f t="shared" si="0"/>
        <v>200</v>
      </c>
      <c r="G5" t="s">
        <v>1</v>
      </c>
      <c r="H5" t="s">
        <v>1</v>
      </c>
      <c r="I5" t="s">
        <v>6</v>
      </c>
      <c r="J5" s="2" t="s">
        <v>1</v>
      </c>
    </row>
    <row r="6" spans="1:10" x14ac:dyDescent="0.25">
      <c r="A6">
        <v>8</v>
      </c>
      <c r="B6">
        <f>13*10^1</f>
        <v>130</v>
      </c>
      <c r="C6">
        <f>23*10^4</f>
        <v>230000</v>
      </c>
      <c r="D6">
        <f>3*10^4</f>
        <v>30000</v>
      </c>
      <c r="E6">
        <v>5.0000000000000001E-3</v>
      </c>
      <c r="F6">
        <f t="shared" si="0"/>
        <v>200</v>
      </c>
      <c r="G6">
        <f t="shared" ref="G6:G17" si="3">AVERAGE(B6:D6)</f>
        <v>86710</v>
      </c>
      <c r="H6">
        <f t="shared" si="1"/>
        <v>17342000</v>
      </c>
      <c r="I6" t="s">
        <v>6</v>
      </c>
      <c r="J6" s="2">
        <f t="shared" si="2"/>
        <v>16058444.444444446</v>
      </c>
    </row>
    <row r="7" spans="1:10" x14ac:dyDescent="0.25">
      <c r="A7">
        <v>9</v>
      </c>
      <c r="B7">
        <f>13*10^4</f>
        <v>130000</v>
      </c>
      <c r="C7">
        <f>13*10^4</f>
        <v>130000</v>
      </c>
      <c r="D7">
        <f>7*10^4</f>
        <v>70000</v>
      </c>
      <c r="E7">
        <v>5.0000000000000001E-3</v>
      </c>
      <c r="F7">
        <f t="shared" si="0"/>
        <v>200</v>
      </c>
      <c r="G7">
        <f t="shared" si="3"/>
        <v>110000</v>
      </c>
      <c r="H7">
        <f t="shared" si="1"/>
        <v>22000000</v>
      </c>
      <c r="I7" t="s">
        <v>6</v>
      </c>
      <c r="J7" s="2">
        <f t="shared" si="2"/>
        <v>14666666.666666666</v>
      </c>
    </row>
    <row r="8" spans="1:10" x14ac:dyDescent="0.25">
      <c r="A8">
        <v>13</v>
      </c>
      <c r="B8">
        <f>2*10^3</f>
        <v>2000</v>
      </c>
      <c r="C8">
        <f>18*10^4</f>
        <v>180000</v>
      </c>
      <c r="D8">
        <f>16*10^4</f>
        <v>160000</v>
      </c>
      <c r="E8">
        <v>5.0000000000000001E-3</v>
      </c>
      <c r="F8">
        <f t="shared" si="0"/>
        <v>200</v>
      </c>
      <c r="G8">
        <f t="shared" si="3"/>
        <v>114000</v>
      </c>
      <c r="H8">
        <f t="shared" si="1"/>
        <v>22800000</v>
      </c>
      <c r="I8" t="s">
        <v>6</v>
      </c>
      <c r="J8" s="2">
        <f t="shared" si="2"/>
        <v>224266666.66666666</v>
      </c>
    </row>
    <row r="9" spans="1:10" x14ac:dyDescent="0.25">
      <c r="A9">
        <v>14</v>
      </c>
      <c r="B9">
        <f>18*10^3</f>
        <v>18000</v>
      </c>
      <c r="C9">
        <f>5*10^3</f>
        <v>5000</v>
      </c>
      <c r="D9">
        <f>10*10^3</f>
        <v>10000</v>
      </c>
      <c r="E9">
        <v>5.0000000000000001E-3</v>
      </c>
      <c r="F9">
        <f t="shared" si="0"/>
        <v>200</v>
      </c>
      <c r="G9">
        <f t="shared" si="3"/>
        <v>11000</v>
      </c>
      <c r="H9">
        <f t="shared" si="1"/>
        <v>2200000</v>
      </c>
      <c r="I9" t="s">
        <v>6</v>
      </c>
      <c r="J9" s="2">
        <f t="shared" si="2"/>
        <v>15733333.333333334</v>
      </c>
    </row>
    <row r="10" spans="1:10" x14ac:dyDescent="0.25">
      <c r="A10">
        <v>15</v>
      </c>
      <c r="B10" t="s">
        <v>1</v>
      </c>
      <c r="C10">
        <f>2*10^3</f>
        <v>2000</v>
      </c>
      <c r="D10">
        <f>1*10^3</f>
        <v>1000</v>
      </c>
      <c r="E10">
        <v>5.0000000000000001E-3</v>
      </c>
      <c r="F10">
        <f t="shared" si="0"/>
        <v>200</v>
      </c>
      <c r="G10">
        <f t="shared" si="3"/>
        <v>1500</v>
      </c>
      <c r="H10">
        <f t="shared" si="1"/>
        <v>300000</v>
      </c>
      <c r="I10" t="s">
        <v>6</v>
      </c>
      <c r="J10" s="2">
        <f t="shared" si="2"/>
        <v>5766666.666666667</v>
      </c>
    </row>
    <row r="11" spans="1:10" x14ac:dyDescent="0.25">
      <c r="A11">
        <v>23</v>
      </c>
      <c r="B11" t="s">
        <v>1</v>
      </c>
      <c r="C11" t="s">
        <v>1</v>
      </c>
      <c r="D11" t="s">
        <v>1</v>
      </c>
      <c r="E11">
        <v>5.0000000000000001E-3</v>
      </c>
      <c r="F11">
        <f t="shared" si="0"/>
        <v>200</v>
      </c>
      <c r="G11" t="s">
        <v>1</v>
      </c>
      <c r="H11" t="s">
        <v>1</v>
      </c>
      <c r="I11" t="s">
        <v>6</v>
      </c>
      <c r="J11" s="2" t="s">
        <v>1</v>
      </c>
    </row>
    <row r="12" spans="1:10" x14ac:dyDescent="0.25">
      <c r="A12">
        <v>25</v>
      </c>
      <c r="B12">
        <f>6*10^1</f>
        <v>60</v>
      </c>
      <c r="C12">
        <f>8*10^1</f>
        <v>80</v>
      </c>
      <c r="D12">
        <f>8*10^1</f>
        <v>80</v>
      </c>
      <c r="E12">
        <v>5.0000000000000001E-3</v>
      </c>
      <c r="F12">
        <f t="shared" si="0"/>
        <v>200</v>
      </c>
      <c r="G12">
        <f t="shared" si="3"/>
        <v>73.333333333333329</v>
      </c>
      <c r="H12">
        <f t="shared" si="1"/>
        <v>14666.666666666666</v>
      </c>
      <c r="I12" t="s">
        <v>6</v>
      </c>
      <c r="J12" s="2">
        <f t="shared" si="2"/>
        <v>11949333.333333334</v>
      </c>
    </row>
    <row r="13" spans="1:10" x14ac:dyDescent="0.25">
      <c r="A13">
        <v>33</v>
      </c>
      <c r="B13">
        <f>7*10^2</f>
        <v>700</v>
      </c>
      <c r="C13" t="s">
        <v>1</v>
      </c>
      <c r="D13" t="s">
        <v>1</v>
      </c>
      <c r="E13">
        <v>5.0000000000000001E-3</v>
      </c>
      <c r="F13">
        <f t="shared" si="0"/>
        <v>200</v>
      </c>
      <c r="G13">
        <f t="shared" si="3"/>
        <v>700</v>
      </c>
      <c r="H13">
        <f t="shared" si="1"/>
        <v>140000</v>
      </c>
      <c r="I13" t="s">
        <v>6</v>
      </c>
      <c r="J13" s="2">
        <f t="shared" si="2"/>
        <v>39491111.111111112</v>
      </c>
    </row>
    <row r="14" spans="1:10" x14ac:dyDescent="0.25">
      <c r="A14">
        <v>37</v>
      </c>
      <c r="B14">
        <f>2*10^1</f>
        <v>20</v>
      </c>
      <c r="C14">
        <f>5*10^1</f>
        <v>50</v>
      </c>
      <c r="D14">
        <f>2*10^1</f>
        <v>20</v>
      </c>
      <c r="E14">
        <v>5.0000000000000001E-3</v>
      </c>
      <c r="F14">
        <f t="shared" si="0"/>
        <v>200</v>
      </c>
      <c r="G14">
        <f t="shared" si="3"/>
        <v>30</v>
      </c>
      <c r="H14">
        <f t="shared" si="1"/>
        <v>6000</v>
      </c>
      <c r="I14" t="s">
        <v>6</v>
      </c>
      <c r="J14" s="2">
        <f t="shared" si="2"/>
        <v>6000</v>
      </c>
    </row>
    <row r="15" spans="1:10" x14ac:dyDescent="0.25">
      <c r="A15">
        <v>48</v>
      </c>
      <c r="B15">
        <f>5*10^4</f>
        <v>50000</v>
      </c>
      <c r="C15">
        <f>7*10^1</f>
        <v>70</v>
      </c>
      <c r="D15">
        <f>3*10^4</f>
        <v>30000</v>
      </c>
      <c r="E15">
        <v>5.0000000000000001E-3</v>
      </c>
      <c r="F15">
        <f t="shared" si="0"/>
        <v>200</v>
      </c>
      <c r="G15">
        <f t="shared" si="3"/>
        <v>26690</v>
      </c>
      <c r="H15">
        <f t="shared" si="1"/>
        <v>5338000</v>
      </c>
      <c r="I15" t="s">
        <v>6</v>
      </c>
      <c r="J15" s="2">
        <f t="shared" si="2"/>
        <v>15168222.222222224</v>
      </c>
    </row>
    <row r="16" spans="1:10" x14ac:dyDescent="0.25">
      <c r="A16">
        <v>55</v>
      </c>
      <c r="B16" t="s">
        <v>1</v>
      </c>
      <c r="C16">
        <f>4*10^3</f>
        <v>4000</v>
      </c>
      <c r="D16">
        <f>6*10^3</f>
        <v>6000</v>
      </c>
      <c r="E16">
        <v>5.0000000000000001E-3</v>
      </c>
      <c r="F16">
        <f t="shared" si="0"/>
        <v>200</v>
      </c>
      <c r="G16">
        <f t="shared" si="3"/>
        <v>5000</v>
      </c>
      <c r="H16">
        <f t="shared" si="1"/>
        <v>1000000</v>
      </c>
      <c r="I16" t="s">
        <v>6</v>
      </c>
      <c r="J16" s="2">
        <f t="shared" si="2"/>
        <v>68111111.111111119</v>
      </c>
    </row>
    <row r="17" spans="1:10" x14ac:dyDescent="0.25">
      <c r="A17">
        <v>102</v>
      </c>
      <c r="B17">
        <f>4*10^3</f>
        <v>4000</v>
      </c>
      <c r="C17">
        <f>3*10^3</f>
        <v>3000</v>
      </c>
      <c r="D17">
        <f>2*10^3</f>
        <v>2000</v>
      </c>
      <c r="E17">
        <v>5.0000000000000001E-3</v>
      </c>
      <c r="F17">
        <f t="shared" si="0"/>
        <v>200</v>
      </c>
      <c r="G17">
        <f t="shared" si="3"/>
        <v>3000</v>
      </c>
      <c r="H17">
        <f t="shared" si="1"/>
        <v>600000</v>
      </c>
      <c r="I17" t="s">
        <v>6</v>
      </c>
      <c r="J17" s="2">
        <f t="shared" si="2"/>
        <v>22977777.777777776</v>
      </c>
    </row>
    <row r="18" spans="1:10" x14ac:dyDescent="0.25">
      <c r="A18">
        <v>1</v>
      </c>
      <c r="B18">
        <f>4*10^5</f>
        <v>400000</v>
      </c>
      <c r="C18">
        <f>3*10^5</f>
        <v>300000</v>
      </c>
      <c r="D18" t="s">
        <v>1</v>
      </c>
      <c r="E18">
        <v>2E-3</v>
      </c>
      <c r="F18">
        <f>1/0.002</f>
        <v>500</v>
      </c>
      <c r="G18">
        <f>AVERAGE(B18:D18)</f>
        <v>350000</v>
      </c>
      <c r="H18">
        <f t="shared" si="1"/>
        <v>175000000</v>
      </c>
      <c r="I18" t="s">
        <v>5</v>
      </c>
    </row>
    <row r="19" spans="1:10" x14ac:dyDescent="0.25">
      <c r="A19">
        <v>4</v>
      </c>
      <c r="B19">
        <f>8*10^4</f>
        <v>80000</v>
      </c>
      <c r="C19">
        <f>7*10^4</f>
        <v>70000</v>
      </c>
      <c r="D19">
        <f>7*10^4</f>
        <v>70000</v>
      </c>
      <c r="E19">
        <v>2E-3</v>
      </c>
      <c r="F19">
        <f t="shared" ref="F19:F49" si="4">1/0.002</f>
        <v>500</v>
      </c>
      <c r="G19">
        <f>AVERAGE(B19:D19)</f>
        <v>73333.333333333328</v>
      </c>
      <c r="H19">
        <f t="shared" si="1"/>
        <v>36666666.666666664</v>
      </c>
      <c r="I19" t="s">
        <v>5</v>
      </c>
    </row>
    <row r="20" spans="1:10" x14ac:dyDescent="0.25">
      <c r="A20">
        <v>5</v>
      </c>
      <c r="B20">
        <f>2*10^4</f>
        <v>20000</v>
      </c>
      <c r="C20">
        <f>5*10^4</f>
        <v>50000</v>
      </c>
      <c r="D20" t="s">
        <v>1</v>
      </c>
      <c r="E20">
        <v>2E-3</v>
      </c>
      <c r="F20">
        <f t="shared" si="4"/>
        <v>500</v>
      </c>
      <c r="G20">
        <f t="shared" ref="G20:G35" si="5">AVERAGE(B20:D20)</f>
        <v>35000</v>
      </c>
      <c r="H20">
        <f t="shared" si="1"/>
        <v>17500000</v>
      </c>
      <c r="I20" t="s">
        <v>5</v>
      </c>
    </row>
    <row r="21" spans="1:10" x14ac:dyDescent="0.25">
      <c r="A21">
        <v>6</v>
      </c>
      <c r="B21" t="s">
        <v>1</v>
      </c>
      <c r="C21" t="s">
        <v>1</v>
      </c>
      <c r="D21" t="s">
        <v>1</v>
      </c>
      <c r="E21">
        <v>2E-3</v>
      </c>
      <c r="F21">
        <f t="shared" si="4"/>
        <v>500</v>
      </c>
      <c r="G21" t="s">
        <v>1</v>
      </c>
      <c r="H21" t="s">
        <v>1</v>
      </c>
      <c r="I21" t="s">
        <v>5</v>
      </c>
    </row>
    <row r="22" spans="1:10" x14ac:dyDescent="0.25">
      <c r="A22">
        <v>8</v>
      </c>
      <c r="B22">
        <f>7*10^4</f>
        <v>70000</v>
      </c>
      <c r="C22">
        <f>6*10^4</f>
        <v>60000</v>
      </c>
      <c r="D22">
        <f>3*10^4</f>
        <v>30000</v>
      </c>
      <c r="E22">
        <v>2E-3</v>
      </c>
      <c r="F22">
        <f t="shared" si="4"/>
        <v>500</v>
      </c>
      <c r="G22">
        <f t="shared" si="5"/>
        <v>53333.333333333336</v>
      </c>
      <c r="H22">
        <f t="shared" si="1"/>
        <v>26666666.666666668</v>
      </c>
      <c r="I22" t="s">
        <v>5</v>
      </c>
    </row>
    <row r="23" spans="1:10" x14ac:dyDescent="0.25">
      <c r="A23">
        <v>9</v>
      </c>
      <c r="B23">
        <f>2*10^4</f>
        <v>20000</v>
      </c>
      <c r="C23">
        <f>1*10^4</f>
        <v>10000</v>
      </c>
      <c r="D23">
        <f>9*10^4</f>
        <v>90000</v>
      </c>
      <c r="E23">
        <v>2E-3</v>
      </c>
      <c r="F23">
        <f t="shared" si="4"/>
        <v>500</v>
      </c>
      <c r="G23">
        <f t="shared" si="5"/>
        <v>40000</v>
      </c>
      <c r="H23">
        <f t="shared" si="1"/>
        <v>20000000</v>
      </c>
      <c r="I23" t="s">
        <v>5</v>
      </c>
    </row>
    <row r="24" spans="1:10" x14ac:dyDescent="0.25">
      <c r="A24">
        <v>13</v>
      </c>
      <c r="B24">
        <f>1*10^5</f>
        <v>100000</v>
      </c>
      <c r="C24">
        <f>4*10^5</f>
        <v>400000</v>
      </c>
      <c r="D24">
        <f>1*10^5</f>
        <v>100000</v>
      </c>
      <c r="E24">
        <v>2E-3</v>
      </c>
      <c r="F24">
        <f t="shared" si="4"/>
        <v>500</v>
      </c>
      <c r="G24">
        <f t="shared" si="5"/>
        <v>200000</v>
      </c>
      <c r="H24">
        <f t="shared" si="1"/>
        <v>100000000</v>
      </c>
      <c r="I24" t="s">
        <v>5</v>
      </c>
    </row>
    <row r="25" spans="1:10" x14ac:dyDescent="0.25">
      <c r="A25">
        <v>14</v>
      </c>
      <c r="B25">
        <f>7*10^4</f>
        <v>70000</v>
      </c>
      <c r="C25">
        <f>6*10^4</f>
        <v>60000</v>
      </c>
      <c r="D25">
        <f>3*10^4</f>
        <v>30000</v>
      </c>
      <c r="E25">
        <v>2E-3</v>
      </c>
      <c r="F25">
        <f t="shared" si="4"/>
        <v>500</v>
      </c>
      <c r="G25">
        <f t="shared" si="5"/>
        <v>53333.333333333336</v>
      </c>
      <c r="H25">
        <f t="shared" si="1"/>
        <v>26666666.666666668</v>
      </c>
      <c r="I25" t="s">
        <v>5</v>
      </c>
    </row>
    <row r="26" spans="1:10" x14ac:dyDescent="0.25">
      <c r="A26">
        <v>15</v>
      </c>
      <c r="B26">
        <f>4*10^4</f>
        <v>40000</v>
      </c>
      <c r="C26">
        <f>1*10^4</f>
        <v>10000</v>
      </c>
      <c r="D26">
        <f>2*10^4</f>
        <v>20000</v>
      </c>
      <c r="E26">
        <v>2E-3</v>
      </c>
      <c r="F26">
        <f t="shared" si="4"/>
        <v>500</v>
      </c>
      <c r="G26">
        <f t="shared" si="5"/>
        <v>23333.333333333332</v>
      </c>
      <c r="H26">
        <f t="shared" si="1"/>
        <v>11666666.666666666</v>
      </c>
      <c r="I26" t="s">
        <v>5</v>
      </c>
    </row>
    <row r="27" spans="1:10" x14ac:dyDescent="0.25">
      <c r="A27">
        <v>23</v>
      </c>
      <c r="B27" t="s">
        <v>1</v>
      </c>
      <c r="C27" t="s">
        <v>1</v>
      </c>
      <c r="D27" t="s">
        <v>1</v>
      </c>
      <c r="E27">
        <v>2E-3</v>
      </c>
      <c r="F27">
        <f t="shared" si="4"/>
        <v>500</v>
      </c>
      <c r="G27" t="s">
        <v>1</v>
      </c>
      <c r="H27" t="s">
        <v>1</v>
      </c>
      <c r="I27" t="s">
        <v>5</v>
      </c>
    </row>
    <row r="28" spans="1:10" x14ac:dyDescent="0.25">
      <c r="A28">
        <v>25</v>
      </c>
      <c r="B28">
        <f>5*10^4</f>
        <v>50000</v>
      </c>
      <c r="C28">
        <f>8*10^4</f>
        <v>80000</v>
      </c>
      <c r="D28">
        <f>7*10^4</f>
        <v>70000</v>
      </c>
      <c r="E28">
        <v>2E-3</v>
      </c>
      <c r="F28">
        <f t="shared" si="4"/>
        <v>500</v>
      </c>
      <c r="G28">
        <f t="shared" si="5"/>
        <v>66666.666666666672</v>
      </c>
      <c r="H28">
        <f t="shared" si="1"/>
        <v>33333333.333333336</v>
      </c>
      <c r="I28" t="s">
        <v>5</v>
      </c>
    </row>
    <row r="29" spans="1:10" x14ac:dyDescent="0.25">
      <c r="A29">
        <v>33</v>
      </c>
      <c r="B29">
        <f>11*10^4</f>
        <v>110000</v>
      </c>
      <c r="C29">
        <f>5*10^4</f>
        <v>50000</v>
      </c>
      <c r="D29">
        <f>5*10^4</f>
        <v>50000</v>
      </c>
      <c r="E29">
        <v>2E-3</v>
      </c>
      <c r="F29">
        <f t="shared" si="4"/>
        <v>500</v>
      </c>
      <c r="G29">
        <f t="shared" si="5"/>
        <v>70000</v>
      </c>
      <c r="H29">
        <f t="shared" si="1"/>
        <v>35000000</v>
      </c>
      <c r="I29" t="s">
        <v>5</v>
      </c>
    </row>
    <row r="30" spans="1:10" x14ac:dyDescent="0.25">
      <c r="A30">
        <v>37</v>
      </c>
      <c r="B30" t="s">
        <v>1</v>
      </c>
      <c r="C30" t="s">
        <v>1</v>
      </c>
      <c r="D30" t="s">
        <v>1</v>
      </c>
      <c r="E30">
        <v>2E-3</v>
      </c>
      <c r="F30">
        <f t="shared" si="4"/>
        <v>500</v>
      </c>
      <c r="G30" t="s">
        <v>1</v>
      </c>
      <c r="H30" t="s">
        <v>1</v>
      </c>
      <c r="I30" t="s">
        <v>5</v>
      </c>
    </row>
    <row r="31" spans="1:10" x14ac:dyDescent="0.25">
      <c r="A31">
        <v>48</v>
      </c>
      <c r="B31">
        <f>8*10^4</f>
        <v>80000</v>
      </c>
      <c r="C31">
        <f>9*10^4</f>
        <v>90000</v>
      </c>
      <c r="D31">
        <f>6*10^4</f>
        <v>60000</v>
      </c>
      <c r="E31">
        <v>2E-3</v>
      </c>
      <c r="F31">
        <f t="shared" si="4"/>
        <v>500</v>
      </c>
      <c r="G31">
        <f t="shared" si="5"/>
        <v>76666.666666666672</v>
      </c>
      <c r="H31">
        <f t="shared" si="1"/>
        <v>38333333.333333336</v>
      </c>
      <c r="I31" t="s">
        <v>5</v>
      </c>
    </row>
    <row r="32" spans="1:10" x14ac:dyDescent="0.25">
      <c r="A32">
        <v>55</v>
      </c>
      <c r="B32">
        <f>4*10^4</f>
        <v>40000</v>
      </c>
      <c r="C32">
        <f>14*10^4</f>
        <v>140000</v>
      </c>
      <c r="D32">
        <f>24*10^4</f>
        <v>240000</v>
      </c>
      <c r="E32">
        <v>2E-3</v>
      </c>
      <c r="F32">
        <f t="shared" si="4"/>
        <v>500</v>
      </c>
      <c r="G32">
        <f t="shared" si="5"/>
        <v>140000</v>
      </c>
      <c r="H32">
        <f t="shared" si="1"/>
        <v>70000000</v>
      </c>
      <c r="I32" t="s">
        <v>5</v>
      </c>
    </row>
    <row r="33" spans="1:9" x14ac:dyDescent="0.25">
      <c r="A33">
        <v>102</v>
      </c>
      <c r="B33">
        <f>7*10^4</f>
        <v>70000</v>
      </c>
      <c r="C33">
        <f>9*10^4</f>
        <v>90000</v>
      </c>
      <c r="D33">
        <f>9*10^4</f>
        <v>90000</v>
      </c>
      <c r="E33">
        <v>2E-3</v>
      </c>
      <c r="F33">
        <f t="shared" si="4"/>
        <v>500</v>
      </c>
      <c r="G33">
        <f t="shared" si="5"/>
        <v>83333.333333333328</v>
      </c>
      <c r="H33">
        <f t="shared" si="1"/>
        <v>41666666.666666664</v>
      </c>
      <c r="I33" t="s">
        <v>5</v>
      </c>
    </row>
    <row r="34" spans="1:9" x14ac:dyDescent="0.25">
      <c r="A34">
        <v>1</v>
      </c>
      <c r="B34">
        <f>10*10^2</f>
        <v>1000</v>
      </c>
      <c r="C34">
        <f>9*10^3</f>
        <v>9000</v>
      </c>
      <c r="D34">
        <f>8*10^3</f>
        <v>8000</v>
      </c>
      <c r="E34">
        <v>2E-3</v>
      </c>
      <c r="F34">
        <f t="shared" si="4"/>
        <v>500</v>
      </c>
      <c r="G34">
        <f t="shared" si="5"/>
        <v>6000</v>
      </c>
      <c r="H34">
        <f t="shared" si="1"/>
        <v>3000000</v>
      </c>
      <c r="I34" t="s">
        <v>6</v>
      </c>
    </row>
    <row r="35" spans="1:9" x14ac:dyDescent="0.25">
      <c r="A35">
        <v>4</v>
      </c>
      <c r="B35">
        <f>5*10^4</f>
        <v>50000</v>
      </c>
      <c r="C35">
        <f>10*10^4</f>
        <v>100000</v>
      </c>
      <c r="D35">
        <f>9*10^4</f>
        <v>90000</v>
      </c>
      <c r="E35">
        <v>2E-3</v>
      </c>
      <c r="F35">
        <f>1/0.002</f>
        <v>500</v>
      </c>
      <c r="G35">
        <f t="shared" si="5"/>
        <v>80000</v>
      </c>
      <c r="H35">
        <f t="shared" si="1"/>
        <v>40000000</v>
      </c>
      <c r="I35" t="s">
        <v>6</v>
      </c>
    </row>
    <row r="36" spans="1:9" x14ac:dyDescent="0.25">
      <c r="A36">
        <v>5</v>
      </c>
      <c r="B36">
        <f>1*10^2</f>
        <v>100</v>
      </c>
      <c r="C36" t="s">
        <v>1</v>
      </c>
      <c r="D36" t="s">
        <v>1</v>
      </c>
      <c r="E36">
        <v>2E-3</v>
      </c>
      <c r="F36">
        <f t="shared" si="4"/>
        <v>500</v>
      </c>
      <c r="G36">
        <f>AVERAGE(B36:D36)</f>
        <v>100</v>
      </c>
      <c r="H36">
        <f t="shared" si="1"/>
        <v>50000</v>
      </c>
      <c r="I36" t="s">
        <v>6</v>
      </c>
    </row>
    <row r="37" spans="1:9" x14ac:dyDescent="0.25">
      <c r="A37">
        <v>6</v>
      </c>
      <c r="B37" t="s">
        <v>1</v>
      </c>
      <c r="C37" t="s">
        <v>1</v>
      </c>
      <c r="D37" t="s">
        <v>1</v>
      </c>
      <c r="E37">
        <v>2E-3</v>
      </c>
      <c r="F37">
        <f t="shared" si="4"/>
        <v>500</v>
      </c>
      <c r="G37" t="s">
        <v>1</v>
      </c>
      <c r="H37" t="s">
        <v>1</v>
      </c>
      <c r="I37" t="s">
        <v>6</v>
      </c>
    </row>
    <row r="38" spans="1:9" x14ac:dyDescent="0.25">
      <c r="A38">
        <v>8</v>
      </c>
      <c r="B38">
        <f>3*10^3</f>
        <v>3000</v>
      </c>
      <c r="C38">
        <f>16*10^3</f>
        <v>16000</v>
      </c>
      <c r="D38">
        <f>6*10^3</f>
        <v>6000</v>
      </c>
      <c r="E38">
        <v>2E-3</v>
      </c>
      <c r="F38">
        <f t="shared" si="4"/>
        <v>500</v>
      </c>
      <c r="G38">
        <f t="shared" ref="G38:G49" si="6">AVERAGE(B38:D38)</f>
        <v>8333.3333333333339</v>
      </c>
      <c r="H38">
        <f t="shared" si="1"/>
        <v>4166666.666666667</v>
      </c>
      <c r="I38" t="s">
        <v>6</v>
      </c>
    </row>
    <row r="39" spans="1:9" x14ac:dyDescent="0.25">
      <c r="A39">
        <v>9</v>
      </c>
      <c r="B39">
        <f>2*10^3</f>
        <v>2000</v>
      </c>
      <c r="C39">
        <f>4*10^3</f>
        <v>4000</v>
      </c>
      <c r="D39">
        <f>6*10^3</f>
        <v>6000</v>
      </c>
      <c r="E39">
        <v>2E-3</v>
      </c>
      <c r="F39">
        <f t="shared" si="4"/>
        <v>500</v>
      </c>
      <c r="G39">
        <f t="shared" si="6"/>
        <v>4000</v>
      </c>
      <c r="H39">
        <f t="shared" si="1"/>
        <v>2000000</v>
      </c>
      <c r="I39" t="s">
        <v>6</v>
      </c>
    </row>
    <row r="40" spans="1:9" x14ac:dyDescent="0.25">
      <c r="A40">
        <v>13</v>
      </c>
      <c r="B40">
        <f>4*10^5</f>
        <v>400000</v>
      </c>
      <c r="C40">
        <f>17*10^5</f>
        <v>1700000</v>
      </c>
      <c r="D40">
        <f>12*10^5</f>
        <v>1200000</v>
      </c>
      <c r="E40">
        <v>2E-3</v>
      </c>
      <c r="F40">
        <f t="shared" si="4"/>
        <v>500</v>
      </c>
      <c r="G40">
        <f t="shared" si="6"/>
        <v>1100000</v>
      </c>
      <c r="H40">
        <f t="shared" si="1"/>
        <v>550000000</v>
      </c>
      <c r="I40" t="s">
        <v>6</v>
      </c>
    </row>
    <row r="41" spans="1:9" x14ac:dyDescent="0.25">
      <c r="A41">
        <v>14</v>
      </c>
      <c r="B41">
        <f>3*10^4</f>
        <v>30000</v>
      </c>
      <c r="C41">
        <f>7*10^4</f>
        <v>70000</v>
      </c>
      <c r="D41">
        <f>1*10^4</f>
        <v>10000</v>
      </c>
      <c r="E41">
        <v>2E-3</v>
      </c>
      <c r="F41">
        <f t="shared" si="4"/>
        <v>500</v>
      </c>
      <c r="G41">
        <f t="shared" si="6"/>
        <v>36666.666666666664</v>
      </c>
      <c r="H41">
        <f t="shared" si="1"/>
        <v>18333333.333333332</v>
      </c>
      <c r="I41" t="s">
        <v>6</v>
      </c>
    </row>
    <row r="42" spans="1:9" x14ac:dyDescent="0.25">
      <c r="A42">
        <v>15</v>
      </c>
      <c r="B42">
        <f>8*10^3</f>
        <v>8000</v>
      </c>
      <c r="C42">
        <f>5*10^3</f>
        <v>5000</v>
      </c>
      <c r="D42">
        <f>19*10^3</f>
        <v>19000</v>
      </c>
      <c r="E42">
        <v>2E-3</v>
      </c>
      <c r="F42">
        <f t="shared" si="4"/>
        <v>500</v>
      </c>
      <c r="G42">
        <f t="shared" si="6"/>
        <v>10666.666666666666</v>
      </c>
      <c r="H42">
        <f t="shared" si="1"/>
        <v>5333333.333333333</v>
      </c>
      <c r="I42" t="s">
        <v>6</v>
      </c>
    </row>
    <row r="43" spans="1:9" x14ac:dyDescent="0.25">
      <c r="A43">
        <v>23</v>
      </c>
      <c r="B43" t="s">
        <v>1</v>
      </c>
      <c r="C43" t="s">
        <v>1</v>
      </c>
      <c r="D43" t="s">
        <v>1</v>
      </c>
      <c r="E43">
        <v>2E-3</v>
      </c>
      <c r="F43">
        <f t="shared" si="4"/>
        <v>500</v>
      </c>
      <c r="G43" t="s">
        <v>1</v>
      </c>
      <c r="H43" t="s">
        <v>1</v>
      </c>
      <c r="I43" t="s">
        <v>6</v>
      </c>
    </row>
    <row r="44" spans="1:9" x14ac:dyDescent="0.25">
      <c r="A44">
        <v>25</v>
      </c>
      <c r="B44">
        <f>5*10^3</f>
        <v>5000</v>
      </c>
      <c r="C44">
        <f>5*10^3</f>
        <v>5000</v>
      </c>
      <c r="D44">
        <f>5*10^3</f>
        <v>5000</v>
      </c>
      <c r="E44">
        <v>2E-3</v>
      </c>
      <c r="F44">
        <f t="shared" si="4"/>
        <v>500</v>
      </c>
      <c r="G44">
        <f t="shared" si="6"/>
        <v>5000</v>
      </c>
      <c r="H44">
        <f t="shared" si="1"/>
        <v>2500000</v>
      </c>
      <c r="I44" t="s">
        <v>6</v>
      </c>
    </row>
    <row r="45" spans="1:9" x14ac:dyDescent="0.25">
      <c r="A45">
        <v>33</v>
      </c>
      <c r="B45">
        <f>18*10^4</f>
        <v>180000</v>
      </c>
      <c r="C45">
        <f>17*10^4</f>
        <v>170000</v>
      </c>
      <c r="D45">
        <f>15*10^4</f>
        <v>150000</v>
      </c>
      <c r="E45">
        <v>2E-3</v>
      </c>
      <c r="F45">
        <f t="shared" si="4"/>
        <v>500</v>
      </c>
      <c r="G45">
        <f t="shared" si="6"/>
        <v>166666.66666666666</v>
      </c>
      <c r="H45">
        <f t="shared" si="1"/>
        <v>83333333.333333328</v>
      </c>
      <c r="I45" t="s">
        <v>6</v>
      </c>
    </row>
    <row r="46" spans="1:9" x14ac:dyDescent="0.25">
      <c r="A46">
        <v>37</v>
      </c>
      <c r="B46" t="s">
        <v>1</v>
      </c>
      <c r="C46" t="s">
        <v>1</v>
      </c>
      <c r="D46" t="s">
        <v>1</v>
      </c>
      <c r="E46">
        <v>2E-3</v>
      </c>
      <c r="F46">
        <f t="shared" si="4"/>
        <v>500</v>
      </c>
      <c r="G46" t="s">
        <v>1</v>
      </c>
      <c r="H46" t="s">
        <v>1</v>
      </c>
      <c r="I46" t="s">
        <v>6</v>
      </c>
    </row>
    <row r="47" spans="1:9" x14ac:dyDescent="0.25">
      <c r="A47">
        <v>48</v>
      </c>
      <c r="B47">
        <f>4*10^3</f>
        <v>4000</v>
      </c>
      <c r="C47">
        <f>1*10^3</f>
        <v>1000</v>
      </c>
      <c r="D47">
        <f>6*10^3</f>
        <v>6000</v>
      </c>
      <c r="E47">
        <v>2E-3</v>
      </c>
      <c r="F47">
        <f t="shared" si="4"/>
        <v>500</v>
      </c>
      <c r="G47">
        <f t="shared" si="6"/>
        <v>3666.6666666666665</v>
      </c>
      <c r="H47">
        <f t="shared" si="1"/>
        <v>1833333.3333333333</v>
      </c>
      <c r="I47" t="s">
        <v>6</v>
      </c>
    </row>
    <row r="48" spans="1:9" x14ac:dyDescent="0.25">
      <c r="A48">
        <v>55</v>
      </c>
      <c r="B48">
        <f>21*10^4</f>
        <v>210000</v>
      </c>
      <c r="C48">
        <f>32*10^4</f>
        <v>320000</v>
      </c>
      <c r="D48">
        <f>27*10^4</f>
        <v>270000</v>
      </c>
      <c r="E48">
        <v>2E-3</v>
      </c>
      <c r="F48">
        <f t="shared" si="4"/>
        <v>500</v>
      </c>
      <c r="G48">
        <f t="shared" si="6"/>
        <v>266666.66666666669</v>
      </c>
      <c r="H48">
        <f t="shared" si="1"/>
        <v>133333333.33333334</v>
      </c>
      <c r="I48" t="s">
        <v>6</v>
      </c>
    </row>
    <row r="49" spans="1:9" x14ac:dyDescent="0.25">
      <c r="A49">
        <v>102</v>
      </c>
      <c r="B49">
        <f>6*10^4</f>
        <v>60000</v>
      </c>
      <c r="C49">
        <f>7*10^4</f>
        <v>70000</v>
      </c>
      <c r="D49">
        <f>3*10^4</f>
        <v>30000</v>
      </c>
      <c r="E49">
        <v>2E-3</v>
      </c>
      <c r="F49">
        <f t="shared" si="4"/>
        <v>500</v>
      </c>
      <c r="G49">
        <f t="shared" si="6"/>
        <v>53333.333333333336</v>
      </c>
      <c r="H49">
        <f t="shared" si="1"/>
        <v>26666666.666666668</v>
      </c>
      <c r="I49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4A58-FE03-4D95-8DF4-2AEB4AFB1EDE}">
  <dimension ref="A1:M24"/>
  <sheetViews>
    <sheetView workbookViewId="0">
      <selection activeCell="O25" sqref="O25"/>
    </sheetView>
  </sheetViews>
  <sheetFormatPr defaultRowHeight="15" x14ac:dyDescent="0.25"/>
  <cols>
    <col min="1" max="2" width="12.140625" customWidth="1"/>
    <col min="3" max="3" width="11.5703125" customWidth="1"/>
    <col min="4" max="4" width="12.5703125" customWidth="1"/>
    <col min="5" max="5" width="12.42578125" customWidth="1"/>
    <col min="6" max="7" width="12.140625" customWidth="1"/>
    <col min="8" max="8" width="12.42578125" customWidth="1"/>
    <col min="9" max="9" width="13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4</v>
      </c>
      <c r="M1" t="s">
        <v>23</v>
      </c>
    </row>
    <row r="2" spans="1:13" x14ac:dyDescent="0.25">
      <c r="A2" s="3">
        <v>1</v>
      </c>
      <c r="B2">
        <v>8</v>
      </c>
      <c r="C2" t="s">
        <v>1</v>
      </c>
      <c r="D2" t="s">
        <v>1</v>
      </c>
      <c r="E2">
        <v>8</v>
      </c>
      <c r="F2" t="s">
        <v>1</v>
      </c>
      <c r="G2" t="s">
        <v>1</v>
      </c>
      <c r="H2">
        <v>8</v>
      </c>
      <c r="I2" t="s">
        <v>1</v>
      </c>
      <c r="J2" t="s">
        <v>1</v>
      </c>
      <c r="K2" t="s">
        <v>1</v>
      </c>
      <c r="L2" t="s">
        <v>6</v>
      </c>
      <c r="M2">
        <v>1866666.6666666667</v>
      </c>
    </row>
    <row r="3" spans="1:13" x14ac:dyDescent="0.25">
      <c r="A3" s="3">
        <v>1</v>
      </c>
      <c r="B3">
        <v>8</v>
      </c>
      <c r="C3" t="s">
        <v>1</v>
      </c>
      <c r="D3" t="s">
        <v>1</v>
      </c>
      <c r="E3">
        <v>6</v>
      </c>
      <c r="F3" t="s">
        <v>1</v>
      </c>
      <c r="G3" t="s">
        <v>1</v>
      </c>
      <c r="H3">
        <v>6</v>
      </c>
      <c r="I3" t="s">
        <v>1</v>
      </c>
      <c r="J3" t="s">
        <v>1</v>
      </c>
      <c r="K3" t="s">
        <v>1</v>
      </c>
      <c r="L3" t="s">
        <v>6</v>
      </c>
      <c r="M3">
        <v>1866666.6666666667</v>
      </c>
    </row>
    <row r="4" spans="1:13" x14ac:dyDescent="0.25">
      <c r="A4" s="3">
        <v>4</v>
      </c>
      <c r="B4">
        <v>8</v>
      </c>
      <c r="C4" t="s">
        <v>1</v>
      </c>
      <c r="D4" t="s">
        <v>1</v>
      </c>
      <c r="E4">
        <v>7</v>
      </c>
      <c r="F4" t="s">
        <v>1</v>
      </c>
      <c r="G4" t="s">
        <v>1</v>
      </c>
      <c r="H4">
        <v>7</v>
      </c>
      <c r="I4" t="s">
        <v>1</v>
      </c>
      <c r="J4" t="s">
        <v>1</v>
      </c>
      <c r="K4" t="s">
        <v>1</v>
      </c>
      <c r="L4" t="s">
        <v>6</v>
      </c>
      <c r="M4">
        <v>600000</v>
      </c>
    </row>
    <row r="5" spans="1:13" x14ac:dyDescent="0.25">
      <c r="A5" s="3">
        <v>4</v>
      </c>
      <c r="B5">
        <v>7</v>
      </c>
      <c r="C5" t="s">
        <v>1</v>
      </c>
      <c r="D5" t="s">
        <v>1</v>
      </c>
      <c r="E5">
        <v>5</v>
      </c>
      <c r="F5" t="s">
        <v>1</v>
      </c>
      <c r="G5" t="s">
        <v>1</v>
      </c>
      <c r="H5">
        <v>6</v>
      </c>
      <c r="I5" t="s">
        <v>1</v>
      </c>
      <c r="J5" t="s">
        <v>1</v>
      </c>
      <c r="K5" t="s">
        <v>1</v>
      </c>
      <c r="L5" t="s">
        <v>6</v>
      </c>
      <c r="M5">
        <v>600000</v>
      </c>
    </row>
    <row r="6" spans="1:13" x14ac:dyDescent="0.25">
      <c r="A6" s="2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6</v>
      </c>
      <c r="M6" t="s">
        <v>1</v>
      </c>
    </row>
    <row r="7" spans="1:13" x14ac:dyDescent="0.25">
      <c r="A7" s="1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>
        <v>10</v>
      </c>
      <c r="I7">
        <v>16</v>
      </c>
      <c r="J7">
        <f>I7/H7</f>
        <v>1.6</v>
      </c>
      <c r="K7">
        <f t="shared" ref="K7:K23" si="0">AVERAGE(J7,G7,D7)</f>
        <v>1.6</v>
      </c>
      <c r="L7" t="s">
        <v>6</v>
      </c>
      <c r="M7" t="s">
        <v>1</v>
      </c>
    </row>
    <row r="8" spans="1:13" x14ac:dyDescent="0.25">
      <c r="A8" s="2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6</v>
      </c>
      <c r="M8" t="s">
        <v>1</v>
      </c>
    </row>
    <row r="9" spans="1:13" x14ac:dyDescent="0.25">
      <c r="A9" s="1">
        <v>6</v>
      </c>
      <c r="B9">
        <v>9</v>
      </c>
      <c r="C9">
        <v>11</v>
      </c>
      <c r="D9">
        <f>C9/B9</f>
        <v>1.2222222222222223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>
        <f t="shared" si="0"/>
        <v>1.2222222222222223</v>
      </c>
      <c r="L9" t="s">
        <v>6</v>
      </c>
      <c r="M9" t="s">
        <v>1</v>
      </c>
    </row>
    <row r="10" spans="1:13" x14ac:dyDescent="0.25">
      <c r="A10" s="3">
        <v>8</v>
      </c>
      <c r="B10">
        <v>7</v>
      </c>
      <c r="C10" t="s">
        <v>1</v>
      </c>
      <c r="D10" t="s">
        <v>1</v>
      </c>
      <c r="E10">
        <v>8</v>
      </c>
      <c r="F10" t="s">
        <v>1</v>
      </c>
      <c r="G10" t="s">
        <v>1</v>
      </c>
      <c r="H10">
        <v>8</v>
      </c>
      <c r="I10" t="s">
        <v>1</v>
      </c>
      <c r="J10" t="s">
        <v>1</v>
      </c>
      <c r="K10" t="s">
        <v>1</v>
      </c>
      <c r="L10" t="s">
        <v>6</v>
      </c>
      <c r="M10">
        <v>17342000</v>
      </c>
    </row>
    <row r="11" spans="1:13" x14ac:dyDescent="0.25">
      <c r="A11" s="3">
        <v>8</v>
      </c>
      <c r="B11">
        <v>6</v>
      </c>
      <c r="C11" t="s">
        <v>1</v>
      </c>
      <c r="D11" t="s">
        <v>1</v>
      </c>
      <c r="E11">
        <v>7</v>
      </c>
      <c r="F11" t="s">
        <v>1</v>
      </c>
      <c r="G11" t="s">
        <v>1</v>
      </c>
      <c r="H11">
        <v>5</v>
      </c>
      <c r="I11" t="s">
        <v>1</v>
      </c>
      <c r="J11" t="s">
        <v>1</v>
      </c>
      <c r="K11" t="s">
        <v>1</v>
      </c>
      <c r="L11" t="s">
        <v>6</v>
      </c>
      <c r="M11">
        <v>17342000</v>
      </c>
    </row>
    <row r="12" spans="1:13" x14ac:dyDescent="0.25">
      <c r="A12" s="3">
        <v>9</v>
      </c>
      <c r="B12">
        <v>7</v>
      </c>
      <c r="C12" t="s">
        <v>1</v>
      </c>
      <c r="D12" t="s">
        <v>1</v>
      </c>
      <c r="E12">
        <v>8</v>
      </c>
      <c r="F12" t="s">
        <v>1</v>
      </c>
      <c r="G12" t="s">
        <v>1</v>
      </c>
      <c r="H12">
        <v>8</v>
      </c>
      <c r="I12" t="s">
        <v>1</v>
      </c>
      <c r="J12" t="s">
        <v>1</v>
      </c>
      <c r="K12" t="s">
        <v>1</v>
      </c>
      <c r="L12" t="s">
        <v>6</v>
      </c>
      <c r="M12">
        <v>22000000</v>
      </c>
    </row>
    <row r="13" spans="1:13" x14ac:dyDescent="0.25">
      <c r="A13" s="3">
        <v>9</v>
      </c>
      <c r="B13">
        <v>8</v>
      </c>
      <c r="C13" t="s">
        <v>1</v>
      </c>
      <c r="D13" t="s">
        <v>1</v>
      </c>
      <c r="E13">
        <v>7</v>
      </c>
      <c r="F13" t="s">
        <v>1</v>
      </c>
      <c r="G13" t="s">
        <v>1</v>
      </c>
      <c r="H13">
        <v>8</v>
      </c>
      <c r="I13" t="s">
        <v>1</v>
      </c>
      <c r="J13" t="s">
        <v>1</v>
      </c>
      <c r="K13" t="s">
        <v>1</v>
      </c>
      <c r="L13" t="s">
        <v>6</v>
      </c>
      <c r="M13">
        <v>22000000</v>
      </c>
    </row>
    <row r="14" spans="1:13" x14ac:dyDescent="0.25">
      <c r="A14" s="3">
        <v>13</v>
      </c>
      <c r="B14">
        <v>8</v>
      </c>
      <c r="C14" t="s">
        <v>1</v>
      </c>
      <c r="D14" t="s">
        <v>1</v>
      </c>
      <c r="E14">
        <v>8</v>
      </c>
      <c r="F14" t="s">
        <v>1</v>
      </c>
      <c r="G14" t="s">
        <v>1</v>
      </c>
      <c r="H14">
        <v>8</v>
      </c>
      <c r="I14" t="s">
        <v>1</v>
      </c>
      <c r="J14" t="s">
        <v>1</v>
      </c>
      <c r="K14" t="s">
        <v>1</v>
      </c>
      <c r="L14" t="s">
        <v>6</v>
      </c>
      <c r="M14">
        <v>22800000</v>
      </c>
    </row>
    <row r="15" spans="1:13" x14ac:dyDescent="0.25">
      <c r="A15" s="1">
        <v>14</v>
      </c>
      <c r="B15">
        <v>8</v>
      </c>
      <c r="C15">
        <v>9</v>
      </c>
      <c r="D15">
        <f>C15/B15</f>
        <v>1.125</v>
      </c>
      <c r="E15">
        <v>8</v>
      </c>
      <c r="F15">
        <v>10</v>
      </c>
      <c r="G15">
        <f>F15/E15</f>
        <v>1.25</v>
      </c>
      <c r="H15">
        <v>7</v>
      </c>
      <c r="I15">
        <v>9</v>
      </c>
      <c r="J15">
        <f>I15/H15</f>
        <v>1.2857142857142858</v>
      </c>
      <c r="K15">
        <f t="shared" si="0"/>
        <v>1.2202380952380951</v>
      </c>
      <c r="L15" t="s">
        <v>6</v>
      </c>
      <c r="M15">
        <v>2200000</v>
      </c>
    </row>
    <row r="16" spans="1:13" x14ac:dyDescent="0.25">
      <c r="A16" s="3">
        <v>15</v>
      </c>
      <c r="B16" t="s">
        <v>1</v>
      </c>
      <c r="C16" t="s">
        <v>1</v>
      </c>
      <c r="D16" t="s">
        <v>1</v>
      </c>
      <c r="E16">
        <v>6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6</v>
      </c>
      <c r="M16">
        <v>300000</v>
      </c>
    </row>
    <row r="17" spans="1:13" x14ac:dyDescent="0.25">
      <c r="A17" s="1">
        <v>23</v>
      </c>
      <c r="B17">
        <v>4</v>
      </c>
      <c r="C17">
        <v>12</v>
      </c>
      <c r="D17">
        <f t="shared" ref="D17:D21" si="1">C17/B17</f>
        <v>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>
        <f t="shared" si="0"/>
        <v>3</v>
      </c>
      <c r="L17" t="s">
        <v>6</v>
      </c>
      <c r="M17" t="s">
        <v>1</v>
      </c>
    </row>
    <row r="18" spans="1:13" x14ac:dyDescent="0.25">
      <c r="A18" s="1">
        <v>25</v>
      </c>
      <c r="B18">
        <v>11</v>
      </c>
      <c r="C18">
        <v>12</v>
      </c>
      <c r="D18">
        <f t="shared" si="1"/>
        <v>1.0909090909090908</v>
      </c>
      <c r="E18">
        <v>11</v>
      </c>
      <c r="F18">
        <v>12</v>
      </c>
      <c r="G18">
        <f t="shared" ref="G18:G21" si="2">F18/E18</f>
        <v>1.0909090909090908</v>
      </c>
      <c r="H18">
        <v>11</v>
      </c>
      <c r="I18">
        <v>12</v>
      </c>
      <c r="J18">
        <f t="shared" ref="J18:J21" si="3">I18/H18</f>
        <v>1.0909090909090908</v>
      </c>
      <c r="K18">
        <f t="shared" si="0"/>
        <v>1.0909090909090908</v>
      </c>
      <c r="L18" t="s">
        <v>6</v>
      </c>
      <c r="M18">
        <v>14666.666666666666</v>
      </c>
    </row>
    <row r="19" spans="1:13" x14ac:dyDescent="0.25">
      <c r="A19" s="1">
        <v>33</v>
      </c>
      <c r="B19">
        <v>7</v>
      </c>
      <c r="C19">
        <v>8</v>
      </c>
      <c r="D19">
        <f t="shared" si="1"/>
        <v>1.1428571428571428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>
        <f t="shared" si="0"/>
        <v>1.1428571428571428</v>
      </c>
      <c r="L19" t="s">
        <v>6</v>
      </c>
      <c r="M19">
        <v>140000</v>
      </c>
    </row>
    <row r="20" spans="1:13" x14ac:dyDescent="0.25">
      <c r="A20" s="1">
        <v>37</v>
      </c>
      <c r="B20">
        <v>8</v>
      </c>
      <c r="C20">
        <v>10</v>
      </c>
      <c r="D20">
        <f t="shared" si="1"/>
        <v>1.25</v>
      </c>
      <c r="E20">
        <v>7</v>
      </c>
      <c r="F20">
        <v>8</v>
      </c>
      <c r="G20">
        <f t="shared" si="2"/>
        <v>1.1428571428571428</v>
      </c>
      <c r="H20">
        <v>7</v>
      </c>
      <c r="I20">
        <v>8</v>
      </c>
      <c r="J20">
        <f t="shared" si="3"/>
        <v>1.1428571428571428</v>
      </c>
      <c r="K20">
        <f t="shared" si="0"/>
        <v>1.1785714285714286</v>
      </c>
      <c r="L20" t="s">
        <v>6</v>
      </c>
      <c r="M20">
        <v>6000</v>
      </c>
    </row>
    <row r="21" spans="1:13" x14ac:dyDescent="0.25">
      <c r="A21" s="1">
        <v>37</v>
      </c>
      <c r="B21">
        <v>7</v>
      </c>
      <c r="C21">
        <v>8</v>
      </c>
      <c r="D21">
        <f t="shared" si="1"/>
        <v>1.1428571428571428</v>
      </c>
      <c r="E21">
        <v>7</v>
      </c>
      <c r="F21">
        <v>8</v>
      </c>
      <c r="G21">
        <f t="shared" si="2"/>
        <v>1.1428571428571428</v>
      </c>
      <c r="H21">
        <v>7</v>
      </c>
      <c r="I21">
        <v>8</v>
      </c>
      <c r="J21">
        <f t="shared" si="3"/>
        <v>1.1428571428571428</v>
      </c>
      <c r="K21">
        <f t="shared" si="0"/>
        <v>1.1428571428571428</v>
      </c>
      <c r="L21" t="s">
        <v>6</v>
      </c>
      <c r="M21">
        <v>6000</v>
      </c>
    </row>
    <row r="22" spans="1:13" x14ac:dyDescent="0.25">
      <c r="A22" s="3">
        <v>48</v>
      </c>
      <c r="B22">
        <v>9</v>
      </c>
      <c r="C22" t="s">
        <v>1</v>
      </c>
      <c r="D22" t="s">
        <v>1</v>
      </c>
      <c r="E22">
        <v>7</v>
      </c>
      <c r="F22" t="s">
        <v>1</v>
      </c>
      <c r="G22" t="s">
        <v>1</v>
      </c>
      <c r="H22">
        <v>10</v>
      </c>
      <c r="I22" t="s">
        <v>1</v>
      </c>
      <c r="J22" t="s">
        <v>1</v>
      </c>
      <c r="K22" t="s">
        <v>1</v>
      </c>
      <c r="L22" t="s">
        <v>6</v>
      </c>
      <c r="M22">
        <v>5338000</v>
      </c>
    </row>
    <row r="23" spans="1:13" x14ac:dyDescent="0.25">
      <c r="A23" s="1">
        <v>55</v>
      </c>
      <c r="B23">
        <v>7</v>
      </c>
      <c r="C23" t="s">
        <v>1</v>
      </c>
      <c r="D23" t="s">
        <v>1</v>
      </c>
      <c r="E23">
        <v>20</v>
      </c>
      <c r="F23">
        <v>21</v>
      </c>
      <c r="G23">
        <f>F23/E23</f>
        <v>1.05</v>
      </c>
      <c r="H23">
        <v>18</v>
      </c>
      <c r="I23">
        <v>19</v>
      </c>
      <c r="J23">
        <f>I23/H23</f>
        <v>1.0555555555555556</v>
      </c>
      <c r="K23">
        <f t="shared" si="0"/>
        <v>1.0527777777777778</v>
      </c>
      <c r="L23" t="s">
        <v>6</v>
      </c>
      <c r="M23">
        <v>1000000</v>
      </c>
    </row>
    <row r="24" spans="1:13" x14ac:dyDescent="0.25">
      <c r="A24" s="3">
        <v>102</v>
      </c>
      <c r="B24">
        <v>7</v>
      </c>
      <c r="C24" t="s">
        <v>1</v>
      </c>
      <c r="D24" t="s">
        <v>1</v>
      </c>
      <c r="E24">
        <v>7</v>
      </c>
      <c r="F24" t="s">
        <v>1</v>
      </c>
      <c r="G24" t="s">
        <v>1</v>
      </c>
      <c r="H24">
        <v>7</v>
      </c>
      <c r="I24" t="s">
        <v>1</v>
      </c>
      <c r="J24" t="s">
        <v>1</v>
      </c>
      <c r="K24" t="s">
        <v>1</v>
      </c>
      <c r="L24" t="s">
        <v>6</v>
      </c>
      <c r="M24">
        <v>600000</v>
      </c>
    </row>
  </sheetData>
  <autoFilter ref="A1:M24" xr:uid="{EB0D4A58-FE03-4D95-8DF4-2AEB4AFB1EDE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AE9B-82DE-45D4-A813-15D8FFE89CD7}">
  <dimension ref="A1:P40"/>
  <sheetViews>
    <sheetView tabSelected="1" zoomScale="85" zoomScaleNormal="85" workbookViewId="0">
      <selection activeCell="P4" sqref="P4"/>
    </sheetView>
  </sheetViews>
  <sheetFormatPr defaultRowHeight="15" x14ac:dyDescent="0.25"/>
  <sheetData>
    <row r="1" spans="1:1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4</v>
      </c>
      <c r="M1" t="s">
        <v>23</v>
      </c>
      <c r="N1" t="s">
        <v>25</v>
      </c>
      <c r="O1" t="s">
        <v>26</v>
      </c>
      <c r="P1" t="s">
        <v>27</v>
      </c>
    </row>
    <row r="2" spans="1:16" x14ac:dyDescent="0.25">
      <c r="A2">
        <v>1</v>
      </c>
      <c r="B2">
        <v>6.4</v>
      </c>
      <c r="C2" t="s">
        <v>1</v>
      </c>
      <c r="D2" t="s">
        <v>1</v>
      </c>
      <c r="E2">
        <v>5.97</v>
      </c>
      <c r="F2" t="s">
        <v>1</v>
      </c>
      <c r="G2" t="s">
        <v>1</v>
      </c>
      <c r="H2">
        <v>7.4</v>
      </c>
      <c r="I2" t="s">
        <v>1</v>
      </c>
      <c r="J2" t="s">
        <v>1</v>
      </c>
      <c r="K2" t="s">
        <v>1</v>
      </c>
      <c r="L2" t="s">
        <v>5</v>
      </c>
      <c r="M2">
        <v>175000000</v>
      </c>
      <c r="N2">
        <v>122</v>
      </c>
      <c r="O2">
        <v>257</v>
      </c>
      <c r="P2" t="s">
        <v>1</v>
      </c>
    </row>
    <row r="3" spans="1:16" x14ac:dyDescent="0.25">
      <c r="A3">
        <v>4</v>
      </c>
      <c r="B3">
        <v>6.35</v>
      </c>
      <c r="C3" t="s">
        <v>1</v>
      </c>
      <c r="D3" t="s">
        <v>1</v>
      </c>
      <c r="E3">
        <v>8.08</v>
      </c>
      <c r="F3" t="s">
        <v>1</v>
      </c>
      <c r="G3" t="s">
        <v>1</v>
      </c>
      <c r="H3">
        <v>7.02</v>
      </c>
      <c r="I3" t="s">
        <v>1</v>
      </c>
      <c r="J3" t="s">
        <v>1</v>
      </c>
      <c r="K3" t="s">
        <v>1</v>
      </c>
      <c r="L3" t="s">
        <v>5</v>
      </c>
      <c r="M3">
        <v>36666666.666666664</v>
      </c>
      <c r="N3">
        <v>119</v>
      </c>
      <c r="O3">
        <v>248</v>
      </c>
      <c r="P3" t="s">
        <v>1</v>
      </c>
    </row>
    <row r="4" spans="1:16" x14ac:dyDescent="0.25">
      <c r="A4">
        <v>5</v>
      </c>
      <c r="B4">
        <v>9.8000000000000007</v>
      </c>
      <c r="C4">
        <v>18.13</v>
      </c>
      <c r="D4">
        <f>C4/B4</f>
        <v>1.8499999999999999</v>
      </c>
      <c r="E4">
        <v>8.1999999999999993</v>
      </c>
      <c r="F4">
        <v>15.32</v>
      </c>
      <c r="G4">
        <f>F4/E4</f>
        <v>1.8682926829268294</v>
      </c>
      <c r="H4">
        <v>9.15</v>
      </c>
      <c r="I4">
        <v>19.72</v>
      </c>
      <c r="J4">
        <f>I4/H4</f>
        <v>2.1551912568306011</v>
      </c>
      <c r="K4">
        <f t="shared" ref="K4:K31" si="0">AVERAGE(J4,G4,D4)</f>
        <v>1.9578279799191434</v>
      </c>
      <c r="L4" t="s">
        <v>5</v>
      </c>
      <c r="M4">
        <v>17500000</v>
      </c>
      <c r="N4">
        <v>136</v>
      </c>
      <c r="O4">
        <v>298</v>
      </c>
      <c r="P4" cm="1">
        <f t="array" ref="P4">IF(COUNTIF(A:A, A4) &gt; 1, _xlfn.STDEV.S(IF(A:A=A4, K:K)), NA())</f>
        <v>0.2258312224585404</v>
      </c>
    </row>
    <row r="5" spans="1:16" x14ac:dyDescent="0.25">
      <c r="A5">
        <v>8</v>
      </c>
      <c r="B5">
        <v>7</v>
      </c>
      <c r="C5" t="s">
        <v>1</v>
      </c>
      <c r="D5" t="s">
        <v>1</v>
      </c>
      <c r="E5">
        <v>5.8</v>
      </c>
      <c r="F5" t="s">
        <v>1</v>
      </c>
      <c r="G5" t="s">
        <v>1</v>
      </c>
      <c r="H5">
        <v>7.24</v>
      </c>
      <c r="I5" t="s">
        <v>1</v>
      </c>
      <c r="J5" t="s">
        <v>1</v>
      </c>
      <c r="K5" t="s">
        <v>1</v>
      </c>
      <c r="L5" t="s">
        <v>5</v>
      </c>
      <c r="M5">
        <v>26666666.666666668</v>
      </c>
      <c r="N5">
        <v>115</v>
      </c>
      <c r="O5">
        <v>255</v>
      </c>
      <c r="P5" t="s">
        <v>1</v>
      </c>
    </row>
    <row r="6" spans="1:16" x14ac:dyDescent="0.25">
      <c r="A6">
        <v>9</v>
      </c>
      <c r="B6">
        <v>5.49</v>
      </c>
      <c r="C6" t="s">
        <v>1</v>
      </c>
      <c r="D6" t="s">
        <v>1</v>
      </c>
      <c r="E6">
        <v>5.59</v>
      </c>
      <c r="F6" t="s">
        <v>1</v>
      </c>
      <c r="G6" t="s">
        <v>1</v>
      </c>
      <c r="H6">
        <v>6.31</v>
      </c>
      <c r="I6" t="s">
        <v>1</v>
      </c>
      <c r="J6" t="s">
        <v>1</v>
      </c>
      <c r="K6" t="s">
        <v>1</v>
      </c>
      <c r="L6" t="s">
        <v>5</v>
      </c>
      <c r="M6">
        <v>20000000</v>
      </c>
      <c r="N6">
        <v>121</v>
      </c>
      <c r="O6">
        <v>254</v>
      </c>
      <c r="P6" t="s">
        <v>1</v>
      </c>
    </row>
    <row r="7" spans="1:16" x14ac:dyDescent="0.25">
      <c r="A7">
        <v>13</v>
      </c>
      <c r="B7">
        <v>5.57</v>
      </c>
      <c r="C7" t="s">
        <v>1</v>
      </c>
      <c r="D7" t="s">
        <v>1</v>
      </c>
      <c r="E7">
        <v>5.92</v>
      </c>
      <c r="F7" t="s">
        <v>1</v>
      </c>
      <c r="G7" t="s">
        <v>1</v>
      </c>
      <c r="H7">
        <v>5.81</v>
      </c>
      <c r="I7" t="s">
        <v>1</v>
      </c>
      <c r="J7" t="s">
        <v>1</v>
      </c>
      <c r="K7" t="s">
        <v>1</v>
      </c>
      <c r="L7" t="s">
        <v>5</v>
      </c>
      <c r="M7">
        <v>100000000</v>
      </c>
      <c r="N7">
        <v>110</v>
      </c>
      <c r="O7">
        <v>253</v>
      </c>
      <c r="P7" t="s">
        <v>1</v>
      </c>
    </row>
    <row r="8" spans="1:16" x14ac:dyDescent="0.25">
      <c r="A8">
        <v>14</v>
      </c>
      <c r="B8">
        <v>5.18</v>
      </c>
      <c r="C8">
        <v>6.21</v>
      </c>
      <c r="D8">
        <f t="shared" ref="D8:D9" si="1">C8/B8</f>
        <v>1.198841698841699</v>
      </c>
      <c r="E8">
        <v>5.15</v>
      </c>
      <c r="F8" t="s">
        <v>1</v>
      </c>
      <c r="G8" t="s">
        <v>1</v>
      </c>
      <c r="H8">
        <v>5.58</v>
      </c>
      <c r="I8">
        <v>6</v>
      </c>
      <c r="J8">
        <f t="shared" ref="J8:J40" si="2">I8/H8</f>
        <v>1.075268817204301</v>
      </c>
      <c r="K8">
        <f t="shared" si="0"/>
        <v>1.137055258023</v>
      </c>
      <c r="L8" t="s">
        <v>5</v>
      </c>
      <c r="M8">
        <v>26666666.666666668</v>
      </c>
      <c r="N8">
        <v>140</v>
      </c>
      <c r="O8">
        <v>301</v>
      </c>
      <c r="P8" cm="1">
        <f t="array" ref="P8">IF(COUNTIF(A:A, A8) &gt; 1, _xlfn.STDEV.S(IF(A:A=A8, K:K)), NA())</f>
        <v>6.8328740591682854E-2</v>
      </c>
    </row>
    <row r="9" spans="1:16" x14ac:dyDescent="0.25">
      <c r="A9">
        <v>15</v>
      </c>
      <c r="B9">
        <v>5.34</v>
      </c>
      <c r="C9">
        <v>7.25</v>
      </c>
      <c r="D9">
        <f t="shared" si="1"/>
        <v>1.3576779026217229</v>
      </c>
      <c r="E9">
        <v>5.05</v>
      </c>
      <c r="F9" t="s">
        <v>1</v>
      </c>
      <c r="G9" t="s">
        <v>1</v>
      </c>
      <c r="H9">
        <v>5.71</v>
      </c>
      <c r="I9">
        <v>6.22</v>
      </c>
      <c r="J9">
        <f t="shared" si="2"/>
        <v>1.0893169877408055</v>
      </c>
      <c r="K9">
        <f t="shared" si="0"/>
        <v>1.2234974451812644</v>
      </c>
      <c r="L9" t="s">
        <v>5</v>
      </c>
      <c r="M9">
        <v>11666666.666666666</v>
      </c>
      <c r="N9">
        <v>127</v>
      </c>
      <c r="O9">
        <v>260</v>
      </c>
      <c r="P9" cm="1">
        <f t="array" ref="P9">IF(COUNTIF(A:A, A9) &gt; 1, _xlfn.STDEV.S(IF(A:A=A9, K:K)), NA())</f>
        <v>1.1634715132046393E-2</v>
      </c>
    </row>
    <row r="10" spans="1:16" x14ac:dyDescent="0.25">
      <c r="A10">
        <v>23</v>
      </c>
      <c r="B10">
        <v>4.88</v>
      </c>
      <c r="C10" t="s">
        <v>1</v>
      </c>
      <c r="D10" t="s">
        <v>1</v>
      </c>
      <c r="E10">
        <v>6.88</v>
      </c>
      <c r="F10" t="s">
        <v>1</v>
      </c>
      <c r="G10" t="s">
        <v>1</v>
      </c>
      <c r="H10">
        <v>4.76</v>
      </c>
      <c r="I10" t="s">
        <v>1</v>
      </c>
      <c r="J10" t="s">
        <v>1</v>
      </c>
      <c r="K10" t="s">
        <v>1</v>
      </c>
      <c r="L10" t="s">
        <v>5</v>
      </c>
      <c r="M10" t="s">
        <v>1</v>
      </c>
      <c r="N10" t="s">
        <v>1</v>
      </c>
      <c r="O10" t="s">
        <v>1</v>
      </c>
      <c r="P10" t="s">
        <v>1</v>
      </c>
    </row>
    <row r="11" spans="1:16" x14ac:dyDescent="0.25">
      <c r="A11">
        <v>25</v>
      </c>
      <c r="B11">
        <v>18.14</v>
      </c>
      <c r="C11" t="s">
        <v>1</v>
      </c>
      <c r="D11" t="s">
        <v>1</v>
      </c>
      <c r="E11">
        <v>9.2899999999999991</v>
      </c>
      <c r="F11">
        <v>12.28</v>
      </c>
      <c r="G11">
        <f t="shared" ref="G11:G12" si="3">F11/E11</f>
        <v>1.3218514531754575</v>
      </c>
      <c r="H11">
        <v>18.059999999999999</v>
      </c>
      <c r="I11" t="s">
        <v>1</v>
      </c>
      <c r="J11" t="s">
        <v>1</v>
      </c>
      <c r="K11">
        <f t="shared" si="0"/>
        <v>1.3218514531754575</v>
      </c>
      <c r="L11" t="s">
        <v>5</v>
      </c>
      <c r="M11">
        <v>33333333.333333336</v>
      </c>
      <c r="N11">
        <v>135</v>
      </c>
      <c r="O11">
        <v>250</v>
      </c>
      <c r="P11" cm="1">
        <f t="array" ref="P11">IF(COUNTIF(A:A, A11) &gt; 1, _xlfn.STDEV.S(IF(A:A=A11, K:K)), NA())</f>
        <v>0.11593425069050764</v>
      </c>
    </row>
    <row r="12" spans="1:16" x14ac:dyDescent="0.25">
      <c r="A12">
        <v>33</v>
      </c>
      <c r="B12">
        <v>4.68</v>
      </c>
      <c r="C12">
        <v>6.16</v>
      </c>
      <c r="D12">
        <f t="shared" ref="D12:D13" si="4">C12/B12</f>
        <v>1.3162393162393164</v>
      </c>
      <c r="E12">
        <v>4.72</v>
      </c>
      <c r="F12">
        <v>6.78</v>
      </c>
      <c r="G12">
        <f t="shared" si="3"/>
        <v>1.4364406779661019</v>
      </c>
      <c r="H12">
        <v>5.63</v>
      </c>
      <c r="I12">
        <v>6.22</v>
      </c>
      <c r="J12">
        <f t="shared" si="2"/>
        <v>1.1047957371225576</v>
      </c>
      <c r="K12">
        <f t="shared" si="0"/>
        <v>1.2858252437759921</v>
      </c>
      <c r="L12" t="s">
        <v>5</v>
      </c>
      <c r="M12">
        <v>35000000</v>
      </c>
      <c r="N12">
        <v>141</v>
      </c>
      <c r="O12">
        <v>302</v>
      </c>
      <c r="P12" cm="1">
        <f t="array" ref="P12">IF(COUNTIF(A:A, A12) &gt; 1, _xlfn.STDEV.S(IF(A:A=A12, K:K)), NA())</f>
        <v>8.5152362815218374E-2</v>
      </c>
    </row>
    <row r="13" spans="1:16" x14ac:dyDescent="0.25">
      <c r="A13">
        <v>37</v>
      </c>
      <c r="B13">
        <v>4.6900000000000004</v>
      </c>
      <c r="C13">
        <v>6.39</v>
      </c>
      <c r="D13">
        <f t="shared" si="4"/>
        <v>1.3624733475479742</v>
      </c>
      <c r="E13">
        <v>4.9000000000000004</v>
      </c>
      <c r="F13" t="s">
        <v>1</v>
      </c>
      <c r="G13" t="s">
        <v>1</v>
      </c>
      <c r="H13">
        <v>4.92</v>
      </c>
      <c r="I13" t="s">
        <v>1</v>
      </c>
      <c r="J13" t="s">
        <v>1</v>
      </c>
      <c r="K13">
        <f t="shared" si="0"/>
        <v>1.3624733475479742</v>
      </c>
      <c r="L13" t="s">
        <v>5</v>
      </c>
      <c r="M13" t="s">
        <v>1</v>
      </c>
      <c r="N13" t="s">
        <v>1</v>
      </c>
      <c r="O13" t="s">
        <v>1</v>
      </c>
      <c r="P13" cm="1">
        <f t="array" ref="P13">IF(COUNTIF(A:A, A13) &gt; 1, _xlfn.STDEV.S(IF(A:A=A13, K:K)), NA())</f>
        <v>0.10748186594404181</v>
      </c>
    </row>
    <row r="14" spans="1:16" x14ac:dyDescent="0.25">
      <c r="A14">
        <v>48</v>
      </c>
      <c r="B14">
        <v>8.6</v>
      </c>
      <c r="C14" t="s">
        <v>1</v>
      </c>
      <c r="D14" t="s">
        <v>1</v>
      </c>
      <c r="E14">
        <v>9.14</v>
      </c>
      <c r="F14" t="s">
        <v>1</v>
      </c>
      <c r="G14" t="s">
        <v>1</v>
      </c>
      <c r="H14">
        <v>8.9600000000000009</v>
      </c>
      <c r="I14" t="s">
        <v>1</v>
      </c>
      <c r="J14" t="s">
        <v>1</v>
      </c>
      <c r="K14" t="s">
        <v>1</v>
      </c>
      <c r="L14" t="s">
        <v>5</v>
      </c>
      <c r="M14">
        <v>38333333.333333336</v>
      </c>
      <c r="N14">
        <v>126</v>
      </c>
      <c r="O14">
        <v>259</v>
      </c>
      <c r="P14" t="s">
        <v>1</v>
      </c>
    </row>
    <row r="15" spans="1:16" x14ac:dyDescent="0.25">
      <c r="A15">
        <v>55</v>
      </c>
      <c r="B15">
        <v>20.23</v>
      </c>
      <c r="C15">
        <v>25.12</v>
      </c>
      <c r="D15">
        <f>C15/B15</f>
        <v>1.2417202174987643</v>
      </c>
      <c r="E15">
        <v>18.87</v>
      </c>
      <c r="F15">
        <v>25.25</v>
      </c>
      <c r="G15">
        <f>F15/E15</f>
        <v>1.3381028086910438</v>
      </c>
      <c r="H15">
        <v>21.78</v>
      </c>
      <c r="I15">
        <v>24.9</v>
      </c>
      <c r="J15">
        <f t="shared" si="2"/>
        <v>1.1432506887052341</v>
      </c>
      <c r="K15">
        <f t="shared" si="0"/>
        <v>1.2410245716316808</v>
      </c>
      <c r="L15" t="s">
        <v>5</v>
      </c>
      <c r="M15">
        <v>70000000</v>
      </c>
      <c r="N15" t="s">
        <v>1</v>
      </c>
      <c r="O15" t="s">
        <v>1</v>
      </c>
      <c r="P15" cm="1">
        <f t="array" ref="P15">IF(COUNTIF(A:A, A15) &gt; 1, _xlfn.STDEV.S(IF(A:A=A15, K:K)), NA())</f>
        <v>0.14099460963629917</v>
      </c>
    </row>
    <row r="16" spans="1:16" x14ac:dyDescent="0.25">
      <c r="A16">
        <v>102</v>
      </c>
      <c r="B16">
        <v>9.56</v>
      </c>
      <c r="C16" t="s">
        <v>1</v>
      </c>
      <c r="D16" t="s">
        <v>1</v>
      </c>
      <c r="E16">
        <v>4.6900000000000004</v>
      </c>
      <c r="F16" t="s">
        <v>1</v>
      </c>
      <c r="G16" t="s">
        <v>1</v>
      </c>
      <c r="H16">
        <v>7.81</v>
      </c>
      <c r="I16" t="s">
        <v>1</v>
      </c>
      <c r="J16" t="s">
        <v>1</v>
      </c>
      <c r="K16" t="s">
        <v>1</v>
      </c>
      <c r="L16" t="s">
        <v>5</v>
      </c>
      <c r="M16">
        <v>41666666.666666664</v>
      </c>
      <c r="N16">
        <v>126</v>
      </c>
      <c r="O16">
        <v>259</v>
      </c>
      <c r="P16" t="s">
        <v>1</v>
      </c>
    </row>
    <row r="17" spans="1:16" x14ac:dyDescent="0.25">
      <c r="A17">
        <v>1</v>
      </c>
      <c r="B17">
        <v>7.31</v>
      </c>
      <c r="C17" t="s">
        <v>1</v>
      </c>
      <c r="D17" t="s">
        <v>1</v>
      </c>
      <c r="E17">
        <v>5.05</v>
      </c>
      <c r="F17" t="s">
        <v>1</v>
      </c>
      <c r="G17" t="s">
        <v>1</v>
      </c>
      <c r="H17">
        <v>6.78</v>
      </c>
      <c r="I17" t="s">
        <v>1</v>
      </c>
      <c r="J17" t="s">
        <v>1</v>
      </c>
      <c r="K17" t="s">
        <v>1</v>
      </c>
      <c r="L17" t="s">
        <v>6</v>
      </c>
      <c r="M17">
        <v>3000000</v>
      </c>
      <c r="N17">
        <v>122</v>
      </c>
      <c r="O17">
        <v>257</v>
      </c>
      <c r="P17" t="s">
        <v>1</v>
      </c>
    </row>
    <row r="18" spans="1:16" x14ac:dyDescent="0.25">
      <c r="A18">
        <v>4</v>
      </c>
      <c r="B18">
        <v>7.99</v>
      </c>
      <c r="C18" t="s">
        <v>1</v>
      </c>
      <c r="D18" t="s">
        <v>1</v>
      </c>
      <c r="E18">
        <v>6.3</v>
      </c>
      <c r="F18" t="s">
        <v>1</v>
      </c>
      <c r="G18" t="s">
        <v>1</v>
      </c>
      <c r="H18">
        <v>6.8</v>
      </c>
      <c r="I18" t="s">
        <v>1</v>
      </c>
      <c r="J18" t="s">
        <v>1</v>
      </c>
      <c r="K18" t="s">
        <v>1</v>
      </c>
      <c r="L18" t="s">
        <v>6</v>
      </c>
      <c r="M18">
        <v>40000000</v>
      </c>
      <c r="N18">
        <v>119</v>
      </c>
      <c r="O18">
        <v>248</v>
      </c>
      <c r="P18" t="s">
        <v>1</v>
      </c>
    </row>
    <row r="19" spans="1:16" x14ac:dyDescent="0.25">
      <c r="A19">
        <v>5</v>
      </c>
      <c r="B19">
        <v>8.92</v>
      </c>
      <c r="C19">
        <v>17.27</v>
      </c>
      <c r="D19">
        <f>C19/B19</f>
        <v>1.9360986547085202</v>
      </c>
      <c r="E19">
        <v>7.79</v>
      </c>
      <c r="F19">
        <v>14.77</v>
      </c>
      <c r="G19">
        <f>F19/E19</f>
        <v>1.8960205391527598</v>
      </c>
      <c r="H19">
        <v>5.71</v>
      </c>
      <c r="I19">
        <v>12.68</v>
      </c>
      <c r="J19">
        <f t="shared" si="2"/>
        <v>2.2206654991243431</v>
      </c>
      <c r="K19">
        <f t="shared" si="0"/>
        <v>2.0175948976618745</v>
      </c>
      <c r="L19" t="s">
        <v>6</v>
      </c>
      <c r="M19">
        <v>50000</v>
      </c>
      <c r="N19">
        <v>136</v>
      </c>
      <c r="O19">
        <v>298</v>
      </c>
      <c r="P19" cm="1">
        <f t="array" ref="P19">IF(COUNTIF(A:A, A19) &gt; 1, _xlfn.STDEV.S(IF(A:A=A19, K:K)), NA())</f>
        <v>0.2258312224585404</v>
      </c>
    </row>
    <row r="20" spans="1:16" x14ac:dyDescent="0.25">
      <c r="A20">
        <v>8</v>
      </c>
      <c r="B20">
        <v>6.91</v>
      </c>
      <c r="C20" t="s">
        <v>1</v>
      </c>
      <c r="D20" t="s">
        <v>1</v>
      </c>
      <c r="E20">
        <v>8.18</v>
      </c>
      <c r="F20" t="s">
        <v>1</v>
      </c>
      <c r="G20" t="s">
        <v>1</v>
      </c>
      <c r="H20">
        <v>5.24</v>
      </c>
      <c r="I20" t="s">
        <v>1</v>
      </c>
      <c r="J20" t="s">
        <v>1</v>
      </c>
      <c r="K20" t="s">
        <v>1</v>
      </c>
      <c r="L20" t="s">
        <v>6</v>
      </c>
      <c r="M20">
        <v>4166666.666666667</v>
      </c>
      <c r="N20">
        <v>115</v>
      </c>
      <c r="O20">
        <v>255</v>
      </c>
      <c r="P20" t="s">
        <v>1</v>
      </c>
    </row>
    <row r="21" spans="1:16" x14ac:dyDescent="0.25">
      <c r="A21">
        <v>9</v>
      </c>
      <c r="B21">
        <v>7.87</v>
      </c>
      <c r="C21" t="s">
        <v>1</v>
      </c>
      <c r="D21" t="s">
        <v>1</v>
      </c>
      <c r="E21">
        <v>7.3</v>
      </c>
      <c r="F21" t="s">
        <v>1</v>
      </c>
      <c r="G21" t="s">
        <v>1</v>
      </c>
      <c r="H21">
        <v>4.75</v>
      </c>
      <c r="I21" t="s">
        <v>1</v>
      </c>
      <c r="J21" t="s">
        <v>1</v>
      </c>
      <c r="K21" t="s">
        <v>1</v>
      </c>
      <c r="L21" t="s">
        <v>6</v>
      </c>
      <c r="M21">
        <v>2000000</v>
      </c>
      <c r="N21">
        <v>121</v>
      </c>
      <c r="O21">
        <v>254</v>
      </c>
      <c r="P21" t="s">
        <v>1</v>
      </c>
    </row>
    <row r="22" spans="1:16" x14ac:dyDescent="0.25">
      <c r="A22">
        <v>13</v>
      </c>
      <c r="B22">
        <v>4.58</v>
      </c>
      <c r="C22" t="s">
        <v>1</v>
      </c>
      <c r="D22" t="s">
        <v>1</v>
      </c>
      <c r="E22">
        <v>7.28</v>
      </c>
      <c r="F22" t="s">
        <v>1</v>
      </c>
      <c r="G22" t="s">
        <v>1</v>
      </c>
      <c r="H22">
        <v>4.72</v>
      </c>
      <c r="I22" t="s">
        <v>1</v>
      </c>
      <c r="J22" t="s">
        <v>1</v>
      </c>
      <c r="K22" t="s">
        <v>1</v>
      </c>
      <c r="L22" t="s">
        <v>6</v>
      </c>
      <c r="M22">
        <v>550000000</v>
      </c>
      <c r="N22">
        <v>110</v>
      </c>
      <c r="O22">
        <v>253</v>
      </c>
      <c r="P22" t="s">
        <v>1</v>
      </c>
    </row>
    <row r="23" spans="1:16" x14ac:dyDescent="0.25">
      <c r="A23">
        <v>14</v>
      </c>
      <c r="B23">
        <v>4.8600000000000003</v>
      </c>
      <c r="C23" t="s">
        <v>1</v>
      </c>
      <c r="D23" t="s">
        <v>1</v>
      </c>
      <c r="E23">
        <v>5.38</v>
      </c>
      <c r="F23" t="s">
        <v>1</v>
      </c>
      <c r="G23" t="s">
        <v>1</v>
      </c>
      <c r="H23">
        <v>4.99</v>
      </c>
      <c r="I23">
        <v>6.35</v>
      </c>
      <c r="J23">
        <f t="shared" si="2"/>
        <v>1.2725450901803605</v>
      </c>
      <c r="K23">
        <f t="shared" si="0"/>
        <v>1.2725450901803605</v>
      </c>
      <c r="L23" t="s">
        <v>6</v>
      </c>
      <c r="M23">
        <v>18333333.333333332</v>
      </c>
      <c r="N23">
        <v>140</v>
      </c>
      <c r="O23">
        <v>301</v>
      </c>
      <c r="P23" cm="1">
        <f t="array" ref="P23">IF(COUNTIF(A:A, A23) &gt; 1, _xlfn.STDEV.S(IF(A:A=A23, K:K)), NA())</f>
        <v>6.8328740591682854E-2</v>
      </c>
    </row>
    <row r="24" spans="1:16" x14ac:dyDescent="0.25">
      <c r="A24">
        <v>15</v>
      </c>
      <c r="B24">
        <v>4.8600000000000003</v>
      </c>
      <c r="C24">
        <v>6.04</v>
      </c>
      <c r="D24">
        <f t="shared" ref="D24" si="5">C24/B24</f>
        <v>1.2427983539094649</v>
      </c>
      <c r="E24">
        <v>5.92</v>
      </c>
      <c r="F24">
        <v>6.81</v>
      </c>
      <c r="G24">
        <f t="shared" ref="G24" si="6">F24/E24</f>
        <v>1.1503378378378377</v>
      </c>
      <c r="H24">
        <v>6.93</v>
      </c>
      <c r="I24">
        <v>8.51</v>
      </c>
      <c r="J24">
        <f t="shared" si="2"/>
        <v>1.227994227994228</v>
      </c>
      <c r="K24">
        <f t="shared" si="0"/>
        <v>1.2070434732471769</v>
      </c>
      <c r="L24" t="s">
        <v>6</v>
      </c>
      <c r="M24">
        <v>5333333.333333333</v>
      </c>
      <c r="N24">
        <v>127</v>
      </c>
      <c r="O24">
        <v>260</v>
      </c>
      <c r="P24" cm="1">
        <f t="array" ref="P24">IF(COUNTIF(A:A, A24) &gt; 1, _xlfn.STDEV.S(IF(A:A=A24, K:K)), NA())</f>
        <v>1.1634715132046393E-2</v>
      </c>
    </row>
    <row r="25" spans="1:16" x14ac:dyDescent="0.25">
      <c r="A25">
        <v>23</v>
      </c>
      <c r="B25">
        <v>6.61</v>
      </c>
      <c r="C25" t="s">
        <v>1</v>
      </c>
      <c r="D25" t="s">
        <v>1</v>
      </c>
      <c r="E25">
        <v>5.72</v>
      </c>
      <c r="F25" t="s">
        <v>1</v>
      </c>
      <c r="G25" t="s">
        <v>1</v>
      </c>
      <c r="H25">
        <v>4.92</v>
      </c>
      <c r="I25" t="s">
        <v>1</v>
      </c>
      <c r="J25" t="s">
        <v>1</v>
      </c>
      <c r="K25" t="s">
        <v>1</v>
      </c>
      <c r="L25" t="s">
        <v>6</v>
      </c>
      <c r="M25" t="s">
        <v>1</v>
      </c>
      <c r="N25" t="s">
        <v>1</v>
      </c>
      <c r="O25" t="s">
        <v>1</v>
      </c>
      <c r="P25" t="s">
        <v>1</v>
      </c>
    </row>
    <row r="26" spans="1:16" x14ac:dyDescent="0.25">
      <c r="A26">
        <v>25</v>
      </c>
      <c r="B26">
        <v>12.31</v>
      </c>
      <c r="C26">
        <v>14.09</v>
      </c>
      <c r="D26">
        <f t="shared" ref="D26:D28" si="7">C26/B26</f>
        <v>1.1445978878960195</v>
      </c>
      <c r="E26">
        <v>10.92</v>
      </c>
      <c r="F26">
        <v>12.48</v>
      </c>
      <c r="G26">
        <f t="shared" ref="G26:G28" si="8">F26/E26</f>
        <v>1.1428571428571428</v>
      </c>
      <c r="H26">
        <v>9.32</v>
      </c>
      <c r="I26">
        <v>11.91</v>
      </c>
      <c r="J26">
        <f t="shared" si="2"/>
        <v>1.2778969957081545</v>
      </c>
      <c r="K26">
        <f t="shared" si="0"/>
        <v>1.1884506754871056</v>
      </c>
      <c r="L26" t="s">
        <v>6</v>
      </c>
      <c r="M26">
        <v>2500000</v>
      </c>
      <c r="N26">
        <v>135</v>
      </c>
      <c r="O26">
        <v>250</v>
      </c>
      <c r="P26" cm="1">
        <f t="array" ref="P26">IF(COUNTIF(A:A, A26) &gt; 1, _xlfn.STDEV.S(IF(A:A=A26, K:K)), NA())</f>
        <v>0.11593425069050764</v>
      </c>
    </row>
    <row r="27" spans="1:16" x14ac:dyDescent="0.25">
      <c r="A27">
        <v>33</v>
      </c>
      <c r="B27">
        <v>7.55</v>
      </c>
      <c r="C27">
        <v>8.35</v>
      </c>
      <c r="D27">
        <f t="shared" si="7"/>
        <v>1.1059602649006621</v>
      </c>
      <c r="E27">
        <v>5.91</v>
      </c>
      <c r="F27">
        <v>6.87</v>
      </c>
      <c r="G27">
        <f t="shared" si="8"/>
        <v>1.1624365482233503</v>
      </c>
      <c r="H27">
        <v>5.84</v>
      </c>
      <c r="I27" t="s">
        <v>1</v>
      </c>
      <c r="J27" t="s">
        <v>1</v>
      </c>
      <c r="K27">
        <f t="shared" si="0"/>
        <v>1.1341984065620063</v>
      </c>
      <c r="L27" t="s">
        <v>6</v>
      </c>
      <c r="M27">
        <v>83333333.333333328</v>
      </c>
      <c r="N27">
        <v>141</v>
      </c>
      <c r="O27">
        <v>302</v>
      </c>
      <c r="P27" cm="1">
        <f t="array" ref="P27">IF(COUNTIF(A:A, A27) &gt; 1, _xlfn.STDEV.S(IF(A:A=A27, K:K)), NA())</f>
        <v>8.5152362815218374E-2</v>
      </c>
    </row>
    <row r="28" spans="1:16" x14ac:dyDescent="0.25">
      <c r="A28">
        <v>37</v>
      </c>
      <c r="B28">
        <v>7.39</v>
      </c>
      <c r="C28">
        <v>8.41</v>
      </c>
      <c r="D28">
        <f t="shared" si="7"/>
        <v>1.138024357239513</v>
      </c>
      <c r="E28">
        <v>5.62</v>
      </c>
      <c r="F28">
        <v>6.33</v>
      </c>
      <c r="G28">
        <f t="shared" si="8"/>
        <v>1.1263345195729537</v>
      </c>
      <c r="H28">
        <v>4.92</v>
      </c>
      <c r="I28" t="s">
        <v>1</v>
      </c>
      <c r="J28" t="s">
        <v>1</v>
      </c>
      <c r="K28">
        <f t="shared" si="0"/>
        <v>1.1321794384062334</v>
      </c>
      <c r="L28" t="s">
        <v>6</v>
      </c>
      <c r="M28" t="s">
        <v>1</v>
      </c>
      <c r="N28" t="s">
        <v>1</v>
      </c>
      <c r="O28" t="s">
        <v>1</v>
      </c>
      <c r="P28" cm="1">
        <f t="array" ref="P28">IF(COUNTIF(A:A, A28) &gt; 1, _xlfn.STDEV.S(IF(A:A=A28, K:K)), NA())</f>
        <v>0.10748186594404181</v>
      </c>
    </row>
    <row r="29" spans="1:16" x14ac:dyDescent="0.25">
      <c r="A29">
        <v>48</v>
      </c>
      <c r="B29">
        <v>8.57</v>
      </c>
      <c r="C29" t="s">
        <v>1</v>
      </c>
      <c r="D29" t="s">
        <v>1</v>
      </c>
      <c r="E29">
        <v>7.46</v>
      </c>
      <c r="F29" t="s">
        <v>1</v>
      </c>
      <c r="G29" t="s">
        <v>1</v>
      </c>
      <c r="H29">
        <v>9.27</v>
      </c>
      <c r="I29" t="s">
        <v>1</v>
      </c>
      <c r="J29" t="s">
        <v>1</v>
      </c>
      <c r="K29" t="s">
        <v>1</v>
      </c>
      <c r="L29" t="s">
        <v>6</v>
      </c>
      <c r="M29">
        <v>1833333.3333333333</v>
      </c>
      <c r="N29">
        <v>126</v>
      </c>
      <c r="O29">
        <v>259</v>
      </c>
      <c r="P29" t="s">
        <v>1</v>
      </c>
    </row>
    <row r="30" spans="1:16" x14ac:dyDescent="0.25">
      <c r="A30">
        <v>55</v>
      </c>
      <c r="B30">
        <v>19.46</v>
      </c>
      <c r="C30">
        <v>24.36</v>
      </c>
      <c r="D30">
        <f t="shared" ref="D30" si="9">C30/B30</f>
        <v>1.2517985611510791</v>
      </c>
      <c r="E30">
        <v>19.95</v>
      </c>
      <c r="F30">
        <v>23.17</v>
      </c>
      <c r="G30">
        <f t="shared" ref="G30" si="10">F30/E30</f>
        <v>1.1614035087719299</v>
      </c>
      <c r="H30">
        <v>14.73</v>
      </c>
      <c r="I30">
        <v>23.17</v>
      </c>
      <c r="J30">
        <f t="shared" si="2"/>
        <v>1.5729803122878481</v>
      </c>
      <c r="K30">
        <f t="shared" si="0"/>
        <v>1.3287274607369524</v>
      </c>
      <c r="L30" t="s">
        <v>6</v>
      </c>
      <c r="M30">
        <v>133333333.33333334</v>
      </c>
      <c r="N30" t="s">
        <v>1</v>
      </c>
      <c r="O30" t="s">
        <v>1</v>
      </c>
      <c r="P30" cm="1">
        <f t="array" ref="P30">IF(COUNTIF(A:A, A30) &gt; 1, _xlfn.STDEV.S(IF(A:A=A30, K:K)), NA())</f>
        <v>0.14099460963629917</v>
      </c>
    </row>
    <row r="31" spans="1:16" x14ac:dyDescent="0.25">
      <c r="A31">
        <v>102</v>
      </c>
      <c r="B31">
        <v>8.89</v>
      </c>
      <c r="C31" t="s">
        <v>1</v>
      </c>
      <c r="D31" t="s">
        <v>1</v>
      </c>
      <c r="E31">
        <v>8.57</v>
      </c>
      <c r="F31" t="s">
        <v>1</v>
      </c>
      <c r="G31" t="s">
        <v>1</v>
      </c>
      <c r="H31">
        <v>8.42</v>
      </c>
      <c r="I31">
        <v>17.8</v>
      </c>
      <c r="J31">
        <f t="shared" si="2"/>
        <v>2.1140142517814726</v>
      </c>
      <c r="K31">
        <f t="shared" si="0"/>
        <v>2.1140142517814726</v>
      </c>
      <c r="L31" t="s">
        <v>6</v>
      </c>
      <c r="M31">
        <v>26666666.666666668</v>
      </c>
      <c r="N31">
        <v>126</v>
      </c>
      <c r="O31">
        <v>259</v>
      </c>
      <c r="P31" t="s">
        <v>1</v>
      </c>
    </row>
    <row r="32" spans="1:16" x14ac:dyDescent="0.25">
      <c r="A32" s="1">
        <v>5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10</v>
      </c>
      <c r="I32">
        <v>16</v>
      </c>
      <c r="J32">
        <f t="shared" si="2"/>
        <v>1.6</v>
      </c>
      <c r="K32">
        <v>1.6</v>
      </c>
      <c r="L32" t="s">
        <v>6</v>
      </c>
      <c r="M32" t="s">
        <v>1</v>
      </c>
      <c r="N32">
        <v>136</v>
      </c>
      <c r="O32">
        <v>298</v>
      </c>
      <c r="P32" cm="1">
        <f t="array" ref="P32">IF(COUNTIF(A:A, A32) &gt; 1, _xlfn.STDEV.S(IF(A:A=A32, K:K)), NA())</f>
        <v>0.2258312224585404</v>
      </c>
    </row>
    <row r="33" spans="1:16" x14ac:dyDescent="0.25">
      <c r="A33" s="1">
        <v>6</v>
      </c>
      <c r="B33">
        <v>9</v>
      </c>
      <c r="C33">
        <v>11</v>
      </c>
      <c r="D33">
        <v>1.2222222222222223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>
        <v>1.2222222222222223</v>
      </c>
      <c r="L33" t="s">
        <v>6</v>
      </c>
      <c r="M33" t="s">
        <v>1</v>
      </c>
      <c r="N33" t="s">
        <v>1</v>
      </c>
      <c r="O33" t="s">
        <v>1</v>
      </c>
      <c r="P33" t="s">
        <v>1</v>
      </c>
    </row>
    <row r="34" spans="1:16" x14ac:dyDescent="0.25">
      <c r="A34" s="1">
        <v>14</v>
      </c>
      <c r="B34">
        <v>8</v>
      </c>
      <c r="C34">
        <v>9</v>
      </c>
      <c r="D34">
        <v>1.125</v>
      </c>
      <c r="E34">
        <v>8</v>
      </c>
      <c r="F34">
        <v>10</v>
      </c>
      <c r="G34">
        <v>1.25</v>
      </c>
      <c r="H34">
        <v>7</v>
      </c>
      <c r="I34">
        <v>9</v>
      </c>
      <c r="J34">
        <f t="shared" si="2"/>
        <v>1.2857142857142858</v>
      </c>
      <c r="K34">
        <v>1.2202380952380951</v>
      </c>
      <c r="L34" t="s">
        <v>6</v>
      </c>
      <c r="M34">
        <v>2200000</v>
      </c>
      <c r="N34">
        <v>140</v>
      </c>
      <c r="O34">
        <v>301</v>
      </c>
      <c r="P34" cm="1">
        <f t="array" ref="P34">IF(COUNTIF(A:A, A34) &gt; 1, _xlfn.STDEV.S(IF(A:A=A34, K:K)), NA())</f>
        <v>6.8328740591682854E-2</v>
      </c>
    </row>
    <row r="35" spans="1:16" x14ac:dyDescent="0.25">
      <c r="A35" s="1">
        <v>23</v>
      </c>
      <c r="B35">
        <v>4</v>
      </c>
      <c r="C35">
        <v>12</v>
      </c>
      <c r="D35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>
        <v>3</v>
      </c>
      <c r="L35" t="s">
        <v>6</v>
      </c>
      <c r="M35" t="s">
        <v>1</v>
      </c>
      <c r="N35" t="s">
        <v>1</v>
      </c>
      <c r="O35" t="s">
        <v>1</v>
      </c>
      <c r="P35" t="s">
        <v>1</v>
      </c>
    </row>
    <row r="36" spans="1:16" x14ac:dyDescent="0.25">
      <c r="A36" s="1">
        <v>25</v>
      </c>
      <c r="B36">
        <v>11</v>
      </c>
      <c r="C36">
        <v>12</v>
      </c>
      <c r="D36">
        <v>1.0909090909090908</v>
      </c>
      <c r="E36">
        <v>11</v>
      </c>
      <c r="F36">
        <v>12</v>
      </c>
      <c r="G36">
        <v>1.0909090909090908</v>
      </c>
      <c r="H36">
        <v>11</v>
      </c>
      <c r="I36">
        <v>12</v>
      </c>
      <c r="J36">
        <f t="shared" si="2"/>
        <v>1.0909090909090908</v>
      </c>
      <c r="K36">
        <v>1.0909090909090908</v>
      </c>
      <c r="L36" t="s">
        <v>6</v>
      </c>
      <c r="M36">
        <v>14666.666666666666</v>
      </c>
      <c r="N36">
        <v>135</v>
      </c>
      <c r="O36">
        <v>250</v>
      </c>
      <c r="P36" cm="1">
        <f t="array" ref="P36">IF(COUNTIF(A:A, A36) &gt; 1, _xlfn.STDEV.S(IF(A:A=A36, K:K)), NA())</f>
        <v>0.11593425069050764</v>
      </c>
    </row>
    <row r="37" spans="1:16" x14ac:dyDescent="0.25">
      <c r="A37" s="1">
        <v>33</v>
      </c>
      <c r="B37">
        <v>7</v>
      </c>
      <c r="C37">
        <v>8</v>
      </c>
      <c r="D37">
        <v>1.1428571428571428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>
        <v>1.1428571428571428</v>
      </c>
      <c r="L37" t="s">
        <v>6</v>
      </c>
      <c r="M37">
        <v>140000</v>
      </c>
      <c r="N37" t="s">
        <v>1</v>
      </c>
      <c r="O37" t="s">
        <v>1</v>
      </c>
      <c r="P37" cm="1">
        <f t="array" ref="P37">IF(COUNTIF(A:A, A37) &gt; 1, _xlfn.STDEV.S(IF(A:A=A37, K:K)), NA())</f>
        <v>8.5152362815218374E-2</v>
      </c>
    </row>
    <row r="38" spans="1:16" x14ac:dyDescent="0.25">
      <c r="A38" s="1">
        <v>37</v>
      </c>
      <c r="B38">
        <v>8</v>
      </c>
      <c r="C38">
        <v>10</v>
      </c>
      <c r="D38">
        <v>1.25</v>
      </c>
      <c r="E38">
        <v>7</v>
      </c>
      <c r="F38">
        <v>8</v>
      </c>
      <c r="G38">
        <v>1.1428571428571428</v>
      </c>
      <c r="H38">
        <v>7</v>
      </c>
      <c r="I38">
        <v>8</v>
      </c>
      <c r="J38">
        <f t="shared" si="2"/>
        <v>1.1428571428571428</v>
      </c>
      <c r="K38">
        <v>1.1785714285714286</v>
      </c>
      <c r="L38" t="s">
        <v>6</v>
      </c>
      <c r="M38">
        <v>6000</v>
      </c>
      <c r="N38" t="s">
        <v>1</v>
      </c>
      <c r="O38" t="s">
        <v>1</v>
      </c>
      <c r="P38" cm="1">
        <f t="array" ref="P38">IF(COUNTIF(A:A, A38) &gt; 1, _xlfn.STDEV.S(IF(A:A=A38, K:K)), NA())</f>
        <v>0.10748186594404181</v>
      </c>
    </row>
    <row r="39" spans="1:16" x14ac:dyDescent="0.25">
      <c r="A39" s="1">
        <v>37</v>
      </c>
      <c r="B39">
        <v>7</v>
      </c>
      <c r="C39">
        <v>8</v>
      </c>
      <c r="D39">
        <v>1.1428571428571428</v>
      </c>
      <c r="E39">
        <v>7</v>
      </c>
      <c r="F39">
        <v>8</v>
      </c>
      <c r="G39">
        <v>1.1428571428571428</v>
      </c>
      <c r="H39">
        <v>7</v>
      </c>
      <c r="I39">
        <v>8</v>
      </c>
      <c r="J39">
        <f t="shared" si="2"/>
        <v>1.1428571428571428</v>
      </c>
      <c r="K39">
        <v>1.1428571428571428</v>
      </c>
      <c r="L39" t="s">
        <v>6</v>
      </c>
      <c r="M39">
        <v>6000</v>
      </c>
      <c r="N39" t="s">
        <v>1</v>
      </c>
      <c r="O39" t="s">
        <v>1</v>
      </c>
      <c r="P39" cm="1">
        <f t="array" ref="P39">IF(COUNTIF(A:A, A39) &gt; 1, _xlfn.STDEV.S(IF(A:A=A39, K:K)), NA())</f>
        <v>0.10748186594404181</v>
      </c>
    </row>
    <row r="40" spans="1:16" x14ac:dyDescent="0.25">
      <c r="A40" s="1">
        <v>55</v>
      </c>
      <c r="B40">
        <v>7</v>
      </c>
      <c r="C40" t="s">
        <v>1</v>
      </c>
      <c r="D40" t="s">
        <v>1</v>
      </c>
      <c r="E40">
        <v>20</v>
      </c>
      <c r="F40">
        <v>21</v>
      </c>
      <c r="G40">
        <v>1.05</v>
      </c>
      <c r="H40">
        <v>18</v>
      </c>
      <c r="I40">
        <v>19</v>
      </c>
      <c r="J40">
        <f t="shared" si="2"/>
        <v>1.0555555555555556</v>
      </c>
      <c r="K40">
        <v>1.0527777777777778</v>
      </c>
      <c r="L40" t="s">
        <v>6</v>
      </c>
      <c r="M40">
        <v>1000000</v>
      </c>
      <c r="N40" t="s">
        <v>1</v>
      </c>
      <c r="O40" t="s">
        <v>1</v>
      </c>
      <c r="P40" cm="1">
        <f t="array" ref="P40">IF(COUNTIF(A:A, A40) &gt; 1, _xlfn.STDEV.S(IF(A:A=A40, K:K)), NA())</f>
        <v>0.14099460963629917</v>
      </c>
    </row>
  </sheetData>
  <autoFilter ref="A1:P40" xr:uid="{CAE3AE9B-82DE-45D4-A813-15D8FFE89CD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4EFC-DC0C-4E03-B1CC-3C80E5C8994B}">
  <dimension ref="A1:D16"/>
  <sheetViews>
    <sheetView workbookViewId="0">
      <selection activeCell="C1" sqref="C1:D16"/>
    </sheetView>
  </sheetViews>
  <sheetFormatPr defaultRowHeight="15" x14ac:dyDescent="0.25"/>
  <sheetData>
    <row r="1" spans="1:4" x14ac:dyDescent="0.25">
      <c r="A1" t="s">
        <v>11</v>
      </c>
      <c r="B1" t="s">
        <v>24</v>
      </c>
      <c r="C1" t="s">
        <v>25</v>
      </c>
      <c r="D1" t="s">
        <v>26</v>
      </c>
    </row>
    <row r="2" spans="1:4" x14ac:dyDescent="0.25">
      <c r="A2">
        <v>1</v>
      </c>
      <c r="B2" t="s">
        <v>1</v>
      </c>
      <c r="C2">
        <v>122</v>
      </c>
      <c r="D2">
        <v>257</v>
      </c>
    </row>
    <row r="3" spans="1:4" x14ac:dyDescent="0.25">
      <c r="A3">
        <v>4</v>
      </c>
      <c r="B3" t="s">
        <v>1</v>
      </c>
      <c r="C3">
        <v>119</v>
      </c>
      <c r="D3">
        <v>248</v>
      </c>
    </row>
    <row r="4" spans="1:4" x14ac:dyDescent="0.25">
      <c r="A4">
        <v>5</v>
      </c>
      <c r="B4">
        <v>1.8584742925270057</v>
      </c>
      <c r="C4">
        <v>136</v>
      </c>
      <c r="D4">
        <v>298</v>
      </c>
    </row>
    <row r="5" spans="1:4" x14ac:dyDescent="0.25">
      <c r="A5">
        <v>8</v>
      </c>
      <c r="B5" t="s">
        <v>1</v>
      </c>
      <c r="C5">
        <v>115</v>
      </c>
      <c r="D5">
        <v>255</v>
      </c>
    </row>
    <row r="6" spans="1:4" x14ac:dyDescent="0.25">
      <c r="A6">
        <v>9</v>
      </c>
      <c r="B6" t="s">
        <v>1</v>
      </c>
      <c r="C6">
        <v>121</v>
      </c>
      <c r="D6">
        <v>254</v>
      </c>
    </row>
    <row r="7" spans="1:4" x14ac:dyDescent="0.25">
      <c r="A7">
        <v>13</v>
      </c>
      <c r="B7" t="s">
        <v>1</v>
      </c>
      <c r="C7">
        <v>110</v>
      </c>
      <c r="D7">
        <v>253</v>
      </c>
    </row>
    <row r="8" spans="1:4" x14ac:dyDescent="0.25">
      <c r="A8">
        <v>14</v>
      </c>
      <c r="B8">
        <v>1.2099461478138185</v>
      </c>
      <c r="C8">
        <v>140</v>
      </c>
      <c r="D8">
        <v>301</v>
      </c>
    </row>
    <row r="9" spans="1:4" x14ac:dyDescent="0.25">
      <c r="A9">
        <v>15</v>
      </c>
      <c r="B9">
        <v>1.2152704592142207</v>
      </c>
      <c r="C9">
        <v>127</v>
      </c>
      <c r="D9">
        <v>260</v>
      </c>
    </row>
    <row r="10" spans="1:4" x14ac:dyDescent="0.25">
      <c r="A10">
        <v>23</v>
      </c>
      <c r="B10" s="2">
        <v>3</v>
      </c>
      <c r="C10" t="s">
        <v>1</v>
      </c>
      <c r="D10" t="s">
        <v>1</v>
      </c>
    </row>
    <row r="11" spans="1:4" x14ac:dyDescent="0.25">
      <c r="A11">
        <v>25</v>
      </c>
      <c r="B11">
        <v>1.200403739857218</v>
      </c>
      <c r="C11">
        <v>135</v>
      </c>
      <c r="D11">
        <v>250</v>
      </c>
    </row>
    <row r="12" spans="1:4" x14ac:dyDescent="0.25">
      <c r="A12">
        <v>33</v>
      </c>
      <c r="B12">
        <v>1.1876269310650471</v>
      </c>
      <c r="C12">
        <v>141</v>
      </c>
      <c r="D12">
        <v>302</v>
      </c>
    </row>
    <row r="13" spans="1:4" x14ac:dyDescent="0.25">
      <c r="A13">
        <v>37</v>
      </c>
      <c r="B13">
        <v>1.2125033096037834</v>
      </c>
      <c r="C13" t="s">
        <v>1</v>
      </c>
      <c r="D13" t="s">
        <v>1</v>
      </c>
    </row>
    <row r="14" spans="1:4" x14ac:dyDescent="0.25">
      <c r="A14">
        <v>48</v>
      </c>
      <c r="B14" t="s">
        <v>1</v>
      </c>
      <c r="C14">
        <v>126</v>
      </c>
      <c r="D14">
        <v>259</v>
      </c>
    </row>
    <row r="15" spans="1:4" x14ac:dyDescent="0.25">
      <c r="A15">
        <v>55</v>
      </c>
      <c r="B15">
        <v>1.2075099367154705</v>
      </c>
      <c r="C15" t="s">
        <v>1</v>
      </c>
      <c r="D15" t="s">
        <v>1</v>
      </c>
    </row>
    <row r="16" spans="1:4" x14ac:dyDescent="0.25">
      <c r="A16">
        <v>102</v>
      </c>
      <c r="B16">
        <v>2.1140142517814726</v>
      </c>
      <c r="C16">
        <v>126</v>
      </c>
      <c r="D16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Count</vt:lpstr>
      <vt:lpstr>Phosphorilization_Exp1</vt:lpstr>
      <vt:lpstr>Phosphorilization_Exp2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Pole</dc:creator>
  <cp:lastModifiedBy>George Pole</cp:lastModifiedBy>
  <dcterms:created xsi:type="dcterms:W3CDTF">2024-12-02T11:10:56Z</dcterms:created>
  <dcterms:modified xsi:type="dcterms:W3CDTF">2025-03-23T12:39:57Z</dcterms:modified>
</cp:coreProperties>
</file>