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Пользователь\Downloads\"/>
    </mc:Choice>
  </mc:AlternateContent>
  <xr:revisionPtr revIDLastSave="0" documentId="8_{B34897A1-A524-42E9-ACA8-F6EA3D526C55}" xr6:coauthVersionLast="47" xr6:coauthVersionMax="47" xr10:uidLastSave="{00000000-0000-0000-0000-000000000000}"/>
  <bookViews>
    <workbookView xWindow="-120" yWindow="-120" windowWidth="29040" windowHeight="15840" tabRatio="671" activeTab="1" xr2:uid="{00000000-000D-0000-FFFF-FFFF00000000}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А-Нефтегаз_факт_НДПИ (Platts)" sheetId="15" r:id="rId6"/>
    <sheet name="Лист1" sheetId="19" r:id="rId7"/>
    <sheet name="A-Нефтегаз_факт_НДПИ (Argus)" sheetId="16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5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" i="12" l="1"/>
  <c r="C151" i="11"/>
  <c r="R13" i="2"/>
  <c r="AI4" i="2"/>
  <c r="BR4" i="2" s="1"/>
  <c r="BN26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5" i="2"/>
  <c r="BT37" i="2"/>
  <c r="BT39" i="2"/>
  <c r="BT41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Z7" i="2" a="1"/>
  <c r="Z7" i="2" s="1"/>
  <c r="Z8" i="2" a="1"/>
  <c r="Z8" i="2" s="1"/>
  <c r="Z9" i="2" s="1" a="1"/>
  <c r="Z9" i="2" s="1"/>
  <c r="Z10" i="2" s="1" a="1"/>
  <c r="Z10" i="2" s="1"/>
  <c r="Z12" i="2" a="1"/>
  <c r="Z12" i="2" s="1"/>
  <c r="Z13" i="2" a="1"/>
  <c r="Z13" i="2" s="1"/>
  <c r="Z14" i="2" s="1" a="1"/>
  <c r="Z14" i="2" s="1"/>
  <c r="Z15" i="2" a="1"/>
  <c r="Z15" i="2" s="1"/>
  <c r="Z16" i="2" a="1"/>
  <c r="Z16" i="2" s="1"/>
  <c r="Z17" i="2" a="1"/>
  <c r="Z17" i="2" s="1"/>
  <c r="Z20" i="2" a="1"/>
  <c r="Z20" i="2" s="1"/>
  <c r="Z22" i="2" a="1"/>
  <c r="Z22" i="2" s="1"/>
  <c r="Z23" i="2" a="1"/>
  <c r="Z23" i="2" s="1"/>
  <c r="Z24" i="2" s="1" a="1"/>
  <c r="Z24" i="2" s="1"/>
  <c r="Z25" i="2" a="1"/>
  <c r="Z25" i="2" s="1"/>
  <c r="Z26" i="2" a="1"/>
  <c r="Z26" i="2" s="1"/>
  <c r="Z27" i="2" a="1"/>
  <c r="Z27" i="2" s="1"/>
  <c r="Z28" i="2" a="1"/>
  <c r="Z28" i="2" s="1"/>
  <c r="Z29" i="2" s="1" a="1"/>
  <c r="Z29" i="2" s="1"/>
  <c r="Z30" i="2" a="1"/>
  <c r="Z30" i="2" s="1"/>
  <c r="Z31" i="2" a="1"/>
  <c r="Z31" i="2" s="1"/>
  <c r="Z32" i="2" a="1"/>
  <c r="Z32" i="2" s="1"/>
  <c r="Z33" i="2" a="1"/>
  <c r="Z33" i="2" s="1"/>
  <c r="Z34" i="2" s="1" a="1"/>
  <c r="Z34" i="2" s="1"/>
  <c r="Z35" i="2" a="1"/>
  <c r="Z35" i="2" s="1"/>
  <c r="Z36" i="2" a="1"/>
  <c r="Z36" i="2" s="1"/>
  <c r="Z37" i="2" s="1" a="1"/>
  <c r="Z37" i="2" s="1"/>
  <c r="Z38" i="2" s="1" a="1"/>
  <c r="Z38" i="2" s="1"/>
  <c r="Z39" i="2" s="1" a="1"/>
  <c r="Z39" i="2" s="1"/>
  <c r="Z40" i="2" s="1" a="1"/>
  <c r="Z40" i="2" s="1"/>
  <c r="Z41" i="2" s="1" a="1"/>
  <c r="Z41" i="2" s="1"/>
  <c r="C64" i="19"/>
  <c r="D28" i="19"/>
  <c r="C35" i="19" s="1"/>
  <c r="Z6" i="2" s="1" a="1"/>
  <c r="Z6" i="2" s="1"/>
  <c r="D29" i="19"/>
  <c r="C36" i="19" s="1"/>
  <c r="D30" i="19"/>
  <c r="C37" i="19" s="1"/>
  <c r="D31" i="19"/>
  <c r="C38" i="19" s="1"/>
  <c r="D32" i="19"/>
  <c r="C39" i="19" s="1"/>
  <c r="D33" i="19"/>
  <c r="C40" i="19" s="1"/>
  <c r="D34" i="19"/>
  <c r="C41" i="19" s="1"/>
  <c r="D35" i="19"/>
  <c r="C42" i="19" s="1"/>
  <c r="D36" i="19"/>
  <c r="C43" i="19" s="1"/>
  <c r="D37" i="19"/>
  <c r="C44" i="19" s="1"/>
  <c r="D38" i="19"/>
  <c r="C45" i="19" s="1"/>
  <c r="D39" i="19"/>
  <c r="C46" i="19" s="1"/>
  <c r="D40" i="19"/>
  <c r="C47" i="19" s="1"/>
  <c r="Z18" i="2" s="1" a="1"/>
  <c r="Z18" i="2" s="1"/>
  <c r="D41" i="19"/>
  <c r="C48" i="19" s="1"/>
  <c r="D42" i="19"/>
  <c r="C49" i="19" s="1"/>
  <c r="D44" i="19"/>
  <c r="C51" i="19" s="1"/>
  <c r="D45" i="19"/>
  <c r="C52" i="19" s="1"/>
  <c r="D46" i="19"/>
  <c r="C53" i="19" s="1"/>
  <c r="D47" i="19"/>
  <c r="C54" i="19" s="1"/>
  <c r="D48" i="19"/>
  <c r="C55" i="19" s="1"/>
  <c r="D49" i="19"/>
  <c r="C56" i="19" s="1"/>
  <c r="D50" i="19"/>
  <c r="C57" i="19" s="1"/>
  <c r="D51" i="19"/>
  <c r="C58" i="19" s="1"/>
  <c r="D52" i="19"/>
  <c r="C59" i="19" s="1"/>
  <c r="D53" i="19"/>
  <c r="C60" i="19" s="1"/>
  <c r="D54" i="19"/>
  <c r="C61" i="19" s="1"/>
  <c r="D55" i="19"/>
  <c r="C62" i="19" s="1"/>
  <c r="D56" i="19"/>
  <c r="C63" i="19" s="1"/>
  <c r="D57" i="19"/>
  <c r="D58" i="19"/>
  <c r="C65" i="19" s="1"/>
  <c r="D59" i="19"/>
  <c r="D60" i="19"/>
  <c r="D61" i="19"/>
  <c r="D62" i="19"/>
  <c r="D63" i="19"/>
  <c r="D64" i="19"/>
  <c r="D27" i="19"/>
  <c r="C34" i="19" s="1"/>
  <c r="Z5" i="2" s="1" a="1"/>
  <c r="Z5" i="2" s="1"/>
  <c r="J35" i="19"/>
  <c r="Y17" i="2" s="1" a="1"/>
  <c r="Y17" i="2" s="1"/>
  <c r="J49" i="19"/>
  <c r="Y31" i="2" s="1" a="1"/>
  <c r="Y31" i="2" s="1"/>
  <c r="J57" i="19"/>
  <c r="H24" i="19"/>
  <c r="J24" i="19" s="1"/>
  <c r="Y6" i="2" s="1" a="1"/>
  <c r="Y6" i="2" s="1"/>
  <c r="H25" i="19"/>
  <c r="J25" i="19" s="1"/>
  <c r="Y7" i="2" s="1" a="1"/>
  <c r="Y7" i="2" s="1"/>
  <c r="H26" i="19"/>
  <c r="J26" i="19" s="1"/>
  <c r="Y8" i="2" s="1" a="1"/>
  <c r="Y8" i="2" s="1"/>
  <c r="H27" i="19"/>
  <c r="J27" i="19" s="1"/>
  <c r="Y9" i="2" s="1" a="1"/>
  <c r="Y9" i="2" s="1"/>
  <c r="H28" i="19"/>
  <c r="J28" i="19" s="1"/>
  <c r="Y10" i="2" s="1" a="1"/>
  <c r="Y10" i="2" s="1"/>
  <c r="H29" i="19"/>
  <c r="J29" i="19" s="1"/>
  <c r="Y11" i="2" s="1" a="1"/>
  <c r="Y11" i="2" s="1"/>
  <c r="H30" i="19"/>
  <c r="J30" i="19" s="1"/>
  <c r="Y12" i="2" s="1" a="1"/>
  <c r="Y12" i="2" s="1"/>
  <c r="H31" i="19"/>
  <c r="J31" i="19" s="1"/>
  <c r="Y13" i="2" s="1" a="1"/>
  <c r="Y13" i="2" s="1"/>
  <c r="H32" i="19"/>
  <c r="J32" i="19" s="1"/>
  <c r="Y14" i="2" s="1" a="1"/>
  <c r="Y14" i="2" s="1"/>
  <c r="H33" i="19"/>
  <c r="J33" i="19" s="1"/>
  <c r="Y15" i="2" s="1" a="1"/>
  <c r="Y15" i="2" s="1"/>
  <c r="H34" i="19"/>
  <c r="J34" i="19" s="1"/>
  <c r="Y16" i="2" s="1" a="1"/>
  <c r="Y16" i="2" s="1"/>
  <c r="H35" i="19"/>
  <c r="H36" i="19"/>
  <c r="J36" i="19" s="1"/>
  <c r="Y18" i="2" s="1" a="1"/>
  <c r="Y18" i="2" s="1"/>
  <c r="H37" i="19"/>
  <c r="J37" i="19" s="1"/>
  <c r="Y19" i="2" s="1" a="1"/>
  <c r="Y19" i="2" s="1"/>
  <c r="H38" i="19"/>
  <c r="J38" i="19" s="1"/>
  <c r="Y20" i="2" s="1" a="1"/>
  <c r="Y20" i="2" s="1"/>
  <c r="H39" i="19"/>
  <c r="J39" i="19" s="1"/>
  <c r="Y21" i="2" s="1" a="1"/>
  <c r="Y21" i="2" s="1"/>
  <c r="H40" i="19"/>
  <c r="J40" i="19" s="1"/>
  <c r="Y22" i="2" s="1" a="1"/>
  <c r="Y22" i="2" s="1"/>
  <c r="H41" i="19"/>
  <c r="J41" i="19" s="1"/>
  <c r="Y23" i="2" s="1" a="1"/>
  <c r="Y23" i="2" s="1"/>
  <c r="H42" i="19"/>
  <c r="J42" i="19" s="1"/>
  <c r="Y24" i="2" s="1" a="1"/>
  <c r="Y24" i="2" s="1"/>
  <c r="H43" i="19"/>
  <c r="J43" i="19" s="1"/>
  <c r="Y25" i="2" s="1" a="1"/>
  <c r="Y25" i="2" s="1"/>
  <c r="H44" i="19"/>
  <c r="J44" i="19" s="1"/>
  <c r="Y26" i="2" s="1" a="1"/>
  <c r="Y26" i="2" s="1"/>
  <c r="H45" i="19"/>
  <c r="J45" i="19" s="1"/>
  <c r="Y27" i="2" s="1" a="1"/>
  <c r="Y27" i="2" s="1"/>
  <c r="H46" i="19"/>
  <c r="J46" i="19" s="1"/>
  <c r="Y28" i="2" s="1" a="1"/>
  <c r="Y28" i="2" s="1"/>
  <c r="H47" i="19"/>
  <c r="J47" i="19" s="1"/>
  <c r="Y29" i="2" s="1" a="1"/>
  <c r="Y29" i="2" s="1"/>
  <c r="H48" i="19"/>
  <c r="J48" i="19" s="1"/>
  <c r="Y30" i="2" s="1" a="1"/>
  <c r="Y30" i="2" s="1"/>
  <c r="H49" i="19"/>
  <c r="H50" i="19"/>
  <c r="J50" i="19" s="1"/>
  <c r="Y32" i="2" s="1" a="1"/>
  <c r="Y32" i="2" s="1"/>
  <c r="H51" i="19"/>
  <c r="J51" i="19" s="1"/>
  <c r="Y33" i="2" s="1" a="1"/>
  <c r="Y33" i="2" s="1"/>
  <c r="H52" i="19"/>
  <c r="J52" i="19" s="1"/>
  <c r="H53" i="19"/>
  <c r="J53" i="19" s="1"/>
  <c r="Y35" i="2" s="1" a="1"/>
  <c r="Y35" i="2" s="1"/>
  <c r="H54" i="19"/>
  <c r="J54" i="19" s="1"/>
  <c r="Y36" i="2" s="1" a="1"/>
  <c r="Y36" i="2" s="1"/>
  <c r="H55" i="19"/>
  <c r="J55" i="19" s="1"/>
  <c r="H56" i="19"/>
  <c r="J56" i="19" s="1"/>
  <c r="Y38" i="2" s="1" a="1"/>
  <c r="Y38" i="2" s="1"/>
  <c r="H57" i="19"/>
  <c r="H58" i="19"/>
  <c r="J58" i="19" s="1"/>
  <c r="Y40" i="2" s="1" a="1"/>
  <c r="Y40" i="2" s="1"/>
  <c r="H59" i="19"/>
  <c r="J59" i="19" s="1"/>
  <c r="Y41" i="2" s="1" a="1"/>
  <c r="Y41" i="2" s="1"/>
  <c r="H60" i="19"/>
  <c r="J60" i="19" s="1"/>
  <c r="H61" i="19"/>
  <c r="J61" i="19" s="1"/>
  <c r="H62" i="19"/>
  <c r="J62" i="19" s="1"/>
  <c r="J23" i="19"/>
  <c r="H23" i="19"/>
  <c r="AA6" i="2"/>
  <c r="AI6" i="2" s="1"/>
  <c r="AA7" i="2"/>
  <c r="AI7" i="2" s="1"/>
  <c r="AA8" i="2"/>
  <c r="AI8" i="2" s="1"/>
  <c r="AJ8" i="2" s="1"/>
  <c r="AA9" i="2"/>
  <c r="AI9" i="2" s="1"/>
  <c r="AJ9" i="2" s="1"/>
  <c r="AA10" i="2"/>
  <c r="AI10" i="2" s="1"/>
  <c r="AA11" i="2"/>
  <c r="AI11" i="2" s="1"/>
  <c r="AA12" i="2"/>
  <c r="AI12" i="2" s="1"/>
  <c r="AJ12" i="2" s="1"/>
  <c r="AA13" i="2"/>
  <c r="AI13" i="2" s="1"/>
  <c r="AA14" i="2"/>
  <c r="AI14" i="2" s="1"/>
  <c r="AA15" i="2"/>
  <c r="AI15" i="2" s="1"/>
  <c r="AA16" i="2"/>
  <c r="AI16" i="2" s="1"/>
  <c r="AA17" i="2"/>
  <c r="AI17" i="2" s="1"/>
  <c r="AA18" i="2"/>
  <c r="AI18" i="2" s="1"/>
  <c r="AA19" i="2"/>
  <c r="AI19" i="2" s="1"/>
  <c r="AA20" i="2"/>
  <c r="AI20" i="2" s="1"/>
  <c r="AA21" i="2"/>
  <c r="AI21" i="2" s="1"/>
  <c r="AA22" i="2"/>
  <c r="AI22" i="2" s="1"/>
  <c r="AA23" i="2"/>
  <c r="AI23" i="2" s="1"/>
  <c r="AA24" i="2"/>
  <c r="AI24" i="2" s="1"/>
  <c r="AA25" i="2"/>
  <c r="AI25" i="2" s="1"/>
  <c r="AA26" i="2"/>
  <c r="AI26" i="2" s="1"/>
  <c r="AA27" i="2"/>
  <c r="AI27" i="2" s="1"/>
  <c r="AA28" i="2"/>
  <c r="AI28" i="2" s="1"/>
  <c r="AA29" i="2"/>
  <c r="AI29" i="2" s="1"/>
  <c r="AA30" i="2"/>
  <c r="AI30" i="2" s="1"/>
  <c r="AA31" i="2"/>
  <c r="AI31" i="2" s="1"/>
  <c r="AA32" i="2"/>
  <c r="AI32" i="2" s="1"/>
  <c r="AA33" i="2"/>
  <c r="AI33" i="2" s="1"/>
  <c r="AA34" i="2"/>
  <c r="AA35" i="2"/>
  <c r="AI35" i="2" s="1"/>
  <c r="AA36" i="2"/>
  <c r="AA37" i="2"/>
  <c r="AI37" i="2" s="1"/>
  <c r="AA38" i="2"/>
  <c r="AA39" i="2"/>
  <c r="AA40" i="2"/>
  <c r="AA41" i="2"/>
  <c r="AI41" i="2" s="1"/>
  <c r="AA5" i="2"/>
  <c r="AI5" i="2" s="1"/>
  <c r="AJ5" i="2" s="1"/>
  <c r="R35" i="2"/>
  <c r="R14" i="2"/>
  <c r="R15" i="2"/>
  <c r="R16" i="2"/>
  <c r="R17" i="2"/>
  <c r="R18" i="2"/>
  <c r="R19" i="2"/>
  <c r="R20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6" i="2"/>
  <c r="R37" i="2"/>
  <c r="R38" i="2"/>
  <c r="R39" i="2"/>
  <c r="R40" i="2"/>
  <c r="R41" i="2"/>
  <c r="Q4" i="2"/>
  <c r="O30" i="2"/>
  <c r="O31" i="2"/>
  <c r="O32" i="2"/>
  <c r="O33" i="2"/>
  <c r="O34" i="2"/>
  <c r="O35" i="2"/>
  <c r="O36" i="2"/>
  <c r="O37" i="2"/>
  <c r="O38" i="2"/>
  <c r="O39" i="2"/>
  <c r="O40" i="2"/>
  <c r="O4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2" i="2"/>
  <c r="O23" i="2"/>
  <c r="O24" i="2"/>
  <c r="O25" i="2"/>
  <c r="O26" i="2"/>
  <c r="O27" i="2"/>
  <c r="O28" i="2"/>
  <c r="O29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" i="2"/>
  <c r="O4" i="2"/>
  <c r="Q5" i="2"/>
  <c r="R6" i="19"/>
  <c r="Q10" i="19" s="1"/>
  <c r="A5" i="2" s="1" a="1"/>
  <c r="A5" i="2" s="1"/>
  <c r="R7" i="19"/>
  <c r="Q11" i="19" s="1"/>
  <c r="A6" i="2" s="1" a="1"/>
  <c r="A6" i="2" s="1"/>
  <c r="R8" i="19"/>
  <c r="Q12" i="19" s="1"/>
  <c r="A7" i="2" s="1" a="1"/>
  <c r="A7" i="2" s="1"/>
  <c r="R9" i="19"/>
  <c r="Q13" i="19" s="1"/>
  <c r="R10" i="19"/>
  <c r="Q14" i="19" s="1"/>
  <c r="A9" i="2" s="1" a="1"/>
  <c r="A9" i="2" s="1"/>
  <c r="R11" i="19"/>
  <c r="Q15" i="19" s="1"/>
  <c r="A10" i="2" s="1" a="1"/>
  <c r="A10" i="2" s="1"/>
  <c r="R12" i="19"/>
  <c r="Q16" i="19" s="1"/>
  <c r="R13" i="19"/>
  <c r="Q17" i="19" s="1"/>
  <c r="A12" i="2" s="1" a="1"/>
  <c r="A12" i="2" s="1"/>
  <c r="R14" i="19"/>
  <c r="Q18" i="19" s="1"/>
  <c r="R15" i="19"/>
  <c r="Q19" i="19" s="1"/>
  <c r="A14" i="2" s="1" a="1"/>
  <c r="A14" i="2" s="1"/>
  <c r="R32" i="19"/>
  <c r="Q36" i="19" s="1"/>
  <c r="A31" i="2" s="1" a="1"/>
  <c r="A31" i="2" s="1"/>
  <c r="R50" i="19"/>
  <c r="Q54" i="19" s="1"/>
  <c r="R51" i="19"/>
  <c r="Q55" i="19" s="1"/>
  <c r="R52" i="19"/>
  <c r="Q56" i="19" s="1"/>
  <c r="R53" i="19"/>
  <c r="R54" i="19"/>
  <c r="Q58" i="19" s="1"/>
  <c r="R55" i="19"/>
  <c r="R56" i="19"/>
  <c r="Q60" i="19" s="1"/>
  <c r="R57" i="19"/>
  <c r="Q61" i="19" s="1"/>
  <c r="R58" i="19"/>
  <c r="Q62" i="19" s="1"/>
  <c r="R59" i="19"/>
  <c r="Q63" i="19" s="1"/>
  <c r="R60" i="19"/>
  <c r="R61" i="19"/>
  <c r="R62" i="19"/>
  <c r="R63" i="19"/>
  <c r="R64" i="19"/>
  <c r="R65" i="19"/>
  <c r="R66" i="19"/>
  <c r="R67" i="19"/>
  <c r="R68" i="19"/>
  <c r="R69" i="19"/>
  <c r="Q57" i="19"/>
  <c r="Q59" i="19"/>
  <c r="Q7" i="2"/>
  <c r="R16" i="19"/>
  <c r="Q20" i="19" s="1"/>
  <c r="A15" i="2" s="1" a="1"/>
  <c r="A15" i="2" s="1"/>
  <c r="R17" i="19"/>
  <c r="Q21" i="19" s="1"/>
  <c r="A16" i="2" s="1" a="1"/>
  <c r="A16" i="2" s="1"/>
  <c r="R18" i="19"/>
  <c r="Q22" i="19" s="1"/>
  <c r="A17" i="2" s="1" a="1"/>
  <c r="A17" i="2" s="1"/>
  <c r="R19" i="19"/>
  <c r="Q23" i="19" s="1"/>
  <c r="R20" i="19"/>
  <c r="Q24" i="19" s="1"/>
  <c r="R21" i="19"/>
  <c r="Q25" i="19" s="1"/>
  <c r="R22" i="19"/>
  <c r="Q26" i="19" s="1"/>
  <c r="A21" i="2" s="1" a="1"/>
  <c r="A21" i="2" s="1"/>
  <c r="R23" i="19"/>
  <c r="Q27" i="19" s="1"/>
  <c r="A22" i="2" s="1" a="1"/>
  <c r="A22" i="2" s="1"/>
  <c r="R24" i="19"/>
  <c r="Q28" i="19" s="1"/>
  <c r="R25" i="19"/>
  <c r="Q29" i="19" s="1"/>
  <c r="A24" i="2" s="1" a="1"/>
  <c r="A24" i="2" s="1"/>
  <c r="R26" i="19"/>
  <c r="Q30" i="19" s="1"/>
  <c r="A25" i="2" s="1" a="1"/>
  <c r="A25" i="2" s="1"/>
  <c r="R27" i="19"/>
  <c r="Q31" i="19" s="1"/>
  <c r="A26" i="2" s="1" a="1"/>
  <c r="A26" i="2" s="1"/>
  <c r="R28" i="19"/>
  <c r="Q32" i="19" s="1"/>
  <c r="A27" i="2" s="1" a="1"/>
  <c r="A27" i="2" s="1"/>
  <c r="R29" i="19"/>
  <c r="Q33" i="19" s="1"/>
  <c r="R30" i="19"/>
  <c r="Q34" i="19" s="1"/>
  <c r="A29" i="2" s="1" a="1"/>
  <c r="A29" i="2" s="1"/>
  <c r="R31" i="19"/>
  <c r="Q35" i="19" s="1"/>
  <c r="A30" i="2" s="1" a="1"/>
  <c r="A30" i="2" s="1"/>
  <c r="R33" i="19"/>
  <c r="Q37" i="19" s="1"/>
  <c r="A32" i="2" s="1" a="1"/>
  <c r="A32" i="2" s="1"/>
  <c r="R34" i="19"/>
  <c r="Q38" i="19" s="1"/>
  <c r="R35" i="19"/>
  <c r="Q39" i="19" s="1"/>
  <c r="A34" i="2" s="1" a="1"/>
  <c r="A34" i="2" s="1"/>
  <c r="R36" i="19"/>
  <c r="Q40" i="19" s="1"/>
  <c r="A35" i="2" s="1" a="1"/>
  <c r="A35" i="2" s="1"/>
  <c r="R37" i="19"/>
  <c r="Q41" i="19" s="1"/>
  <c r="A36" i="2" s="1" a="1"/>
  <c r="A36" i="2" s="1"/>
  <c r="R38" i="19"/>
  <c r="Q42" i="19" s="1"/>
  <c r="A37" i="2" s="1" a="1"/>
  <c r="A37" i="2" s="1"/>
  <c r="R39" i="19"/>
  <c r="Q43" i="19" s="1"/>
  <c r="R40" i="19"/>
  <c r="Q44" i="19" s="1"/>
  <c r="A39" i="2" s="1" a="1"/>
  <c r="A39" i="2" s="1"/>
  <c r="R41" i="19"/>
  <c r="Q45" i="19" s="1"/>
  <c r="A40" i="2" s="1" a="1"/>
  <c r="A40" i="2" s="1"/>
  <c r="R42" i="19"/>
  <c r="Q46" i="19" s="1"/>
  <c r="A41" i="2" s="1" a="1"/>
  <c r="A41" i="2" s="1"/>
  <c r="R43" i="19"/>
  <c r="Q47" i="19" s="1"/>
  <c r="R44" i="19"/>
  <c r="Q48" i="19" s="1"/>
  <c r="R45" i="19"/>
  <c r="Q49" i="19" s="1"/>
  <c r="R46" i="19"/>
  <c r="Q50" i="19" s="1"/>
  <c r="R47" i="19"/>
  <c r="Q51" i="19" s="1"/>
  <c r="R48" i="19"/>
  <c r="Q52" i="19" s="1"/>
  <c r="R49" i="19"/>
  <c r="Q53" i="19" s="1"/>
  <c r="C2" i="19"/>
  <c r="B6" i="19"/>
  <c r="B8" i="19" s="1"/>
  <c r="D43" i="19" l="1"/>
  <c r="C50" i="19" s="1"/>
  <c r="Z21" i="2" s="1" a="1"/>
  <c r="Z21" i="2" s="1"/>
  <c r="R21" i="2"/>
  <c r="O21" i="2"/>
  <c r="Z19" i="2" a="1"/>
  <c r="Z19" i="2" s="1"/>
  <c r="Z11" i="2" a="1"/>
  <c r="Z11" i="2" s="1"/>
  <c r="AJ28" i="2"/>
  <c r="AJ25" i="2"/>
  <c r="AJ17" i="2"/>
  <c r="AJ29" i="2"/>
  <c r="AJ41" i="2"/>
  <c r="AJ16" i="2"/>
  <c r="AJ13" i="2"/>
  <c r="BJ13" i="2" s="1"/>
  <c r="AJ32" i="2"/>
  <c r="AJ24" i="2"/>
  <c r="AJ33" i="2"/>
  <c r="AI39" i="2"/>
  <c r="AJ31" i="2"/>
  <c r="AJ22" i="2"/>
  <c r="AJ6" i="2"/>
  <c r="BJ6" i="2" s="1"/>
  <c r="BR21" i="2"/>
  <c r="BU21" i="2" s="1"/>
  <c r="BR20" i="2"/>
  <c r="BU20" i="2" s="1"/>
  <c r="BR35" i="2"/>
  <c r="BU35" i="2" s="1"/>
  <c r="BR19" i="2"/>
  <c r="BU19" i="2" s="1"/>
  <c r="AJ21" i="2"/>
  <c r="AJ20" i="2"/>
  <c r="BR33" i="2"/>
  <c r="BU33" i="2" s="1"/>
  <c r="BR17" i="2"/>
  <c r="BU17" i="2" s="1"/>
  <c r="AJ35" i="2"/>
  <c r="AJ19" i="2"/>
  <c r="BR32" i="2"/>
  <c r="BU32" i="2" s="1"/>
  <c r="BR16" i="2"/>
  <c r="BU16" i="2" s="1"/>
  <c r="AJ18" i="2"/>
  <c r="BR6" i="2"/>
  <c r="BU6" i="2" s="1"/>
  <c r="AJ7" i="2"/>
  <c r="BR15" i="2"/>
  <c r="BU15" i="2" s="1"/>
  <c r="BR29" i="2"/>
  <c r="BU29" i="2" s="1"/>
  <c r="BR13" i="2"/>
  <c r="BU13" i="2" s="1"/>
  <c r="AJ15" i="2"/>
  <c r="BR28" i="2"/>
  <c r="BU28" i="2" s="1"/>
  <c r="BR12" i="2"/>
  <c r="BU12" i="2" s="1"/>
  <c r="AJ30" i="2"/>
  <c r="AJ14" i="2"/>
  <c r="BR22" i="2"/>
  <c r="BU22" i="2" s="1"/>
  <c r="BR37" i="2"/>
  <c r="BU37" i="2" s="1"/>
  <c r="AJ23" i="2"/>
  <c r="BR31" i="2"/>
  <c r="BU31" i="2" s="1"/>
  <c r="BR27" i="2"/>
  <c r="BU27" i="2" s="1"/>
  <c r="BR11" i="2"/>
  <c r="BU11" i="2" s="1"/>
  <c r="BR5" i="2"/>
  <c r="BU5" i="2" s="1"/>
  <c r="BR41" i="2"/>
  <c r="BU41" i="2" s="1"/>
  <c r="BR25" i="2"/>
  <c r="BU25" i="2" s="1"/>
  <c r="BR9" i="2"/>
  <c r="BU9" i="2" s="1"/>
  <c r="AJ27" i="2"/>
  <c r="AJ11" i="2"/>
  <c r="BR24" i="2"/>
  <c r="BU24" i="2" s="1"/>
  <c r="BR8" i="2"/>
  <c r="BU8" i="2" s="1"/>
  <c r="AJ26" i="2"/>
  <c r="AJ10" i="2"/>
  <c r="AJ4" i="2"/>
  <c r="A8" i="2" a="1"/>
  <c r="A8" i="2" s="1"/>
  <c r="A38" i="2" a="1"/>
  <c r="A38" i="2" s="1"/>
  <c r="A18" i="2" a="1"/>
  <c r="A18" i="2" s="1"/>
  <c r="A33" i="2" a="1"/>
  <c r="A33" i="2" s="1"/>
  <c r="A19" i="2" a="1"/>
  <c r="A19" i="2" s="1"/>
  <c r="A20" i="2" s="1" a="1"/>
  <c r="A20" i="2" s="1"/>
  <c r="A13" i="2" a="1"/>
  <c r="A13" i="2" s="1"/>
  <c r="Y39" i="2" a="1"/>
  <c r="Y39" i="2" s="1"/>
  <c r="A23" i="2" a="1"/>
  <c r="A23" i="2" s="1"/>
  <c r="A28" i="2" a="1"/>
  <c r="A28" i="2" s="1"/>
  <c r="Y37" i="2" a="1"/>
  <c r="Y37" i="2" s="1"/>
  <c r="AJ37" i="2" s="1"/>
  <c r="A11" i="2" a="1"/>
  <c r="A11" i="2" s="1"/>
  <c r="Y34" i="2" a="1"/>
  <c r="Y34" i="2" s="1"/>
  <c r="E21" i="19" a="1"/>
  <c r="E21" i="19" s="1"/>
  <c r="Y5" i="2" a="1"/>
  <c r="Y5" i="2" s="1"/>
  <c r="A22" i="19" a="1"/>
  <c r="B22" i="19" a="1"/>
  <c r="C4" i="2"/>
  <c r="A4" i="2"/>
  <c r="R4" i="2"/>
  <c r="DC4" i="2"/>
  <c r="CP4" i="2"/>
  <c r="DL4" i="2" s="1"/>
  <c r="BS4" i="2"/>
  <c r="BT4" i="2"/>
  <c r="CJ4" i="2"/>
  <c r="CV4" i="2"/>
  <c r="BI4" i="2"/>
  <c r="AR4" i="2"/>
  <c r="AG4" i="2"/>
  <c r="I4" i="2"/>
  <c r="H4" i="2"/>
  <c r="E4" i="2"/>
  <c r="D4" i="2"/>
  <c r="B4" i="2"/>
  <c r="D197" i="12"/>
  <c r="C166" i="12"/>
  <c r="C165" i="12"/>
  <c r="C164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78" i="15"/>
  <c r="C69" i="15"/>
  <c r="C70" i="15" s="1"/>
  <c r="C60" i="15"/>
  <c r="C61" i="15" s="1"/>
  <c r="C43" i="15"/>
  <c r="C44" i="15" s="1"/>
  <c r="C38" i="15"/>
  <c r="C13" i="15"/>
  <c r="AJ39" i="2" l="1"/>
  <c r="BR39" i="2"/>
  <c r="BU39" i="2" s="1"/>
  <c r="BV13" i="2"/>
  <c r="BV32" i="2"/>
  <c r="BV6" i="2"/>
  <c r="BV12" i="2"/>
  <c r="BV28" i="2"/>
  <c r="BV25" i="2"/>
  <c r="BV33" i="2"/>
  <c r="BV9" i="2"/>
  <c r="BV29" i="2"/>
  <c r="BV41" i="2"/>
  <c r="BV5" i="2"/>
  <c r="BV22" i="2"/>
  <c r="BV19" i="2"/>
  <c r="BV24" i="2"/>
  <c r="BV35" i="2"/>
  <c r="BV8" i="2"/>
  <c r="BR23" i="2"/>
  <c r="BV20" i="2"/>
  <c r="BR7" i="2"/>
  <c r="BV15" i="2"/>
  <c r="BV16" i="2"/>
  <c r="BV17" i="2"/>
  <c r="BR10" i="2"/>
  <c r="BR18" i="2"/>
  <c r="BV21" i="2"/>
  <c r="BV11" i="2"/>
  <c r="BR26" i="2"/>
  <c r="BR14" i="2"/>
  <c r="BV37" i="2"/>
  <c r="BV27" i="2"/>
  <c r="BV31" i="2"/>
  <c r="BR30" i="2"/>
  <c r="BK4" i="2"/>
  <c r="BN4" i="2" s="1"/>
  <c r="AS4" i="2"/>
  <c r="G4" i="2"/>
  <c r="BH4" i="2"/>
  <c r="B25" i="19"/>
  <c r="B28" i="19"/>
  <c r="B22" i="19"/>
  <c r="B29" i="19"/>
  <c r="B26" i="19"/>
  <c r="B23" i="19"/>
  <c r="B30" i="19"/>
  <c r="B24" i="19"/>
  <c r="B31" i="19"/>
  <c r="B27" i="19"/>
  <c r="A26" i="19"/>
  <c r="A28" i="19"/>
  <c r="A22" i="19"/>
  <c r="A29" i="19"/>
  <c r="A25" i="19"/>
  <c r="A23" i="19"/>
  <c r="A30" i="19"/>
  <c r="A24" i="19"/>
  <c r="A31" i="19"/>
  <c r="A27" i="19"/>
  <c r="DI4" i="2"/>
  <c r="DH4" i="2"/>
  <c r="BJ4" i="2"/>
  <c r="BM4" i="2" s="1"/>
  <c r="CT4" i="2"/>
  <c r="CX4" i="2" s="1"/>
  <c r="CK4" i="2"/>
  <c r="CI4" i="2"/>
  <c r="DJ4" i="2" s="1"/>
  <c r="CS4" i="2"/>
  <c r="CW4" i="2"/>
  <c r="CY4" i="2" s="1"/>
  <c r="DK4" i="2" s="1"/>
  <c r="BB4" i="2"/>
  <c r="CZ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R30" i="2"/>
  <c r="AA54" i="2"/>
  <c r="R5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BV39" i="2" l="1"/>
  <c r="BU23" i="2"/>
  <c r="BV23" i="2"/>
  <c r="BU14" i="2"/>
  <c r="BV14" i="2"/>
  <c r="BU26" i="2"/>
  <c r="BV26" i="2"/>
  <c r="BU18" i="2"/>
  <c r="BV18" i="2"/>
  <c r="BU10" i="2"/>
  <c r="BV10" i="2"/>
  <c r="BU7" i="2"/>
  <c r="BV7" i="2"/>
  <c r="BU30" i="2"/>
  <c r="BV30" i="2"/>
  <c r="AO4" i="2"/>
  <c r="AX4" i="2"/>
  <c r="AW4" i="2"/>
  <c r="AK4" i="2"/>
  <c r="AV4" i="2"/>
  <c r="DF4" i="2" s="1"/>
  <c r="AN4" i="2"/>
  <c r="AM4" i="2"/>
  <c r="AL4" i="2"/>
  <c r="DE4" i="2" s="1"/>
  <c r="AP4" i="2"/>
  <c r="AQ4" i="2" s="1"/>
  <c r="AU4" i="2"/>
  <c r="AT4" i="2"/>
  <c r="BA4" i="2"/>
  <c r="DG4" i="2" s="1"/>
  <c r="CF4" i="2"/>
  <c r="CL4" i="2" s="1"/>
  <c r="CU4" i="2"/>
  <c r="BV4" i="2"/>
  <c r="DB4" i="2" s="1"/>
  <c r="BU4" i="2"/>
  <c r="DA4" i="2" s="1"/>
  <c r="C75" i="15"/>
  <c r="S11" i="12"/>
  <c r="S125" i="12" s="1"/>
  <c r="S21" i="12"/>
  <c r="D21" i="12"/>
  <c r="E21" i="12"/>
  <c r="F21" i="12"/>
  <c r="P21" i="12" s="1"/>
  <c r="G21" i="12"/>
  <c r="H21" i="12"/>
  <c r="I21" i="12"/>
  <c r="J21" i="12"/>
  <c r="L21" i="12"/>
  <c r="M21" i="12"/>
  <c r="N21" i="12"/>
  <c r="C23" i="12"/>
  <c r="D23" i="12"/>
  <c r="E23" i="12"/>
  <c r="F23" i="12"/>
  <c r="S56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K205" i="12" s="1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S107" i="12" l="1"/>
  <c r="S73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70" i="12"/>
  <c r="E163" i="12" s="1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R21" i="12"/>
  <c r="Q21" i="12"/>
  <c r="O71" i="12"/>
  <c r="J74" i="15"/>
  <c r="I74" i="15"/>
  <c r="H74" i="15"/>
  <c r="C175" i="12" l="1"/>
  <c r="C193" i="12" s="1"/>
  <c r="E184" i="12"/>
  <c r="E175" i="12"/>
  <c r="E193" i="12" s="1"/>
  <c r="E195" i="12" s="1"/>
  <c r="D189" i="12"/>
  <c r="E200" i="12"/>
  <c r="D175" i="12"/>
  <c r="D193" i="12" s="1"/>
  <c r="E188" i="12"/>
  <c r="E202" i="12" s="1"/>
  <c r="E198" i="12" s="1"/>
  <c r="D191" i="12"/>
  <c r="D188" i="12"/>
  <c r="D202" i="12" s="1"/>
  <c r="D198" i="12" s="1"/>
  <c r="P105" i="12"/>
  <c r="C176" i="12"/>
  <c r="C184" i="12" s="1"/>
  <c r="Q105" i="12"/>
  <c r="O105" i="12"/>
  <c r="R105" i="12"/>
  <c r="O21" i="12"/>
  <c r="C183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E183" i="12" l="1"/>
  <c r="E191" i="12"/>
  <c r="D190" i="12"/>
  <c r="D192" i="12" s="1"/>
  <c r="E190" i="12"/>
  <c r="E192" i="12" s="1"/>
  <c r="D183" i="12"/>
  <c r="C194" i="12"/>
  <c r="C191" i="12"/>
  <c r="C192" i="12"/>
  <c r="D196" i="12"/>
  <c r="E196" i="12"/>
  <c r="E203" i="12" s="1"/>
  <c r="E24" i="12" s="1"/>
  <c r="E25" i="12" s="1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C195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D203" i="12" l="1"/>
  <c r="D24" i="12" s="1"/>
  <c r="D55" i="12" s="1"/>
  <c r="D122" i="12" s="1"/>
  <c r="C196" i="12"/>
  <c r="G192" i="12"/>
  <c r="G196" i="12" s="1"/>
  <c r="E55" i="12"/>
  <c r="E122" i="12" s="1"/>
  <c r="E140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E44" i="12"/>
  <c r="E111" i="12" s="1"/>
  <c r="E129" i="12" s="1"/>
  <c r="E52" i="12"/>
  <c r="E119" i="12" s="1"/>
  <c r="E137" i="12" s="1"/>
  <c r="E49" i="12"/>
  <c r="E116" i="12" s="1"/>
  <c r="E134" i="12" s="1"/>
  <c r="E46" i="12"/>
  <c r="E113" i="12" s="1"/>
  <c r="E131" i="12" s="1"/>
  <c r="E54" i="12"/>
  <c r="E121" i="12" s="1"/>
  <c r="E139" i="12" s="1"/>
  <c r="E43" i="12"/>
  <c r="E110" i="12" s="1"/>
  <c r="E128" i="12" s="1"/>
  <c r="E51" i="12"/>
  <c r="E118" i="12" s="1"/>
  <c r="E136" i="12" s="1"/>
  <c r="E48" i="12"/>
  <c r="E115" i="12" s="1"/>
  <c r="E133" i="12" s="1"/>
  <c r="E45" i="12"/>
  <c r="E112" i="12" s="1"/>
  <c r="E130" i="12" s="1"/>
  <c r="E53" i="12"/>
  <c r="E120" i="12" s="1"/>
  <c r="E138" i="12" s="1"/>
  <c r="E42" i="12"/>
  <c r="E50" i="12"/>
  <c r="E117" i="12" s="1"/>
  <c r="E135" i="12" s="1"/>
  <c r="E47" i="12"/>
  <c r="E114" i="12" s="1"/>
  <c r="E132" i="12" s="1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C203" i="12" l="1"/>
  <c r="C24" i="12" s="1"/>
  <c r="D25" i="12"/>
  <c r="F203" i="12"/>
  <c r="F24" i="12" s="1"/>
  <c r="G203" i="12"/>
  <c r="G24" i="12" s="1"/>
  <c r="E41" i="12"/>
  <c r="E109" i="12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D45" i="12" l="1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D41" i="12" s="1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E123" i="12"/>
  <c r="E127" i="12"/>
  <c r="E141" i="12" s="1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I192" i="12" l="1"/>
  <c r="O55" i="12"/>
  <c r="D109" i="12"/>
  <c r="C44" i="12"/>
  <c r="C42" i="12"/>
  <c r="C109" i="12" s="1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111" i="12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192" i="12" s="1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D123" i="12"/>
  <c r="D127" i="12"/>
  <c r="D141" i="12" s="1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L45" i="14"/>
  <c r="D45" i="14"/>
  <c r="N44" i="14"/>
  <c r="N45" i="14" s="1"/>
  <c r="M44" i="14"/>
  <c r="M45" i="14" s="1"/>
  <c r="L44" i="14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F37" i="14"/>
  <c r="E37" i="14"/>
  <c r="D37" i="14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E36" i="14"/>
  <c r="D36" i="14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C41" i="12" l="1"/>
  <c r="E38" i="13"/>
  <c r="C131" i="12"/>
  <c r="O131" i="12" s="1"/>
  <c r="O113" i="12"/>
  <c r="C137" i="12"/>
  <c r="O137" i="12" s="1"/>
  <c r="O119" i="12"/>
  <c r="C132" i="12"/>
  <c r="O132" i="12" s="1"/>
  <c r="O114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K192" i="12" s="1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D62" i="14" s="1"/>
  <c r="E38" i="14"/>
  <c r="E70" i="14" s="1"/>
  <c r="N38" i="14"/>
  <c r="N56" i="14" s="1"/>
  <c r="N74" i="14" s="1"/>
  <c r="F38" i="14"/>
  <c r="F62" i="14" s="1"/>
  <c r="L38" i="14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72" i="14"/>
  <c r="E64" i="14"/>
  <c r="L62" i="14"/>
  <c r="L56" i="14"/>
  <c r="L74" i="14" s="1"/>
  <c r="E46" i="13"/>
  <c r="E71" i="13" s="1"/>
  <c r="E64" i="13"/>
  <c r="F38" i="13"/>
  <c r="N38" i="13"/>
  <c r="M38" i="14"/>
  <c r="I62" i="14"/>
  <c r="J38" i="13"/>
  <c r="N56" i="13" l="1"/>
  <c r="N74" i="13" s="1"/>
  <c r="BL86" i="2" s="1"/>
  <c r="D65" i="13"/>
  <c r="D56" i="14"/>
  <c r="D74" i="14" s="1"/>
  <c r="O109" i="12"/>
  <c r="O123" i="12" s="1"/>
  <c r="C127" i="12"/>
  <c r="C123" i="12"/>
  <c r="M65" i="13"/>
  <c r="E62" i="14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BL88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98" i="12" s="1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CP85" i="2" l="1"/>
  <c r="CP83" i="2"/>
  <c r="K55" i="12"/>
  <c r="K122" i="12" s="1"/>
  <c r="K140" i="12" s="1"/>
  <c r="M192" i="12"/>
  <c r="M196" i="12" s="1"/>
  <c r="L203" i="12"/>
  <c r="L24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L55" i="12"/>
  <c r="L25" i="12"/>
  <c r="J122" i="12"/>
  <c r="J140" i="12" s="1"/>
  <c r="Q55" i="12"/>
  <c r="CP82" i="2"/>
  <c r="CP79" i="2"/>
  <c r="CP84" i="2"/>
  <c r="CP88" i="2"/>
  <c r="CP81" i="2"/>
  <c r="CP89" i="2"/>
  <c r="CP80" i="2"/>
  <c r="M203" i="12" l="1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BT36" i="2" s="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BT40" i="2" s="1"/>
  <c r="CM34" i="2"/>
  <c r="BT34" i="2" s="1"/>
  <c r="CM38" i="2"/>
  <c r="BT38" i="2" s="1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D41" i="11"/>
  <c r="D109" i="1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H195" i="11" l="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L192" i="11" s="1"/>
  <c r="G133" i="11"/>
  <c r="G140" i="11"/>
  <c r="I51" i="11" l="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I132" i="1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K51" i="11"/>
  <c r="K118" i="11" s="1"/>
  <c r="K136" i="11" s="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Q122" i="11" l="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N196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51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44" i="11" l="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H22" i="2"/>
  <c r="CP22" i="2" s="1"/>
  <c r="CH28" i="2"/>
  <c r="CP28" i="2" s="1"/>
  <c r="CH23" i="2"/>
  <c r="CP23" i="2" s="1"/>
  <c r="CH30" i="2"/>
  <c r="CP30" i="2" s="1"/>
  <c r="CH25" i="2"/>
  <c r="CP25" i="2" s="1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AX26" i="2" l="1"/>
  <c r="AX29" i="2"/>
  <c r="AX31" i="2"/>
  <c r="CO38" i="2" l="1"/>
  <c r="CH38" i="2"/>
  <c r="CO40" i="2"/>
  <c r="CH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DC24" i="2"/>
  <c r="DC23" i="2"/>
  <c r="DC22" i="2"/>
  <c r="DC21" i="2"/>
  <c r="DC19" i="2"/>
  <c r="DC18" i="2"/>
  <c r="DC17" i="2"/>
  <c r="DC16" i="2"/>
  <c r="DC14" i="2"/>
  <c r="DC13" i="2"/>
  <c r="DC12" i="2"/>
  <c r="DC11" i="2"/>
  <c r="DC10" i="2"/>
  <c r="DC8" i="2"/>
  <c r="DC7" i="2"/>
  <c r="DC6" i="2"/>
  <c r="DC5" i="2"/>
  <c r="DC9" i="2"/>
  <c r="DC20" i="2"/>
  <c r="DC15" i="2"/>
  <c r="U54" i="2"/>
  <c r="U203" i="2" s="1"/>
  <c r="AV31" i="2"/>
  <c r="AW31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B40" i="2"/>
  <c r="AZ40" i="2" s="1"/>
  <c r="BB38" i="2"/>
  <c r="AZ38" i="2" s="1"/>
  <c r="BB36" i="2"/>
  <c r="AZ36" i="2" s="1"/>
  <c r="AR41" i="2"/>
  <c r="AR37" i="2"/>
  <c r="AR35" i="2"/>
  <c r="AG37" i="2"/>
  <c r="AG39" i="2"/>
  <c r="AG41" i="2"/>
  <c r="AG35" i="2"/>
  <c r="AA198" i="2"/>
  <c r="AI162" i="2"/>
  <c r="AA162" i="2"/>
  <c r="AI121" i="2"/>
  <c r="BA93" i="2"/>
  <c r="AI93" i="2"/>
  <c r="CH34" i="2" l="1"/>
  <c r="BB34" i="2"/>
  <c r="AZ34" i="2" s="1"/>
  <c r="CW38" i="2"/>
  <c r="CY38" i="2" s="1"/>
  <c r="DK38" i="2" s="1"/>
  <c r="DM35" i="2"/>
  <c r="DM39" i="2"/>
  <c r="CT34" i="2"/>
  <c r="CR40" i="2"/>
  <c r="DM86" i="2"/>
  <c r="Q41" i="2"/>
  <c r="Q34" i="2"/>
  <c r="Q38" i="2"/>
  <c r="Q39" i="2"/>
  <c r="DM37" i="2"/>
  <c r="DM41" i="2"/>
  <c r="Q37" i="2"/>
  <c r="Q35" i="2"/>
  <c r="Q36" i="2"/>
  <c r="Q40" i="2"/>
  <c r="AS37" i="2"/>
  <c r="AS39" i="2"/>
  <c r="AS41" i="2"/>
  <c r="BH40" i="2"/>
  <c r="DH40" i="2" s="1"/>
  <c r="BH34" i="2"/>
  <c r="CV34" i="2"/>
  <c r="CW34" i="2"/>
  <c r="BH38" i="2"/>
  <c r="DH38" i="2" s="1"/>
  <c r="CX36" i="2"/>
  <c r="BH36" i="2"/>
  <c r="DH36" i="2" s="1"/>
  <c r="CK34" i="2"/>
  <c r="CL34" i="2"/>
  <c r="CJ34" i="2"/>
  <c r="CI34" i="2"/>
  <c r="AS35" i="2"/>
  <c r="CX38" i="2"/>
  <c r="CX34" i="2" l="1"/>
  <c r="CY34" i="2"/>
  <c r="DK34" i="2" s="1"/>
  <c r="CP34" i="2"/>
  <c r="DL34" i="2" s="1"/>
  <c r="DJ34" i="2"/>
  <c r="CW40" i="2"/>
  <c r="CY40" i="2" s="1"/>
  <c r="DK40" i="2" s="1"/>
  <c r="CV40" i="2"/>
  <c r="CX40" i="2" s="1"/>
  <c r="DH34" i="2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7" i="2" l="1"/>
  <c r="AR8" i="2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CB23" i="2"/>
  <c r="CD23" i="2" s="1"/>
  <c r="CJ23" i="2" s="1"/>
  <c r="CC23" i="2"/>
  <c r="CB24" i="2"/>
  <c r="CE24" i="2" s="1"/>
  <c r="CC24" i="2"/>
  <c r="CZ25" i="2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CZ27" i="2"/>
  <c r="CB27" i="2"/>
  <c r="CD27" i="2" s="1"/>
  <c r="CJ27" i="2" s="1"/>
  <c r="CC27" i="2"/>
  <c r="CZ28" i="2"/>
  <c r="CB28" i="2"/>
  <c r="CE28" i="2" s="1"/>
  <c r="CK28" i="2" s="1"/>
  <c r="CC28" i="2"/>
  <c r="AL29" i="2"/>
  <c r="BI29" i="2"/>
  <c r="CB29" i="2"/>
  <c r="CD29" i="2" s="1"/>
  <c r="CC29" i="2"/>
  <c r="DK29" i="2"/>
  <c r="CZ30" i="2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BI23" i="2"/>
  <c r="BI22" i="2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BN29" i="2"/>
  <c r="AP29" i="2"/>
  <c r="AQ29" i="2" s="1"/>
  <c r="AK29" i="2"/>
  <c r="AW29" i="2"/>
  <c r="AV29" i="2"/>
  <c r="DF29" i="2" s="1"/>
  <c r="AU29" i="2"/>
  <c r="AK26" i="2"/>
  <c r="AW26" i="2"/>
  <c r="AV26" i="2"/>
  <c r="DF26" i="2" s="1"/>
  <c r="AT26" i="2"/>
  <c r="Q23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I103" i="2" s="1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I104" i="2" s="1"/>
  <c r="DJ104" i="2" s="1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H20" i="2"/>
  <c r="CO16" i="2"/>
  <c r="CH16" i="2"/>
  <c r="CO12" i="2"/>
  <c r="CH12" i="2"/>
  <c r="CO8" i="2"/>
  <c r="CH8" i="2"/>
  <c r="CO19" i="2"/>
  <c r="CH19" i="2"/>
  <c r="CO15" i="2"/>
  <c r="CH15" i="2"/>
  <c r="CO11" i="2"/>
  <c r="CH11" i="2"/>
  <c r="CO7" i="2"/>
  <c r="CH7" i="2"/>
  <c r="CO32" i="2"/>
  <c r="CH32" i="2"/>
  <c r="CO18" i="2"/>
  <c r="CH18" i="2"/>
  <c r="CO14" i="2"/>
  <c r="CH14" i="2"/>
  <c r="CO10" i="2"/>
  <c r="CH10" i="2"/>
  <c r="CO6" i="2"/>
  <c r="CH6" i="2"/>
  <c r="CO24" i="2"/>
  <c r="CH24" i="2"/>
  <c r="CO21" i="2"/>
  <c r="CH21" i="2"/>
  <c r="CO17" i="2"/>
  <c r="CH17" i="2"/>
  <c r="CO13" i="2"/>
  <c r="CH13" i="2"/>
  <c r="CO9" i="2"/>
  <c r="CH9" i="2"/>
  <c r="CO5" i="2"/>
  <c r="CH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DG6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BV177" i="2"/>
  <c r="DB177" i="2" s="1"/>
  <c r="Q33" i="2"/>
  <c r="R111" i="2"/>
  <c r="Q111" i="2"/>
  <c r="Q26" i="2"/>
  <c r="BJ30" i="2"/>
  <c r="BM30" i="2" s="1"/>
  <c r="R7" i="2"/>
  <c r="Q14" i="2"/>
  <c r="Q18" i="2"/>
  <c r="R6" i="2"/>
  <c r="Q6" i="2"/>
  <c r="R12" i="2"/>
  <c r="Q12" i="2"/>
  <c r="Q20" i="2"/>
  <c r="Q21" i="2"/>
  <c r="R9" i="2"/>
  <c r="Q9" i="2"/>
  <c r="R10" i="2"/>
  <c r="Q10" i="2"/>
  <c r="BK20" i="2"/>
  <c r="CI102" i="2"/>
  <c r="DJ102" i="2" s="1"/>
  <c r="R8" i="2"/>
  <c r="Q8" i="2"/>
  <c r="Q16" i="2"/>
  <c r="BB102" i="2"/>
  <c r="DB27" i="2"/>
  <c r="AS16" i="2"/>
  <c r="DI16" i="2" s="1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B71" i="2"/>
  <c r="DG71" i="2" s="1"/>
  <c r="BB77" i="2"/>
  <c r="DG77" i="2" s="1"/>
  <c r="CV77" i="2"/>
  <c r="BH25" i="2"/>
  <c r="BB65" i="2"/>
  <c r="DG65" i="2" s="1"/>
  <c r="BI25" i="2"/>
  <c r="CV27" i="2"/>
  <c r="BB62" i="2"/>
  <c r="BI32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AM11" i="2" s="1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BB66" i="2"/>
  <c r="DG66" i="2" s="1"/>
  <c r="BT84" i="2"/>
  <c r="BV84" i="2" s="1"/>
  <c r="DB84" i="2" s="1"/>
  <c r="BB110" i="2"/>
  <c r="BI7" i="2"/>
  <c r="BI11" i="2"/>
  <c r="BI15" i="2"/>
  <c r="BI19" i="2"/>
  <c r="BK109" i="2"/>
  <c r="BN109" i="2" s="1"/>
  <c r="BK19" i="2"/>
  <c r="BN19" i="2" s="1"/>
  <c r="BB101" i="2"/>
  <c r="CV104" i="2"/>
  <c r="BB105" i="2"/>
  <c r="BI8" i="2"/>
  <c r="BI12" i="2"/>
  <c r="BI16" i="2"/>
  <c r="BI20" i="2"/>
  <c r="CW6" i="2"/>
  <c r="BJ70" i="2"/>
  <c r="BM70" i="2" s="1"/>
  <c r="DG107" i="2"/>
  <c r="BT71" i="2"/>
  <c r="BT104" i="2"/>
  <c r="BV104" i="2" s="1"/>
  <c r="BH23" i="2"/>
  <c r="DH23" i="2" s="1"/>
  <c r="BJ78" i="2"/>
  <c r="BM78" i="2" s="1"/>
  <c r="BT81" i="2"/>
  <c r="BV81" i="2" s="1"/>
  <c r="DB81" i="2" s="1"/>
  <c r="BT83" i="2"/>
  <c r="BV83" i="2" s="1"/>
  <c r="DB83" i="2" s="1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H19" i="2"/>
  <c r="DB25" i="2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65" i="2"/>
  <c r="BT75" i="2"/>
  <c r="BT108" i="2"/>
  <c r="BK77" i="2"/>
  <c r="CS77" i="2" s="1"/>
  <c r="BH7" i="2"/>
  <c r="BH27" i="2"/>
  <c r="AU28" i="2"/>
  <c r="DB28" i="2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AM28" i="2"/>
  <c r="AS176" i="2"/>
  <c r="DI176" i="2" s="1"/>
  <c r="AS131" i="2"/>
  <c r="DI131" i="2" s="1"/>
  <c r="AK28" i="2"/>
  <c r="BJ28" i="2"/>
  <c r="BM28" i="2" s="1"/>
  <c r="DG114" i="2"/>
  <c r="AS20" i="2"/>
  <c r="DI20" i="2" s="1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J15" i="2"/>
  <c r="BM15" i="2" s="1"/>
  <c r="BK24" i="2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J11" i="2"/>
  <c r="BM11" i="2" s="1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CV20" i="2"/>
  <c r="CV12" i="2"/>
  <c r="BJ67" i="2"/>
  <c r="BM67" i="2" s="1"/>
  <c r="BK75" i="2"/>
  <c r="BN75" i="2" s="1"/>
  <c r="BK71" i="2"/>
  <c r="BN71" i="2" s="1"/>
  <c r="CV8" i="2"/>
  <c r="BK14" i="2"/>
  <c r="CV16" i="2"/>
  <c r="BK18" i="2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CV19" i="2"/>
  <c r="BK28" i="2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CV7" i="2"/>
  <c r="BK12" i="2"/>
  <c r="CV14" i="2"/>
  <c r="CV15" i="2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CV11" i="2"/>
  <c r="BK16" i="2"/>
  <c r="CV23" i="2"/>
  <c r="CV112" i="2"/>
  <c r="AG108" i="2"/>
  <c r="AG68" i="2"/>
  <c r="BJ12" i="2"/>
  <c r="BM12" i="2" s="1"/>
  <c r="AG10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G8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9" i="2"/>
  <c r="AG15" i="2"/>
  <c r="AG20" i="2"/>
  <c r="AK113" i="2"/>
  <c r="BJ73" i="2"/>
  <c r="BM73" i="2" s="1"/>
  <c r="BJ66" i="2"/>
  <c r="BM66" i="2" s="1"/>
  <c r="BJ21" i="2"/>
  <c r="BM21" i="2" s="1"/>
  <c r="BK13" i="2"/>
  <c r="BK5" i="2"/>
  <c r="BN5" i="2" s="1"/>
  <c r="BK67" i="2"/>
  <c r="CS67" i="2" s="1"/>
  <c r="BK105" i="2"/>
  <c r="BN105" i="2" s="1"/>
  <c r="CI77" i="2"/>
  <c r="DJ77" i="2" s="1"/>
  <c r="AG7" i="2"/>
  <c r="AG12" i="2"/>
  <c r="AG13" i="2"/>
  <c r="AG14" i="2"/>
  <c r="AG23" i="2"/>
  <c r="AG25" i="2"/>
  <c r="AP25" i="2" s="1"/>
  <c r="AN28" i="2"/>
  <c r="AG30" i="2"/>
  <c r="AP30" i="2" s="1"/>
  <c r="CV70" i="2"/>
  <c r="CV74" i="2"/>
  <c r="AG6" i="2"/>
  <c r="CV25" i="2"/>
  <c r="AT29" i="2"/>
  <c r="AS5" i="2"/>
  <c r="DI5" i="2" s="1"/>
  <c r="BJ5" i="2"/>
  <c r="BM5" i="2" s="1"/>
  <c r="BJ18" i="2"/>
  <c r="BM18" i="2" s="1"/>
  <c r="CV18" i="2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I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CV10" i="2"/>
  <c r="CW5" i="2"/>
  <c r="CV6" i="2"/>
  <c r="CV13" i="2"/>
  <c r="BJ9" i="2"/>
  <c r="BM9" i="2" s="1"/>
  <c r="CV9" i="2"/>
  <c r="CV114" i="2"/>
  <c r="CV106" i="2"/>
  <c r="CV102" i="2"/>
  <c r="CV21" i="2"/>
  <c r="CV17" i="2"/>
  <c r="CV5" i="2"/>
  <c r="BJ24" i="2"/>
  <c r="BM24" i="2" s="1"/>
  <c r="CV24" i="2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BH22" i="2"/>
  <c r="DH22" i="2" s="1"/>
  <c r="AY26" i="2"/>
  <c r="AO30" i="2"/>
  <c r="CV33" i="2"/>
  <c r="BI24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I9" i="2"/>
  <c r="BI13" i="2"/>
  <c r="BI17" i="2"/>
  <c r="BI21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BI10" i="2"/>
  <c r="BI14" i="2"/>
  <c r="BI18" i="2"/>
  <c r="CI111" i="2"/>
  <c r="DJ111" i="2" s="1"/>
  <c r="CI32" i="2"/>
  <c r="DJ32" i="2" s="1"/>
  <c r="CI23" i="2"/>
  <c r="DJ23" i="2" s="1"/>
  <c r="CI22" i="2"/>
  <c r="DJ22" i="2" s="1"/>
  <c r="BK27" i="2"/>
  <c r="BN27" i="2" s="1"/>
  <c r="BJ106" i="2"/>
  <c r="BM106" i="2" s="1"/>
  <c r="CK24" i="2"/>
  <c r="CV63" i="2"/>
  <c r="AG24" i="2"/>
  <c r="BK102" i="2"/>
  <c r="BJ102" i="2"/>
  <c r="BM102" i="2" s="1"/>
  <c r="BK73" i="2"/>
  <c r="AG5" i="2"/>
  <c r="AU107" i="2"/>
  <c r="BK22" i="2"/>
  <c r="BN22" i="2" s="1"/>
  <c r="BJ77" i="2"/>
  <c r="BM77" i="2" s="1"/>
  <c r="CW9" i="2"/>
  <c r="CT9" i="2"/>
  <c r="CW10" i="2"/>
  <c r="CT10" i="2"/>
  <c r="CW11" i="2"/>
  <c r="CT11" i="2"/>
  <c r="CT12" i="2"/>
  <c r="CW12" i="2"/>
  <c r="CW14" i="2"/>
  <c r="CT14" i="2"/>
  <c r="CW15" i="2"/>
  <c r="CT15" i="2"/>
  <c r="CW16" i="2"/>
  <c r="CT16" i="2"/>
  <c r="BH18" i="2"/>
  <c r="BH21" i="2"/>
  <c r="CW25" i="2"/>
  <c r="CY25" i="2" s="1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W22" i="2"/>
  <c r="CY22" i="2" s="1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CV22" i="2"/>
  <c r="AG28" i="2"/>
  <c r="AP28" i="2" s="1"/>
  <c r="BI6" i="2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W17" i="2"/>
  <c r="CT17" i="2"/>
  <c r="CW18" i="2"/>
  <c r="CT18" i="2"/>
  <c r="CW19" i="2"/>
  <c r="CT19" i="2"/>
  <c r="CW20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J14" i="2"/>
  <c r="BM14" i="2" s="1"/>
  <c r="BJ22" i="2"/>
  <c r="BM22" i="2" s="1"/>
  <c r="BK69" i="2"/>
  <c r="CW7" i="2"/>
  <c r="CT7" i="2"/>
  <c r="CW8" i="2"/>
  <c r="CT8" i="2"/>
  <c r="CT13" i="2"/>
  <c r="CW13" i="2"/>
  <c r="CW21" i="2"/>
  <c r="CT21" i="2"/>
  <c r="CW24" i="2"/>
  <c r="CT24" i="2"/>
  <c r="CT27" i="2"/>
  <c r="CW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AS14" i="2"/>
  <c r="DI14" i="2" s="1"/>
  <c r="DJ26" i="2"/>
  <c r="AS7" i="2"/>
  <c r="DI7" i="2" s="1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N21" i="2" s="1"/>
  <c r="BK30" i="2"/>
  <c r="AK30" i="2"/>
  <c r="AN30" i="2"/>
  <c r="AT30" i="2"/>
  <c r="AL30" i="2"/>
  <c r="DE30" i="2" s="1"/>
  <c r="BA30" i="2"/>
  <c r="AW30" i="2"/>
  <c r="BK23" i="2"/>
  <c r="BN23" i="2" s="1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DI13" i="2" s="1"/>
  <c r="AS8" i="2"/>
  <c r="DI8" i="2" s="1"/>
  <c r="AV27" i="2"/>
  <c r="DF27" i="2" s="1"/>
  <c r="AT27" i="2"/>
  <c r="CZ12" i="2"/>
  <c r="AX12" i="2" s="1"/>
  <c r="CX6" i="2" l="1"/>
  <c r="CS24" i="2"/>
  <c r="BN24" i="2"/>
  <c r="CS13" i="2"/>
  <c r="BN13" i="2"/>
  <c r="CS18" i="2"/>
  <c r="BN18" i="2"/>
  <c r="CS16" i="2"/>
  <c r="BN16" i="2"/>
  <c r="CS14" i="2"/>
  <c r="BN14" i="2"/>
  <c r="CS17" i="2"/>
  <c r="CU17" i="2" s="1"/>
  <c r="BN17" i="2"/>
  <c r="CS12" i="2"/>
  <c r="CU12" i="2" s="1"/>
  <c r="BN12" i="2"/>
  <c r="CS28" i="2"/>
  <c r="CU28" i="2" s="1"/>
  <c r="BN28" i="2"/>
  <c r="CS25" i="2"/>
  <c r="BN25" i="2"/>
  <c r="CS20" i="2"/>
  <c r="BN20" i="2"/>
  <c r="CS11" i="2"/>
  <c r="CU11" i="2" s="1"/>
  <c r="BN11" i="2"/>
  <c r="AT19" i="2"/>
  <c r="DG106" i="2"/>
  <c r="AV11" i="2"/>
  <c r="DF11" i="2" s="1"/>
  <c r="CY12" i="2"/>
  <c r="DK12" i="2" s="1"/>
  <c r="CX77" i="2"/>
  <c r="AU19" i="2"/>
  <c r="BJ25" i="2"/>
  <c r="BM25" i="2" s="1"/>
  <c r="CY71" i="2"/>
  <c r="DK71" i="2" s="1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6" i="2"/>
  <c r="DB32" i="2"/>
  <c r="DB23" i="2"/>
  <c r="DB19" i="2"/>
  <c r="DB24" i="2"/>
  <c r="DB22" i="2"/>
  <c r="DB190" i="2"/>
  <c r="DB11" i="2"/>
  <c r="DB33" i="2"/>
  <c r="DB15" i="2"/>
  <c r="DB12" i="2"/>
  <c r="DB16" i="2"/>
  <c r="DB30" i="2"/>
  <c r="DB104" i="2"/>
  <c r="DG102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DG105" i="2"/>
  <c r="BV67" i="2"/>
  <c r="CY78" i="2"/>
  <c r="DK78" i="2" s="1"/>
  <c r="DH63" i="2"/>
  <c r="AS101" i="2"/>
  <c r="DI101" i="2" s="1"/>
  <c r="DH8" i="2"/>
  <c r="BV167" i="2"/>
  <c r="DB167" i="2" s="1"/>
  <c r="DI167" i="2"/>
  <c r="DI198" i="2" s="1"/>
  <c r="BJ101" i="2"/>
  <c r="BM101" i="2" s="1"/>
  <c r="DH15" i="2"/>
  <c r="DI130" i="2"/>
  <c r="DI162" i="2" s="1"/>
  <c r="AS162" i="2"/>
  <c r="BT93" i="2"/>
  <c r="BO121" i="2"/>
  <c r="CN121" i="2"/>
  <c r="BS93" i="2"/>
  <c r="BS54" i="2"/>
  <c r="BI121" i="2"/>
  <c r="BS121" i="2"/>
  <c r="BT121" i="2"/>
  <c r="CV121" i="2"/>
  <c r="BI93" i="2"/>
  <c r="CH54" i="2"/>
  <c r="CM54" i="2"/>
  <c r="DG62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DH65" i="2"/>
  <c r="AN19" i="2"/>
  <c r="DH33" i="2"/>
  <c r="AU11" i="2"/>
  <c r="CY63" i="2"/>
  <c r="DK63" i="2" s="1"/>
  <c r="DH25" i="2"/>
  <c r="AW11" i="2"/>
  <c r="BV110" i="2"/>
  <c r="DL79" i="2"/>
  <c r="CX113" i="2"/>
  <c r="AN11" i="2"/>
  <c r="AP11" i="2"/>
  <c r="AQ11" i="2" s="1"/>
  <c r="BA11" i="2"/>
  <c r="DG11" i="2" s="1"/>
  <c r="AK11" i="2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AK19" i="2"/>
  <c r="AV19" i="2"/>
  <c r="DF19" i="2" s="1"/>
  <c r="BA19" i="2"/>
  <c r="DG19" i="2" s="1"/>
  <c r="BV63" i="2"/>
  <c r="BV71" i="2"/>
  <c r="AW19" i="2"/>
  <c r="CU25" i="2"/>
  <c r="CX12" i="2"/>
  <c r="CF23" i="2"/>
  <c r="CL23" i="2" s="1"/>
  <c r="AL19" i="2"/>
  <c r="DE19" i="2" s="1"/>
  <c r="BV150" i="2"/>
  <c r="DB150" i="2" s="1"/>
  <c r="CZ20" i="2"/>
  <c r="CZ103" i="2"/>
  <c r="AM103" i="2" s="1"/>
  <c r="BV103" i="2"/>
  <c r="CZ13" i="2"/>
  <c r="CZ17" i="2"/>
  <c r="CZ108" i="2"/>
  <c r="AM108" i="2" s="1"/>
  <c r="BV108" i="2"/>
  <c r="CZ65" i="2"/>
  <c r="AO65" i="2" s="1"/>
  <c r="BV65" i="2"/>
  <c r="CZ111" i="2"/>
  <c r="AN111" i="2" s="1"/>
  <c r="BV111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14" i="2"/>
  <c r="AM6" i="2"/>
  <c r="AT6" i="2"/>
  <c r="AO6" i="2"/>
  <c r="DM186" i="2"/>
  <c r="AS6" i="2"/>
  <c r="DI6" i="2" s="1"/>
  <c r="DM188" i="2"/>
  <c r="CX20" i="2"/>
  <c r="BU67" i="2"/>
  <c r="BU75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110" i="2"/>
  <c r="BA6" i="2"/>
  <c r="DG6" i="2" s="1"/>
  <c r="AN6" i="2"/>
  <c r="AW6" i="2"/>
  <c r="AA203" i="2"/>
  <c r="DA6" i="2"/>
  <c r="AK6" i="2"/>
  <c r="AV6" i="2"/>
  <c r="DF6" i="2" s="1"/>
  <c r="CE6" i="2"/>
  <c r="CK6" i="2" s="1"/>
  <c r="DA32" i="2"/>
  <c r="CS7" i="2"/>
  <c r="CU7" i="2" s="1"/>
  <c r="DA23" i="2"/>
  <c r="BU101" i="2"/>
  <c r="DG25" i="2"/>
  <c r="CX73" i="2"/>
  <c r="BN84" i="2"/>
  <c r="DH24" i="2"/>
  <c r="DA16" i="2"/>
  <c r="DG104" i="2"/>
  <c r="CY101" i="2"/>
  <c r="CF27" i="2"/>
  <c r="CL27" i="2" s="1"/>
  <c r="CZ162" i="2"/>
  <c r="CM163" i="2" s="1"/>
  <c r="DA12" i="2"/>
  <c r="CX69" i="2"/>
  <c r="CX19" i="2"/>
  <c r="BU84" i="2"/>
  <c r="DA84" i="2" s="1"/>
  <c r="BU81" i="2"/>
  <c r="DA81" i="2" s="1"/>
  <c r="CU24" i="2"/>
  <c r="CI6" i="2"/>
  <c r="DJ6" i="2" s="1"/>
  <c r="DA22" i="2"/>
  <c r="DA27" i="2"/>
  <c r="BU79" i="2"/>
  <c r="DA79" i="2" s="1"/>
  <c r="DA33" i="2"/>
  <c r="DA28" i="2"/>
  <c r="CY13" i="2"/>
  <c r="DK13" i="2" s="1"/>
  <c r="CX7" i="2"/>
  <c r="CX10" i="2"/>
  <c r="CS105" i="2"/>
  <c r="CU105" i="2" s="1"/>
  <c r="CS75" i="2"/>
  <c r="CU75" i="2" s="1"/>
  <c r="BU114" i="2"/>
  <c r="DA114" i="2" s="1"/>
  <c r="BU82" i="2"/>
  <c r="DA82" i="2" s="1"/>
  <c r="DA24" i="2"/>
  <c r="CZ5" i="2"/>
  <c r="BU80" i="2"/>
  <c r="DA80" i="2" s="1"/>
  <c r="DA11" i="2"/>
  <c r="DA15" i="2"/>
  <c r="DA19" i="2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DA25" i="2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DH81" i="2"/>
  <c r="CX107" i="2"/>
  <c r="CX102" i="2"/>
  <c r="CU66" i="2"/>
  <c r="BN66" i="2"/>
  <c r="BU110" i="2"/>
  <c r="CI8" i="2"/>
  <c r="DJ8" i="2" s="1"/>
  <c r="CY107" i="2"/>
  <c r="DK107" i="2" s="1"/>
  <c r="DH13" i="2"/>
  <c r="CY104" i="2"/>
  <c r="DK104" i="2" s="1"/>
  <c r="CY9" i="2"/>
  <c r="DK9" i="2" s="1"/>
  <c r="CI18" i="2"/>
  <c r="DJ18" i="2" s="1"/>
  <c r="CF22" i="2"/>
  <c r="CL22" i="2" s="1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DH5" i="2"/>
  <c r="AL15" i="2"/>
  <c r="DE15" i="2" s="1"/>
  <c r="CU77" i="2"/>
  <c r="DH30" i="2"/>
  <c r="CS64" i="2"/>
  <c r="CU64" i="2" s="1"/>
  <c r="CU14" i="2"/>
  <c r="BU108" i="2"/>
  <c r="CX25" i="2"/>
  <c r="AL24" i="2"/>
  <c r="DE24" i="2" s="1"/>
  <c r="BU66" i="2"/>
  <c r="BU74" i="2"/>
  <c r="CY64" i="2"/>
  <c r="DK64" i="2" s="1"/>
  <c r="BN68" i="2"/>
  <c r="DH9" i="2"/>
  <c r="CU68" i="2"/>
  <c r="AV24" i="2"/>
  <c r="DF24" i="2" s="1"/>
  <c r="AT24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CU16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AK7" i="2" s="1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DJ13" i="2" s="1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U18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DJ7" i="2" s="1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AP24" i="2"/>
  <c r="AQ24" i="2" s="1"/>
  <c r="CS27" i="2"/>
  <c r="CU27" i="2" s="1"/>
  <c r="AM33" i="2"/>
  <c r="CX80" i="2"/>
  <c r="CX104" i="2"/>
  <c r="AK24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CS23" i="2"/>
  <c r="CU23" i="2" s="1"/>
  <c r="CW32" i="2"/>
  <c r="CY32" i="2" s="1"/>
  <c r="CV32" i="2"/>
  <c r="CV54" i="2" s="1"/>
  <c r="CS21" i="2"/>
  <c r="AP12" i="2"/>
  <c r="AQ12" i="2" s="1"/>
  <c r="BA5" i="2" l="1"/>
  <c r="AK5" i="2"/>
  <c r="DL109" i="2"/>
  <c r="DB102" i="2"/>
  <c r="DL105" i="2"/>
  <c r="BN101" i="2"/>
  <c r="DB162" i="2"/>
  <c r="AP5" i="2"/>
  <c r="AQ5" i="2" s="1"/>
  <c r="AX5" i="2"/>
  <c r="AT17" i="2"/>
  <c r="AX17" i="2"/>
  <c r="DJ54" i="2"/>
  <c r="CI54" i="2"/>
  <c r="DB18" i="2"/>
  <c r="AX18" i="2"/>
  <c r="DB10" i="2"/>
  <c r="AX10" i="2"/>
  <c r="AX7" i="2"/>
  <c r="AT13" i="2"/>
  <c r="AX13" i="2"/>
  <c r="AT20" i="2"/>
  <c r="AX20" i="2"/>
  <c r="DM150" i="2"/>
  <c r="DB71" i="2"/>
  <c r="DB75" i="2"/>
  <c r="DB9" i="2"/>
  <c r="DB7" i="2"/>
  <c r="DB77" i="2"/>
  <c r="DB109" i="2"/>
  <c r="DB105" i="2"/>
  <c r="DB111" i="2"/>
  <c r="DB108" i="2"/>
  <c r="DB13" i="2"/>
  <c r="DB20" i="2"/>
  <c r="DB63" i="2"/>
  <c r="DB21" i="2"/>
  <c r="DB14" i="2"/>
  <c r="DB69" i="2"/>
  <c r="DB72" i="2"/>
  <c r="DB74" i="2"/>
  <c r="DB62" i="2"/>
  <c r="DB106" i="2"/>
  <c r="DB8" i="2"/>
  <c r="DB64" i="2"/>
  <c r="DB78" i="2"/>
  <c r="DB76" i="2"/>
  <c r="DB5" i="2"/>
  <c r="DB65" i="2"/>
  <c r="DB17" i="2"/>
  <c r="DB103" i="2"/>
  <c r="DB73" i="2"/>
  <c r="DB110" i="2"/>
  <c r="DB67" i="2"/>
  <c r="DB70" i="2"/>
  <c r="AW20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DF17" i="2" s="1"/>
  <c r="AL17" i="2"/>
  <c r="DE17" i="2" s="1"/>
  <c r="AU103" i="2"/>
  <c r="AL65" i="2"/>
  <c r="DE65" i="2" s="1"/>
  <c r="AN17" i="2"/>
  <c r="AM17" i="2"/>
  <c r="AV103" i="2"/>
  <c r="DL103" i="2"/>
  <c r="DD19" i="2"/>
  <c r="AY22" i="2"/>
  <c r="AY19" i="2"/>
  <c r="AP13" i="2"/>
  <c r="AQ13" i="2" s="1"/>
  <c r="AT65" i="2"/>
  <c r="AX65" i="2"/>
  <c r="DA65" i="2"/>
  <c r="AP65" i="2"/>
  <c r="AQ65" i="2" s="1"/>
  <c r="AW65" i="2"/>
  <c r="DA13" i="2"/>
  <c r="AU65" i="2"/>
  <c r="DL65" i="2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AS121" i="2"/>
  <c r="BZ162" i="2"/>
  <c r="BX162" i="2"/>
  <c r="DH121" i="2"/>
  <c r="CZ54" i="2"/>
  <c r="CN55" i="2" s="1"/>
  <c r="CI93" i="2"/>
  <c r="CY121" i="2"/>
  <c r="DJ121" i="2"/>
  <c r="CT93" i="2"/>
  <c r="BV93" i="2"/>
  <c r="BY93" i="2" s="1"/>
  <c r="AN65" i="2"/>
  <c r="AN5" i="2"/>
  <c r="BY162" i="2"/>
  <c r="DA17" i="2"/>
  <c r="DD22" i="2"/>
  <c r="AV13" i="2"/>
  <c r="DF13" i="2" s="1"/>
  <c r="DA64" i="2"/>
  <c r="AW64" i="2"/>
  <c r="DA71" i="2"/>
  <c r="DA5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21" i="2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DA20" i="2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DA14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DF5" i="2" s="1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DG5" i="2"/>
  <c r="AN75" i="2"/>
  <c r="AY24" i="2"/>
  <c r="CF9" i="2"/>
  <c r="CL9" i="2" s="1"/>
  <c r="AM7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" i="2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DA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DA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DF8" i="2" s="1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8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DF14" i="2" s="1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DF21" i="2" s="1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DA18" i="2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DD12" i="2"/>
  <c r="AY12" i="2"/>
  <c r="CX32" i="2"/>
  <c r="DD23" i="2"/>
  <c r="AY23" i="2"/>
  <c r="DD20" i="2" l="1"/>
  <c r="DD17" i="2"/>
  <c r="AS125" i="2"/>
  <c r="AS126" i="2" s="1"/>
  <c r="DB93" i="2"/>
  <c r="CM55" i="2"/>
  <c r="DB54" i="2"/>
  <c r="BS55" i="2"/>
  <c r="BT55" i="2"/>
  <c r="DA54" i="2"/>
  <c r="DA93" i="2"/>
  <c r="DK93" i="2"/>
  <c r="DE54" i="2"/>
  <c r="DF54" i="2"/>
  <c r="DG54" i="2"/>
  <c r="DJ203" i="2"/>
  <c r="DJ204" i="2"/>
  <c r="DH204" i="2"/>
  <c r="DH203" i="2"/>
  <c r="AY17" i="2"/>
  <c r="AY20" i="2"/>
  <c r="DD65" i="2"/>
  <c r="DM65" i="2" s="1"/>
  <c r="AY65" i="2"/>
  <c r="DA162" i="2"/>
  <c r="DE62" i="2"/>
  <c r="AL93" i="2"/>
  <c r="DD111" i="2"/>
  <c r="CP121" i="2"/>
  <c r="AQ62" i="2"/>
  <c r="CP93" i="2"/>
  <c r="CU93" i="2"/>
  <c r="AU93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DD5" i="2"/>
  <c r="AY62" i="2"/>
  <c r="AY64" i="2"/>
  <c r="AY7" i="2"/>
  <c r="AW93" i="2"/>
  <c r="DD7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DD14" i="2"/>
  <c r="AY14" i="2"/>
  <c r="BN112" i="2"/>
  <c r="CS112" i="2"/>
  <c r="CS121" i="2" s="1"/>
  <c r="DD69" i="2"/>
  <c r="DM69" i="2" s="1"/>
  <c r="AY69" i="2"/>
  <c r="DD71" i="2"/>
  <c r="AY71" i="2"/>
  <c r="DD10" i="2"/>
  <c r="AY10" i="2"/>
  <c r="DE63" i="2"/>
  <c r="DK32" i="2"/>
  <c r="DK54" i="2" s="1"/>
  <c r="DE93" i="2" l="1"/>
  <c r="DD54" i="2"/>
  <c r="DL93" i="2"/>
  <c r="DK203" i="2"/>
  <c r="DK204" i="2"/>
  <c r="DM162" i="2"/>
  <c r="DM111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BU191" i="2"/>
  <c r="AM191" i="2"/>
  <c r="AW191" i="2" l="1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L16" i="2" l="1"/>
  <c r="DM16" i="2" s="1"/>
  <c r="DL22" i="2"/>
  <c r="DM22" i="2" s="1"/>
  <c r="DL7" i="2"/>
  <c r="DM7" i="2" s="1"/>
  <c r="DL13" i="2"/>
  <c r="DM13" i="2" s="1"/>
  <c r="DL19" i="2"/>
  <c r="DM19" i="2" s="1"/>
  <c r="DL11" i="2" l="1"/>
  <c r="DM11" i="2" s="1"/>
  <c r="DL12" i="2"/>
  <c r="DM12" i="2" s="1"/>
  <c r="DL17" i="2"/>
  <c r="DM17" i="2" s="1"/>
  <c r="DL23" i="2"/>
  <c r="DM23" i="2" s="1"/>
  <c r="DL32" i="2"/>
  <c r="DM32" i="2" s="1"/>
  <c r="DL27" i="2"/>
  <c r="DM27" i="2" s="1"/>
  <c r="DL9" i="2"/>
  <c r="DM9" i="2" s="1"/>
  <c r="DL20" i="2"/>
  <c r="DM20" i="2" s="1"/>
  <c r="DL24" i="2"/>
  <c r="DM24" i="2" s="1"/>
  <c r="DL15" i="2"/>
  <c r="DM15" i="2" s="1"/>
  <c r="DL8" i="2"/>
  <c r="DM8" i="2" s="1"/>
  <c r="DL33" i="2"/>
  <c r="DM33" i="2" s="1"/>
  <c r="DL18" i="2"/>
  <c r="DM18" i="2" s="1"/>
  <c r="DL21" i="2"/>
  <c r="DM21" i="2" s="1"/>
  <c r="DL10" i="2"/>
  <c r="DM10" i="2" s="1"/>
  <c r="DL14" i="2"/>
  <c r="DM14" i="2" s="1"/>
  <c r="CP54" i="2"/>
  <c r="DL5" i="2"/>
  <c r="DM5" i="2" s="1"/>
  <c r="DL25" i="2"/>
  <c r="DM25" i="2" s="1"/>
  <c r="DL29" i="2"/>
  <c r="DM29" i="2" s="1"/>
  <c r="DL6" i="2"/>
  <c r="DM6" i="2" s="1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BU115" i="2" l="1"/>
  <c r="BR121" i="2"/>
  <c r="CZ115" i="2"/>
  <c r="AT115" i="2" s="1"/>
  <c r="BV115" i="2"/>
  <c r="BZ121" i="2" s="1"/>
  <c r="DA115" i="2" l="1"/>
  <c r="DA121" i="2" s="1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AK203" i="2"/>
  <c r="AK204" i="2"/>
  <c r="AY115" i="2"/>
  <c r="AY121" i="2" s="1"/>
  <c r="DD115" i="2"/>
  <c r="DD121" i="2" s="1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CN203" i="2" l="1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  <c r="DG38" i="2"/>
  <c r="BA38" i="2"/>
  <c r="BM40" i="2"/>
  <c r="BJ40" i="2"/>
  <c r="CU36" i="2"/>
  <c r="CS36" i="2"/>
  <c r="DG36" i="2"/>
  <c r="BA36" i="2"/>
  <c r="Z203" i="2"/>
  <c r="AR203" i="2"/>
  <c r="DE34" i="2"/>
  <c r="AL34" i="2"/>
  <c r="DI36" i="2"/>
  <c r="AS36" i="2"/>
  <c r="BM38" i="2"/>
  <c r="BJ38" i="2"/>
  <c r="DI38" i="2"/>
  <c r="AS38" i="2"/>
  <c r="AP38" i="2"/>
  <c r="AJ38" i="2"/>
  <c r="AQ38" i="2"/>
  <c r="DM40" i="2"/>
  <c r="DA40" i="2"/>
  <c r="BU40" i="2"/>
  <c r="DI40" i="2"/>
  <c r="AS40" i="2"/>
  <c r="AY36" i="2"/>
  <c r="AT36" i="2"/>
  <c r="DD36" i="2"/>
  <c r="DB40" i="2"/>
  <c r="BR40" i="2"/>
  <c r="BV40" i="2"/>
  <c r="DA34" i="2"/>
  <c r="DM34" i="2"/>
  <c r="AP40" i="2"/>
  <c r="DF34" i="2"/>
  <c r="AV34" i="2"/>
  <c r="DE38" i="2"/>
  <c r="AL38" i="2"/>
  <c r="DD34" i="2"/>
  <c r="AT34" i="2"/>
  <c r="AY34" i="2"/>
  <c r="AR36" i="2"/>
  <c r="BK36" i="2"/>
  <c r="BN36" i="2"/>
  <c r="AI203" i="2"/>
  <c r="AI54" i="2"/>
  <c r="AI204" i="2"/>
  <c r="DE40" i="2"/>
  <c r="AL40" i="2"/>
  <c r="CU34" i="2"/>
  <c r="CS34" i="2"/>
  <c r="DF40" i="2"/>
  <c r="AV40" i="2"/>
  <c r="BU38" i="2"/>
  <c r="DA38" i="2"/>
  <c r="DM38" i="2"/>
  <c r="BM36" i="2"/>
  <c r="BJ36" i="2"/>
  <c r="CU40" i="2"/>
  <c r="CS40" i="2"/>
  <c r="BX204" i="2"/>
  <c r="BU34" i="2"/>
  <c r="BX54" i="2"/>
  <c r="BX203" i="2"/>
  <c r="AP34" i="2"/>
  <c r="BW204" i="2"/>
  <c r="BU54" i="2"/>
  <c r="BW54" i="2"/>
  <c r="BW203" i="2"/>
  <c r="DG40" i="2"/>
  <c r="BA40" i="2"/>
  <c r="AJ36" i="2"/>
  <c r="AQ36" i="2"/>
  <c r="DG34" i="2"/>
  <c r="BA34" i="2"/>
  <c r="AR40" i="2"/>
  <c r="BK40" i="2"/>
  <c r="BN40" i="2"/>
  <c r="DI204" i="2"/>
  <c r="DI34" i="2"/>
  <c r="DI54" i="2"/>
  <c r="DI203" i="2"/>
  <c r="AS203" i="2"/>
  <c r="AS34" i="2"/>
  <c r="AS54" i="2"/>
  <c r="AS204" i="2"/>
  <c r="AY38" i="2"/>
  <c r="AT38" i="2"/>
  <c r="DD38" i="2"/>
  <c r="DB36" i="2"/>
  <c r="BV36" i="2"/>
  <c r="CU38" i="2"/>
  <c r="CS38" i="2"/>
  <c r="DE36" i="2"/>
  <c r="AL36" i="2"/>
  <c r="BK34" i="2"/>
  <c r="BN34" i="2"/>
  <c r="DF38" i="2"/>
  <c r="AV38" i="2"/>
  <c r="BY204" i="2"/>
  <c r="BV54" i="2"/>
  <c r="BY54" i="2"/>
  <c r="BY203" i="2"/>
  <c r="BR36" i="2"/>
  <c r="BU36" i="2"/>
  <c r="DA36" i="2"/>
  <c r="DM36" i="2"/>
  <c r="Y54" i="2"/>
  <c r="AJ204" i="2"/>
  <c r="AQ34" i="2"/>
  <c r="AR38" i="2"/>
  <c r="BK38" i="2"/>
  <c r="BN38" i="2"/>
  <c r="AP36" i="2"/>
  <c r="DD40" i="2"/>
  <c r="AT40" i="2"/>
  <c r="AY40" i="2"/>
  <c r="Z54" i="2"/>
  <c r="AR34" i="2"/>
  <c r="AR54" i="2"/>
  <c r="AR204" i="2"/>
  <c r="AJ54" i="2"/>
  <c r="AJ203" i="2"/>
  <c r="Y203" i="2"/>
  <c r="AJ34" i="2"/>
  <c r="BJ34" i="2"/>
  <c r="BM34" i="2"/>
  <c r="BR38" i="2"/>
  <c r="BV38" i="2"/>
  <c r="DB38" i="2"/>
  <c r="AO36" i="2"/>
  <c r="AN36" i="2"/>
  <c r="AU36" i="2"/>
  <c r="AM36" i="2"/>
  <c r="AW36" i="2"/>
  <c r="AK36" i="2"/>
  <c r="AX36" i="2"/>
  <c r="BR54" i="2"/>
  <c r="BR55" i="2"/>
  <c r="BZ203" i="2"/>
  <c r="BZ54" i="2"/>
  <c r="BZ204" i="2"/>
  <c r="AN34" i="2"/>
  <c r="AX34" i="2"/>
  <c r="AO34" i="2"/>
  <c r="AU34" i="2"/>
  <c r="AM34" i="2"/>
  <c r="AK34" i="2"/>
  <c r="CZ34" i="2"/>
  <c r="AW34" i="2"/>
  <c r="AG34" i="2"/>
  <c r="AI34" i="2"/>
  <c r="BR34" i="2"/>
  <c r="BV34" i="2"/>
  <c r="DB34" i="2"/>
  <c r="AJ40" i="2"/>
  <c r="AQ40" i="2"/>
  <c r="AM40" i="2"/>
  <c r="AO40" i="2"/>
  <c r="AK40" i="2"/>
  <c r="AW40" i="2"/>
  <c r="AN40" i="2"/>
  <c r="AU40" i="2"/>
  <c r="AG40" i="2"/>
  <c r="AI40" i="2"/>
  <c r="CZ40" i="2"/>
  <c r="AX40" i="2"/>
  <c r="AO38" i="2"/>
  <c r="AU38" i="2"/>
  <c r="AX38" i="2"/>
  <c r="AW38" i="2"/>
  <c r="AM38" i="2"/>
  <c r="AK38" i="2"/>
  <c r="AG38" i="2"/>
  <c r="AI38" i="2"/>
  <c r="CZ38" i="2"/>
  <c r="AN38" i="2"/>
  <c r="AG36" i="2"/>
  <c r="AI36" i="2"/>
  <c r="CZ36" i="2"/>
  <c r="AV36" i="2"/>
  <c r="DF3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 xr:uid="{00000000-0006-0000-01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<sst xmlns="http://schemas.openxmlformats.org/spreadsheetml/2006/main" count="1873" uniqueCount="521">
  <si>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</si>
  <si>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</si>
  <si>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</si>
  <si>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</si>
  <si>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</si>
  <si>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</si>
  <si>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</si>
  <si>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</si>
  <si>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</si>
  <si>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</si>
  <si>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</si>
  <si>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</si>
  <si>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</si>
  <si>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</si>
  <si>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</si>
  <si>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</si>
  <si>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</si>
  <si>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</si>
  <si>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</si>
  <si>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</si>
  <si>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</si>
  <si>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</si>
  <si>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</si>
  <si>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</si>
  <si>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</si>
  <si>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</si>
  <si>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</si>
  <si>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</si>
  <si>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</si>
  <si>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</si>
  <si>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</si>
  <si>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</si>
  <si>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</si>
  <si>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</si>
  <si>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</si>
  <si>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</si>
  <si>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</si>
  <si>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</si>
  <si>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</si>
  <si>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</si>
  <si>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</si>
  <si>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</si>
  <si>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</si>
  <si>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</si>
  <si>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</si>
  <si>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</si>
  <si>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</si>
  <si>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</si>
  <si>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</si>
  <si>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</si>
  <si>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</si>
  <si>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</si>
  <si>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</si>
  <si>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</si>
  <si>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</si>
  <si>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</si>
  <si>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</si>
  <si>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</si>
  <si>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</si>
  <si>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</si>
  <si>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</si>
  <si>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</si>
  <si>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</si>
  <si>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</si>
  <si>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</si>
  <si>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</si>
  <si>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</si>
  <si>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</si>
  <si>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</si>
  <si>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</si>
  <si>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</si>
  <si>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</si>
  <si>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</si>
  <si>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</si>
  <si>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</si>
  <si>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</si>
  <si>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</si>
  <si>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</si>
  <si>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</si>
  <si>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</si>
  <si>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</si>
  <si>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</si>
  <si>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</si>
  <si>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</si>
  <si>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</si>
  <si>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</si>
  <si>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</si>
  <si>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</si>
  <si>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</si>
  <si>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</si>
  <si>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</si>
  <si>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</si>
  <si>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</si>
  <si>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</si>
  <si>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</si>
  <si>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</si>
  <si>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</si>
  <si>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</si>
  <si>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</si>
  <si>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</si>
  <si>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Rdam для НДПИ (Platts) с учетом freight, $/барр.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</si>
  <si>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</si>
  <si>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</si>
  <si>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</si>
  <si>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</si>
  <si>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</si>
  <si>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</si>
  <si>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</si>
  <si>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</si>
  <si>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</si>
  <si>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</si>
  <si>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</si>
  <si>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</si>
  <si>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</si>
  <si>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</si>
  <si>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</si>
  <si>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</si>
  <si>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</si>
  <si>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</si>
  <si>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</si>
  <si>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</si>
  <si>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</si>
  <si>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</si>
  <si>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</si>
  <si>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</si>
  <si>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</si>
  <si>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</si>
  <si>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</si>
  <si>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</si>
  <si>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</si>
  <si>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</si>
  <si>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</si>
  <si>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</si>
  <si>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</si>
  <si>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</si>
  <si>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</si>
  <si>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</si>
  <si>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</si>
  <si>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</si>
  <si>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</si>
  <si>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</si>
  <si>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</si>
  <si>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</si>
  <si>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</si>
  <si>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</si>
  <si>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</si>
  <si>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</si>
  <si>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</si>
  <si>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</si>
  <si>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</si>
  <si>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</si>
  <si>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</si>
  <si>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</si>
  <si>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</si>
  <si>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</si>
  <si>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</si>
  <si>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</si>
  <si>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</si>
  <si>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</si>
  <si>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</si>
  <si>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</si>
  <si>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</si>
  <si>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</si>
  <si>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</si>
  <si>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</si>
  <si>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</si>
  <si>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</si>
  <si>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</si>
  <si>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</si>
  <si>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</si>
  <si>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</si>
  <si>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</si>
  <si>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</si>
  <si>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</si>
  <si>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</si>
  <si>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</si>
  <si>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</si>
  <si>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</si>
  <si>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</si>
  <si>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</si>
  <si>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</si>
  <si>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</si>
  <si>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</si>
  <si>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</si>
  <si>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</si>
  <si>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</si>
  <si>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</si>
  <si>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</si>
  <si>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</si>
  <si>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</si>
  <si>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</si>
  <si>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</si>
  <si>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</si>
  <si>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</si>
  <si>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</si>
  <si>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</si>
  <si>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</si>
  <si>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</si>
  <si>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</si>
  <si>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</si>
  <si>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</si>
  <si>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</si>
  <si>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</si>
  <si>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</si>
  <si>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</si>
  <si>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</si>
  <si>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</si>
  <si>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</si>
  <si>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</si>
  <si>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</si>
  <si>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</si>
  <si>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</si>
  <si>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</si>
  <si>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</si>
  <si>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</si>
  <si>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</si>
  <si>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</si>
  <si>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</si>
  <si>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</si>
  <si>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</si>
  <si>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</si>
  <si>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</si>
  <si>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</si>
  <si>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</si>
  <si>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</si>
  <si>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</si>
  <si>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</si>
  <si>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</si>
  <si>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</si>
  <si>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</si>
  <si>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</si>
  <si>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</si>
  <si>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</si>
  <si>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</si>
  <si>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</si>
  <si>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</si>
  <si>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</si>
  <si>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</si>
  <si>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</si>
  <si>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</si>
  <si>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</si>
  <si>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</si>
  <si>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</si>
  <si>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</si>
  <si>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</si>
  <si>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</si>
  <si>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</si>
  <si>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</si>
  <si>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</si>
  <si>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</si>
  <si>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</si>
  <si>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</si>
  <si>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</si>
  <si>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</si>
  <si>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</si>
  <si>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</si>
  <si>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</si>
  <si>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</si>
  <si>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</si>
  <si>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</si>
  <si>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</si>
  <si>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</si>
  <si>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</si>
  <si>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</si>
  <si>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</si>
  <si>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</si>
  <si>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</si>
  <si>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</si>
  <si>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</si>
  <si>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</si>
  <si>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</si>
  <si>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</si>
  <si>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</si>
  <si>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</si>
  <si>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</si>
  <si>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</si>
  <si>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</si>
  <si>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</si>
  <si>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</si>
  <si>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</si>
  <si>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</si>
  <si>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</si>
  <si>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</si>
  <si>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</si>
  <si>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</si>
  <si>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</si>
  <si>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</si>
  <si>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</si>
  <si>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</si>
  <si>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</si>
  <si>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</si>
  <si>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</si>
  <si>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</si>
  <si>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</si>
  <si>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</si>
  <si>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</si>
  <si>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</si>
  <si>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</si>
  <si>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</si>
  <si>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</si>
  <si>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</si>
  <si>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</si>
  <si>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</si>
  <si>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</si>
  <si>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</si>
  <si>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</si>
  <si>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</si>
  <si>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</si>
  <si>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</si>
  <si>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</si>
  <si>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</si>
  <si>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</si>
  <si>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</si>
  <si>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</si>
  <si>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</si>
  <si>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</si>
  <si>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</si>
  <si>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</si>
  <si>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</si>
  <si>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</si>
  <si>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</si>
  <si>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</si>
  <si>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</si>
  <si>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</si>
  <si>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</si>
  <si>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</si>
  <si>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</si>
  <si>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</si>
  <si>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</si>
  <si>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</si>
  <si>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</si>
  <si>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</si>
  <si>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</si>
  <si>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</si>
  <si>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</si>
  <si>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</si>
  <si>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</si>
  <si>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</si>
  <si>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</si>
  <si>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</si>
  <si>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</si>
  <si>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</si>
  <si>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</si>
  <si>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</si>
  <si>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</si>
  <si>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</si>
  <si>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</si>
  <si>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</si>
  <si>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</si>
  <si>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</si>
  <si>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</si>
  <si>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</si>
  <si>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</si>
  <si>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</si>
  <si>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</si>
  <si>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</si>
  <si>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</si>
  <si>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</si>
  <si>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</si>
  <si>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</si>
  <si>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</si>
  <si>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</si>
  <si>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</si>
  <si>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</si>
  <si>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</si>
  <si>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</si>
  <si>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</si>
  <si>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</si>
  <si>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</si>
  <si>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</si>
  <si>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</si>
  <si>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</si>
  <si>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</si>
  <si>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</si>
  <si>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</si>
  <si>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</si>
  <si>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</si>
  <si>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</si>
  <si>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</si>
  <si>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</si>
  <si>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</si>
  <si>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</si>
  <si>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</si>
  <si>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</si>
  <si>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</si>
  <si>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</si>
  <si>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</si>
  <si>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</si>
  <si>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</si>
  <si>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</si>
  <si>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</si>
  <si>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</si>
  <si>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</si>
  <si>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</si>
  <si>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</si>
  <si>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</si>
  <si>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</si>
  <si>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</si>
  <si>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</si>
  <si>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</si>
  <si>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</si>
  <si>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</si>
  <si>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</si>
  <si>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</si>
  <si>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</si>
  <si>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</si>
  <si>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</si>
  <si>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</si>
  <si>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</si>
  <si>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</si>
  <si>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</si>
  <si>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</si>
  <si>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</si>
  <si>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</si>
  <si>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</si>
  <si>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</si>
  <si>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</si>
  <si>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</si>
  <si>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</si>
  <si>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</si>
  <si>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</si>
  <si>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</si>
  <si>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</si>
  <si>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</si>
  <si>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</si>
  <si>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</si>
  <si>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</si>
  <si>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</si>
  <si>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</si>
  <si>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</si>
  <si>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</si>
  <si>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</si>
  <si>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</si>
  <si>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</si>
  <si>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</si>
  <si>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</si>
  <si>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</si>
  <si>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</si>
  <si>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</si>
  <si>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</si>
  <si>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</si>
  <si>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</si>
  <si>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</si>
  <si>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</si>
  <si>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</si>
  <si>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</si>
  <si>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</si>
  <si>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</si>
  <si>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</si>
  <si>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</si>
  <si>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</si>
  <si>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</si>
  <si>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</si>
  <si>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</si>
  <si>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</si>
  <si>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</si>
  <si>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</si>
  <si>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</si>
  <si>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</si>
  <si>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</si>
  <si>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</si>
  <si>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</si>
  <si>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</si>
  <si>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</si>
  <si>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</si>
  <si>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</si>
  <si>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</si>
  <si>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</si>
  <si>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</si>
  <si>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</si>
  <si>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</si>
  <si>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</si>
  <si>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</si>
  <si>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</si>
  <si>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</si>
  <si>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</si>
  <si>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</si>
  <si>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</si>
  <si>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</si>
  <si>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</si>
  <si>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</si>
  <si>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</si>
  <si>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</si>
  <si>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</si>
  <si>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</si>
  <si>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</si>
  <si>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</si>
  <si>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</si>
  <si>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</si>
  <si>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</si>
  <si>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</si>
  <si>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</si>
  <si>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</si>
  <si>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</si>
  <si>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</si>
  <si>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</si>
  <si>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</si>
  <si>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</si>
  <si>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</si>
  <si>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</si>
  <si>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</si>
  <si>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</si>
  <si>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</si>
  <si>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</si>
  <si>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</si>
  <si>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</si>
  <si>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</si>
  <si>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</si>
  <si>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</si>
  <si>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</si>
  <si>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</si>
  <si>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</si>
  <si>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</si>
  <si>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</si>
  <si>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</si>
  <si>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</si>
  <si>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</si>
  <si>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</si>
  <si>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</si>
  <si>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 xml:space="preserve"> 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</si>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</sst>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  <numFmt numFmtId="182" formatCode="[$-419]mmmm;@"/>
  </numFmts>
  <fonts count="60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14">
    <xf numFmtId="0" fontId="0" fillId="0" borderId="0"/>
    <xf numFmtId="0" fontId="21" fillId="0" borderId="0"/>
    <xf numFmtId="0" fontId="39" fillId="0" borderId="0"/>
    <xf numFmtId="0" fontId="41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9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  <xf numFmtId="0" fontId="57" fillId="28" borderId="79" applyNumberFormat="0" applyFont="0" applyAlignment="0" applyProtection="0"/>
    <xf numFmtId="0" fontId="58" fillId="0" borderId="78" applyNumberFormat="0" applyFill="0" applyAlignment="0" applyProtection="0"/>
    <xf numFmtId="0" fontId="57" fillId="0" borderId="0"/>
  </cellStyleXfs>
  <cellXfs count="1481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166" fontId="3" fillId="0" borderId="8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3" fontId="8" fillId="12" borderId="0" xfId="0" applyNumberFormat="1" applyFont="1" applyFill="1" applyBorder="1" applyAlignment="1">
      <alignment horizontal="center" vertical="center"/>
    </xf>
    <xf numFmtId="164" fontId="8" fillId="12" borderId="0" xfId="0" applyNumberFormat="1" applyFont="1" applyFill="1" applyBorder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vertical="center"/>
    </xf>
    <xf numFmtId="168" fontId="3" fillId="0" borderId="8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Fill="1" applyBorder="1" applyAlignment="1">
      <alignment horizontal="center" vertical="center"/>
    </xf>
    <xf numFmtId="4" fontId="7" fillId="12" borderId="0" xfId="0" applyNumberFormat="1" applyFont="1" applyFill="1" applyBorder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Fill="1" applyBorder="1" applyAlignment="1">
      <alignment horizontal="center" vertical="center"/>
    </xf>
    <xf numFmtId="166" fontId="3" fillId="0" borderId="16" xfId="0" applyNumberFormat="1" applyFont="1" applyFill="1" applyBorder="1" applyAlignment="1">
      <alignment horizontal="center" vertical="center"/>
    </xf>
    <xf numFmtId="166" fontId="7" fillId="12" borderId="0" xfId="0" applyNumberFormat="1" applyFont="1" applyFill="1" applyBorder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Fill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Fill="1" applyBorder="1" applyAlignment="1">
      <alignment horizontal="center" vertical="center"/>
    </xf>
    <xf numFmtId="4" fontId="8" fillId="12" borderId="0" xfId="0" applyNumberFormat="1" applyFont="1" applyFill="1" applyBorder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vertical="center"/>
    </xf>
    <xf numFmtId="166" fontId="3" fillId="0" borderId="12" xfId="0" applyNumberFormat="1" applyFont="1" applyFill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25" xfId="0" applyNumberFormat="1" applyFont="1" applyFill="1" applyBorder="1" applyAlignment="1">
      <alignment horizontal="center" vertical="center"/>
    </xf>
    <xf numFmtId="4" fontId="14" fillId="0" borderId="33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right" vertical="center"/>
    </xf>
    <xf numFmtId="2" fontId="8" fillId="0" borderId="24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Fill="1" applyBorder="1" applyAlignment="1">
      <alignment horizontal="center" vertical="center"/>
    </xf>
    <xf numFmtId="4" fontId="13" fillId="0" borderId="3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Border="1" applyAlignment="1">
      <alignment horizontal="center" vertical="center"/>
    </xf>
    <xf numFmtId="166" fontId="7" fillId="6" borderId="0" xfId="0" applyNumberFormat="1" applyFont="1" applyFill="1" applyBorder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vertical="center"/>
    </xf>
    <xf numFmtId="166" fontId="7" fillId="0" borderId="0" xfId="0" applyNumberFormat="1" applyFont="1" applyBorder="1" applyAlignment="1">
      <alignment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Fill="1" applyBorder="1" applyAlignment="1">
      <alignment horizontal="center" vertical="center"/>
    </xf>
    <xf numFmtId="14" fontId="3" fillId="0" borderId="16" xfId="0" applyNumberFormat="1" applyFont="1" applyFill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8" fillId="0" borderId="24" xfId="0" applyNumberFormat="1" applyFont="1" applyFill="1" applyBorder="1" applyAlignment="1">
      <alignment horizontal="center" vertical="center"/>
    </xf>
    <xf numFmtId="3" fontId="3" fillId="0" borderId="16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4" fontId="8" fillId="0" borderId="33" xfId="0" applyNumberFormat="1" applyFont="1" applyFill="1" applyBorder="1" applyAlignment="1">
      <alignment horizontal="center" vertical="center"/>
    </xf>
    <xf numFmtId="3" fontId="8" fillId="0" borderId="25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8" fillId="0" borderId="4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1" fillId="0" borderId="2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4" fontId="3" fillId="8" borderId="0" xfId="0" applyNumberFormat="1" applyFont="1" applyFill="1" applyBorder="1" applyAlignment="1">
      <alignment horizontal="center" vertical="center"/>
    </xf>
    <xf numFmtId="4" fontId="1" fillId="0" borderId="0" xfId="0" applyNumberFormat="1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Border="1" applyAlignment="1">
      <alignment horizontal="center" vertical="center"/>
    </xf>
    <xf numFmtId="4" fontId="8" fillId="0" borderId="25" xfId="0" applyNumberFormat="1" applyFont="1" applyFill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Fill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Border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Fill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Fill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Fill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2" fontId="1" fillId="0" borderId="0" xfId="0" applyNumberFormat="1" applyFont="1" applyBorder="1" applyAlignment="1">
      <alignment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3" fillId="0" borderId="0" xfId="0" applyNumberFormat="1" applyFont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Fill="1" applyBorder="1" applyAlignment="1">
      <alignment horizontal="center" vertical="center" wrapText="1"/>
    </xf>
    <xf numFmtId="3" fontId="16" fillId="0" borderId="25" xfId="0" applyNumberFormat="1" applyFont="1" applyFill="1" applyBorder="1" applyAlignment="1">
      <alignment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7" fillId="0" borderId="25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vertical="center"/>
    </xf>
    <xf numFmtId="3" fontId="3" fillId="0" borderId="25" xfId="0" applyNumberFormat="1" applyFont="1" applyFill="1" applyBorder="1" applyAlignment="1">
      <alignment horizontal="center" vertical="center"/>
    </xf>
    <xf numFmtId="3" fontId="1" fillId="0" borderId="25" xfId="0" applyNumberFormat="1" applyFont="1" applyFill="1" applyBorder="1" applyAlignment="1">
      <alignment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Fill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3" fontId="3" fillId="0" borderId="3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9" fontId="3" fillId="0" borderId="4" xfId="0" applyNumberFormat="1" applyFont="1" applyFill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Fill="1" applyBorder="1" applyAlignment="1">
      <alignment horizontal="center" vertical="center"/>
    </xf>
    <xf numFmtId="4" fontId="3" fillId="0" borderId="4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Fill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Border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Fill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Border="1" applyAlignment="1">
      <alignment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9" fontId="3" fillId="0" borderId="8" xfId="0" applyNumberFormat="1" applyFont="1" applyFill="1" applyBorder="1" applyAlignment="1">
      <alignment horizontal="center" vertical="center"/>
    </xf>
    <xf numFmtId="169" fontId="7" fillId="12" borderId="0" xfId="0" applyNumberFormat="1" applyFont="1" applyFill="1" applyBorder="1" applyAlignment="1">
      <alignment vertical="center"/>
    </xf>
    <xf numFmtId="169" fontId="8" fillId="0" borderId="0" xfId="0" applyNumberFormat="1" applyFont="1" applyFill="1" applyBorder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9" fontId="3" fillId="8" borderId="0" xfId="0" applyNumberFormat="1" applyFont="1" applyFill="1" applyBorder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7" fillId="6" borderId="0" xfId="0" applyNumberFormat="1" applyFont="1" applyFill="1" applyBorder="1" applyAlignment="1">
      <alignment horizontal="center" vertical="center"/>
    </xf>
    <xf numFmtId="3" fontId="7" fillId="12" borderId="0" xfId="0" applyNumberFormat="1" applyFont="1" applyFill="1" applyBorder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/>
    </xf>
    <xf numFmtId="3" fontId="2" fillId="0" borderId="15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14" fontId="24" fillId="0" borderId="8" xfId="0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/>
    </xf>
    <xf numFmtId="14" fontId="24" fillId="0" borderId="16" xfId="0" applyNumberFormat="1" applyFont="1" applyFill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14" fontId="24" fillId="0" borderId="14" xfId="0" quotePrefix="1" applyNumberFormat="1" applyFont="1" applyFill="1" applyBorder="1" applyAlignment="1">
      <alignment horizontal="center" vertical="center"/>
    </xf>
    <xf numFmtId="166" fontId="24" fillId="0" borderId="8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6" fillId="0" borderId="30" xfId="0" applyNumberFormat="1" applyFont="1" applyFill="1" applyBorder="1" applyAlignment="1">
      <alignment horizontal="center" vertical="center"/>
    </xf>
    <xf numFmtId="166" fontId="24" fillId="0" borderId="16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24" fillId="0" borderId="14" xfId="0" applyNumberFormat="1" applyFont="1" applyFill="1" applyBorder="1" applyAlignment="1">
      <alignment horizontal="center" vertical="center"/>
    </xf>
    <xf numFmtId="4" fontId="24" fillId="0" borderId="8" xfId="0" applyNumberFormat="1" applyFont="1" applyFill="1" applyBorder="1" applyAlignment="1">
      <alignment horizontal="center" vertical="center"/>
    </xf>
    <xf numFmtId="4" fontId="24" fillId="0" borderId="14" xfId="0" applyNumberFormat="1" applyFont="1" applyFill="1" applyBorder="1" applyAlignment="1">
      <alignment horizontal="center" vertical="center"/>
    </xf>
    <xf numFmtId="169" fontId="24" fillId="0" borderId="8" xfId="0" applyNumberFormat="1" applyFont="1" applyFill="1" applyBorder="1" applyAlignment="1">
      <alignment horizontal="center" vertical="center"/>
    </xf>
    <xf numFmtId="169" fontId="24" fillId="0" borderId="16" xfId="0" applyNumberFormat="1" applyFont="1" applyFill="1" applyBorder="1" applyAlignment="1">
      <alignment horizontal="center" vertical="center"/>
    </xf>
    <xf numFmtId="4" fontId="25" fillId="0" borderId="29" xfId="0" applyNumberFormat="1" applyFont="1" applyFill="1" applyBorder="1" applyAlignment="1">
      <alignment horizontal="center" vertical="center"/>
    </xf>
    <xf numFmtId="4" fontId="24" fillId="0" borderId="29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Fill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Fill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Fill="1" applyBorder="1" applyAlignment="1">
      <alignment horizontal="center" vertical="center" wrapText="1"/>
    </xf>
    <xf numFmtId="3" fontId="24" fillId="0" borderId="8" xfId="0" quotePrefix="1" applyNumberFormat="1" applyFont="1" applyFill="1" applyBorder="1" applyAlignment="1">
      <alignment horizontal="center" vertical="center" wrapText="1"/>
    </xf>
    <xf numFmtId="3" fontId="1" fillId="0" borderId="8" xfId="0" quotePrefix="1" applyNumberFormat="1" applyFont="1" applyFill="1" applyBorder="1" applyAlignment="1">
      <alignment horizontal="center" vertical="center" wrapText="1"/>
    </xf>
    <xf numFmtId="4" fontId="32" fillId="13" borderId="1" xfId="0" applyNumberFormat="1" applyFont="1" applyFill="1" applyBorder="1" applyAlignment="1">
      <alignment horizontal="center" vertical="center" wrapText="1"/>
    </xf>
    <xf numFmtId="4" fontId="32" fillId="13" borderId="2" xfId="0" applyNumberFormat="1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4" fontId="32" fillId="3" borderId="2" xfId="0" applyNumberFormat="1" applyFont="1" applyFill="1" applyBorder="1" applyAlignment="1">
      <alignment horizontal="center" vertical="center" wrapText="1"/>
    </xf>
    <xf numFmtId="4" fontId="19" fillId="6" borderId="1" xfId="0" applyNumberFormat="1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3" fontId="19" fillId="0" borderId="25" xfId="0" applyNumberFormat="1" applyFont="1" applyFill="1" applyBorder="1" applyAlignment="1">
      <alignment horizontal="center" vertical="center" wrapText="1"/>
    </xf>
    <xf numFmtId="2" fontId="19" fillId="6" borderId="1" xfId="0" applyNumberFormat="1" applyFont="1" applyFill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Fill="1" applyBorder="1" applyAlignment="1">
      <alignment horizontal="center" vertical="center"/>
    </xf>
    <xf numFmtId="3" fontId="28" fillId="0" borderId="7" xfId="0" quotePrefix="1" applyNumberFormat="1" applyFont="1" applyFill="1" applyBorder="1" applyAlignment="1">
      <alignment horizontal="center" vertical="center" wrapText="1"/>
    </xf>
    <xf numFmtId="3" fontId="35" fillId="17" borderId="15" xfId="0" applyNumberFormat="1" applyFont="1" applyFill="1" applyBorder="1" applyAlignment="1">
      <alignment horizontal="center" vertical="center"/>
    </xf>
    <xf numFmtId="3" fontId="35" fillId="0" borderId="15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5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Border="1" applyAlignment="1">
      <alignment horizontal="center" vertical="center" wrapText="1"/>
    </xf>
    <xf numFmtId="3" fontId="1" fillId="9" borderId="0" xfId="0" applyNumberFormat="1" applyFont="1" applyFill="1" applyBorder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Fill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Border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Border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Fill="1" applyBorder="1" applyAlignment="1">
      <alignment horizontal="center" vertical="center"/>
    </xf>
    <xf numFmtId="4" fontId="26" fillId="0" borderId="3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37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36" fillId="0" borderId="0" xfId="0" applyFont="1" applyBorder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40" fillId="0" borderId="0" xfId="0" applyFont="1" applyBorder="1" applyAlignment="1">
      <alignment vertical="top"/>
    </xf>
    <xf numFmtId="0" fontId="7" fillId="7" borderId="0" xfId="0" applyFont="1" applyFill="1" applyBorder="1" applyAlignment="1">
      <alignment horizontal="left" vertical="top"/>
    </xf>
    <xf numFmtId="0" fontId="8" fillId="7" borderId="0" xfId="0" applyFont="1" applyFill="1" applyBorder="1" applyAlignment="1">
      <alignment horizontal="center" vertical="top"/>
    </xf>
    <xf numFmtId="172" fontId="8" fillId="7" borderId="0" xfId="2" applyNumberFormat="1" applyFont="1" applyFill="1" applyBorder="1" applyAlignment="1">
      <alignment horizontal="center" vertical="top"/>
    </xf>
    <xf numFmtId="37" fontId="8" fillId="7" borderId="0" xfId="1" applyNumberFormat="1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/>
    </xf>
    <xf numFmtId="0" fontId="8" fillId="0" borderId="55" xfId="0" applyFont="1" applyFill="1" applyBorder="1" applyAlignment="1">
      <alignment horizontal="left" vertical="top" indent="1"/>
    </xf>
    <xf numFmtId="0" fontId="41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top"/>
    </xf>
    <xf numFmtId="0" fontId="8" fillId="0" borderId="55" xfId="0" applyFont="1" applyFill="1" applyBorder="1" applyAlignment="1">
      <alignment horizontal="center" vertical="center"/>
    </xf>
    <xf numFmtId="172" fontId="8" fillId="11" borderId="55" xfId="2" applyNumberFormat="1" applyFont="1" applyFill="1" applyBorder="1" applyAlignment="1">
      <alignment horizontal="center" vertical="center"/>
    </xf>
    <xf numFmtId="4" fontId="8" fillId="11" borderId="55" xfId="0" applyNumberFormat="1" applyFont="1" applyFill="1" applyBorder="1" applyAlignment="1">
      <alignment horizontal="center" vertical="center" wrapText="1"/>
    </xf>
    <xf numFmtId="164" fontId="8" fillId="11" borderId="55" xfId="0" applyNumberFormat="1" applyFont="1" applyFill="1" applyBorder="1" applyAlignment="1">
      <alignment horizontal="center" vertical="center"/>
    </xf>
    <xf numFmtId="173" fontId="8" fillId="0" borderId="55" xfId="0" applyNumberFormat="1" applyFont="1" applyFill="1" applyBorder="1" applyAlignment="1">
      <alignment horizontal="center" vertical="center"/>
    </xf>
    <xf numFmtId="173" fontId="8" fillId="0" borderId="55" xfId="2" applyNumberFormat="1" applyFont="1" applyFill="1" applyBorder="1" applyAlignment="1">
      <alignment horizontal="center" vertical="center"/>
    </xf>
    <xf numFmtId="165" fontId="8" fillId="0" borderId="55" xfId="2" applyNumberFormat="1" applyFont="1" applyFill="1" applyBorder="1" applyAlignment="1">
      <alignment horizontal="center" vertical="center"/>
    </xf>
    <xf numFmtId="0" fontId="8" fillId="0" borderId="55" xfId="5" applyFont="1" applyFill="1" applyBorder="1" applyAlignment="1">
      <alignment horizontal="left" vertical="top" indent="1"/>
    </xf>
    <xf numFmtId="0" fontId="8" fillId="0" borderId="55" xfId="5" applyFont="1" applyFill="1" applyBorder="1" applyAlignment="1">
      <alignment horizontal="center" vertical="top"/>
    </xf>
    <xf numFmtId="0" fontId="8" fillId="0" borderId="0" xfId="5" applyFont="1" applyFill="1" applyBorder="1" applyAlignment="1">
      <alignment vertical="top"/>
    </xf>
    <xf numFmtId="3" fontId="8" fillId="0" borderId="55" xfId="0" applyNumberFormat="1" applyFont="1" applyFill="1" applyBorder="1" applyAlignment="1">
      <alignment horizontal="center" vertical="center"/>
    </xf>
    <xf numFmtId="3" fontId="8" fillId="0" borderId="55" xfId="0" applyNumberFormat="1" applyFont="1" applyFill="1" applyBorder="1" applyAlignment="1">
      <alignment horizontal="center" vertical="top"/>
    </xf>
    <xf numFmtId="164" fontId="8" fillId="0" borderId="55" xfId="0" applyNumberFormat="1" applyFont="1" applyFill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Border="1" applyAlignment="1">
      <alignment horizontal="center" vertical="center"/>
    </xf>
    <xf numFmtId="172" fontId="8" fillId="7" borderId="0" xfId="2" applyNumberFormat="1" applyFont="1" applyFill="1" applyBorder="1" applyAlignment="1">
      <alignment horizontal="center" vertical="center"/>
    </xf>
    <xf numFmtId="37" fontId="8" fillId="7" borderId="0" xfId="1" applyNumberFormat="1" applyFont="1" applyFill="1" applyBorder="1" applyAlignment="1">
      <alignment horizontal="center" vertical="center"/>
    </xf>
    <xf numFmtId="174" fontId="8" fillId="0" borderId="55" xfId="0" applyNumberFormat="1" applyFont="1" applyFill="1" applyBorder="1" applyAlignment="1">
      <alignment horizontal="center" vertical="top"/>
    </xf>
    <xf numFmtId="174" fontId="8" fillId="0" borderId="55" xfId="2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top"/>
    </xf>
    <xf numFmtId="0" fontId="32" fillId="19" borderId="0" xfId="0" applyFont="1" applyFill="1" applyBorder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top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176" fontId="8" fillId="0" borderId="0" xfId="2" applyNumberFormat="1" applyFont="1" applyFill="1" applyBorder="1" applyAlignment="1">
      <alignment horizontal="center" vertical="top"/>
    </xf>
    <xf numFmtId="172" fontId="8" fillId="0" borderId="0" xfId="2" applyNumberFormat="1" applyFont="1" applyFill="1" applyBorder="1" applyAlignment="1">
      <alignment horizontal="center" vertical="top"/>
    </xf>
    <xf numFmtId="172" fontId="40" fillId="0" borderId="0" xfId="2" applyNumberFormat="1" applyFont="1" applyFill="1" applyBorder="1" applyAlignment="1">
      <alignment horizontal="center" vertical="top"/>
    </xf>
    <xf numFmtId="37" fontId="40" fillId="0" borderId="0" xfId="1" applyNumberFormat="1" applyFont="1" applyFill="1" applyBorder="1" applyAlignment="1">
      <alignment horizontal="center" vertical="top"/>
    </xf>
    <xf numFmtId="172" fontId="36" fillId="0" borderId="0" xfId="2" applyNumberFormat="1" applyFont="1" applyFill="1" applyBorder="1" applyAlignment="1">
      <alignment horizontal="center" vertical="top"/>
    </xf>
    <xf numFmtId="39" fontId="36" fillId="0" borderId="0" xfId="2" applyNumberFormat="1" applyFont="1" applyFill="1" applyBorder="1" applyAlignment="1">
      <alignment horizontal="center" vertical="top"/>
    </xf>
    <xf numFmtId="177" fontId="8" fillId="0" borderId="55" xfId="0" applyNumberFormat="1" applyFont="1" applyFill="1" applyBorder="1" applyAlignment="1">
      <alignment horizontal="center" vertical="top"/>
    </xf>
    <xf numFmtId="177" fontId="8" fillId="0" borderId="55" xfId="2" applyNumberFormat="1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Fill="1" applyBorder="1" applyAlignment="1">
      <alignment horizontal="center" vertical="top"/>
    </xf>
    <xf numFmtId="4" fontId="8" fillId="0" borderId="55" xfId="2" applyNumberFormat="1" applyFont="1" applyFill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6" fillId="0" borderId="0" xfId="0" applyNumberFormat="1" applyFont="1" applyAlignment="1">
      <alignment vertical="top"/>
    </xf>
    <xf numFmtId="4" fontId="36" fillId="0" borderId="0" xfId="0" applyNumberFormat="1" applyFont="1" applyAlignment="1">
      <alignment vertical="top"/>
    </xf>
    <xf numFmtId="179" fontId="36" fillId="0" borderId="0" xfId="0" applyNumberFormat="1" applyFont="1" applyAlignment="1">
      <alignment vertical="top"/>
    </xf>
    <xf numFmtId="178" fontId="36" fillId="0" borderId="0" xfId="0" applyNumberFormat="1" applyFont="1" applyAlignment="1">
      <alignment vertical="top"/>
    </xf>
    <xf numFmtId="180" fontId="36" fillId="0" borderId="0" xfId="0" applyNumberFormat="1" applyFont="1" applyAlignment="1">
      <alignment vertical="top"/>
    </xf>
    <xf numFmtId="0" fontId="43" fillId="3" borderId="34" xfId="0" applyFont="1" applyFill="1" applyBorder="1" applyAlignment="1" applyProtection="1">
      <alignment vertical="center" wrapText="1"/>
    </xf>
    <xf numFmtId="0" fontId="36" fillId="0" borderId="0" xfId="5" applyFont="1" applyAlignment="1">
      <alignment vertical="top"/>
    </xf>
    <xf numFmtId="181" fontId="44" fillId="3" borderId="7" xfId="7" applyNumberFormat="1" applyFont="1" applyFill="1" applyBorder="1" applyAlignment="1">
      <alignment horizontal="center" vertical="center"/>
    </xf>
    <xf numFmtId="0" fontId="45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6" fillId="21" borderId="59" xfId="0" applyNumberFormat="1" applyFont="1" applyFill="1" applyBorder="1" applyAlignment="1" applyProtection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5" fillId="0" borderId="58" xfId="0" applyFont="1" applyFill="1" applyBorder="1"/>
    <xf numFmtId="1" fontId="0" fillId="0" borderId="59" xfId="0" applyNumberFormat="1" applyFill="1" applyBorder="1" applyAlignment="1">
      <alignment horizontal="center" vertical="center"/>
    </xf>
    <xf numFmtId="0" fontId="0" fillId="0" borderId="58" xfId="0" applyFill="1" applyBorder="1" applyAlignment="1">
      <alignment horizontal="left" indent="2"/>
    </xf>
    <xf numFmtId="3" fontId="0" fillId="0" borderId="59" xfId="0" applyNumberFormat="1" applyFill="1" applyBorder="1" applyAlignment="1">
      <alignment horizontal="center" vertical="center"/>
    </xf>
    <xf numFmtId="0" fontId="46" fillId="22" borderId="58" xfId="0" applyFont="1" applyFill="1" applyBorder="1" applyAlignment="1" applyProtection="1">
      <alignment horizontal="center" wrapText="1"/>
    </xf>
    <xf numFmtId="0" fontId="46" fillId="22" borderId="59" xfId="0" applyFont="1" applyFill="1" applyBorder="1" applyAlignment="1" applyProtection="1">
      <alignment horizontal="center" vertical="center" wrapText="1"/>
    </xf>
    <xf numFmtId="0" fontId="45" fillId="22" borderId="58" xfId="0" applyFont="1" applyFill="1" applyBorder="1"/>
    <xf numFmtId="0" fontId="46" fillId="0" borderId="58" xfId="0" applyFont="1" applyFill="1" applyBorder="1" applyAlignment="1" applyProtection="1">
      <alignment horizontal="left" wrapText="1"/>
    </xf>
    <xf numFmtId="3" fontId="46" fillId="0" borderId="59" xfId="0" applyNumberFormat="1" applyFont="1" applyFill="1" applyBorder="1" applyAlignment="1" applyProtection="1">
      <alignment horizontal="center" vertical="center" wrapText="1"/>
    </xf>
    <xf numFmtId="0" fontId="46" fillId="22" borderId="58" xfId="0" applyFont="1" applyFill="1" applyBorder="1" applyAlignment="1" applyProtection="1">
      <alignment horizontal="left" wrapText="1" indent="1"/>
    </xf>
    <xf numFmtId="3" fontId="46" fillId="11" borderId="59" xfId="0" applyNumberFormat="1" applyFont="1" applyFill="1" applyBorder="1" applyAlignment="1" applyProtection="1">
      <alignment horizontal="center" vertical="center" wrapText="1"/>
    </xf>
    <xf numFmtId="3" fontId="46" fillId="22" borderId="59" xfId="0" applyNumberFormat="1" applyFont="1" applyFill="1" applyBorder="1" applyAlignment="1" applyProtection="1">
      <alignment horizontal="center" vertical="center" wrapText="1"/>
    </xf>
    <xf numFmtId="0" fontId="46" fillId="21" borderId="58" xfId="0" applyFont="1" applyFill="1" applyBorder="1" applyAlignment="1" applyProtection="1">
      <alignment horizontal="left" wrapText="1" indent="1"/>
    </xf>
    <xf numFmtId="0" fontId="45" fillId="0" borderId="58" xfId="0" applyFont="1" applyBorder="1"/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6" fillId="0" borderId="59" xfId="0" applyNumberFormat="1" applyFont="1" applyFill="1" applyBorder="1" applyAlignment="1" applyProtection="1">
      <alignment horizontal="center" vertical="center" wrapText="1"/>
    </xf>
    <xf numFmtId="0" fontId="0" fillId="0" borderId="60" xfId="0" applyBorder="1"/>
    <xf numFmtId="2" fontId="46" fillId="0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horizontal="left"/>
    </xf>
    <xf numFmtId="0" fontId="41" fillId="0" borderId="62" xfId="3" applyBorder="1"/>
    <xf numFmtId="2" fontId="46" fillId="11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wrapText="1"/>
    </xf>
    <xf numFmtId="0" fontId="46" fillId="0" borderId="0" xfId="0" applyFont="1" applyFill="1" applyBorder="1" applyAlignment="1" applyProtection="1">
      <alignment horizontal="center" wrapText="1"/>
    </xf>
    <xf numFmtId="0" fontId="43" fillId="3" borderId="1" xfId="0" applyFont="1" applyFill="1" applyBorder="1" applyAlignment="1" applyProtection="1">
      <alignment vertical="center" wrapText="1"/>
    </xf>
    <xf numFmtId="181" fontId="44" fillId="3" borderId="2" xfId="7" applyNumberFormat="1" applyFont="1" applyFill="1" applyBorder="1" applyAlignment="1">
      <alignment horizontal="center" vertical="center"/>
    </xf>
    <xf numFmtId="0" fontId="46" fillId="0" borderId="63" xfId="0" applyFont="1" applyFill="1" applyBorder="1" applyAlignment="1" applyProtection="1">
      <alignment horizontal="left" vertical="center" wrapText="1" indent="1"/>
    </xf>
    <xf numFmtId="37" fontId="46" fillId="0" borderId="64" xfId="0" applyNumberFormat="1" applyFont="1" applyFill="1" applyBorder="1" applyAlignment="1" applyProtection="1">
      <alignment horizontal="center" vertical="center" wrapText="1"/>
    </xf>
    <xf numFmtId="0" fontId="46" fillId="0" borderId="65" xfId="0" applyFont="1" applyFill="1" applyBorder="1" applyAlignment="1" applyProtection="1">
      <alignment horizontal="left" vertical="center" wrapText="1" indent="1"/>
    </xf>
    <xf numFmtId="0" fontId="36" fillId="0" borderId="0" xfId="5" applyFont="1" applyAlignment="1">
      <alignment horizontal="center" vertical="center"/>
    </xf>
    <xf numFmtId="37" fontId="46" fillId="0" borderId="66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wrapText="1" indent="1"/>
    </xf>
    <xf numFmtId="39" fontId="46" fillId="0" borderId="66" xfId="0" applyNumberFormat="1" applyFont="1" applyFill="1" applyBorder="1" applyAlignment="1" applyProtection="1">
      <alignment horizontal="center" vertical="center" wrapText="1"/>
    </xf>
    <xf numFmtId="37" fontId="47" fillId="0" borderId="66" xfId="0" applyNumberFormat="1" applyFont="1" applyFill="1" applyBorder="1" applyAlignment="1" applyProtection="1">
      <alignment horizontal="center" vertical="center" wrapText="1"/>
    </xf>
    <xf numFmtId="0" fontId="46" fillId="0" borderId="66" xfId="0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center" vertical="center" wrapText="1"/>
    </xf>
    <xf numFmtId="0" fontId="46" fillId="2" borderId="67" xfId="0" applyFont="1" applyFill="1" applyBorder="1" applyAlignment="1" applyProtection="1">
      <alignment horizontal="left" vertical="center" wrapText="1" indent="1"/>
    </xf>
    <xf numFmtId="37" fontId="45" fillId="2" borderId="66" xfId="0" applyNumberFormat="1" applyFont="1" applyFill="1" applyBorder="1" applyAlignment="1" applyProtection="1">
      <alignment horizontal="center" vertical="center" wrapText="1"/>
    </xf>
    <xf numFmtId="37" fontId="45" fillId="0" borderId="66" xfId="0" applyNumberFormat="1" applyFont="1" applyFill="1" applyBorder="1" applyAlignment="1" applyProtection="1">
      <alignment horizontal="center" vertical="center" wrapText="1"/>
    </xf>
    <xf numFmtId="0" fontId="0" fillId="0" borderId="66" xfId="0" applyFont="1" applyFill="1" applyBorder="1" applyAlignment="1" applyProtection="1">
      <alignment horizontal="center" vertical="center" wrapText="1"/>
    </xf>
    <xf numFmtId="0" fontId="48" fillId="5" borderId="67" xfId="0" applyFont="1" applyFill="1" applyBorder="1" applyAlignment="1" applyProtection="1">
      <alignment horizontal="left" vertical="center" wrapText="1" indent="1"/>
    </xf>
    <xf numFmtId="39" fontId="48" fillId="5" borderId="68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indent="1"/>
    </xf>
    <xf numFmtId="1" fontId="46" fillId="11" borderId="61" xfId="0" applyNumberFormat="1" applyFont="1" applyFill="1" applyBorder="1" applyAlignment="1" applyProtection="1">
      <alignment horizontal="center" vertical="center" wrapText="1"/>
    </xf>
    <xf numFmtId="4" fontId="8" fillId="11" borderId="55" xfId="2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4" fontId="3" fillId="0" borderId="18" xfId="0" applyNumberFormat="1" applyFont="1" applyFill="1" applyBorder="1" applyAlignment="1">
      <alignment horizontal="center" vertical="center"/>
    </xf>
    <xf numFmtId="0" fontId="37" fillId="0" borderId="0" xfId="9" applyFont="1" applyAlignment="1">
      <alignment vertical="top"/>
    </xf>
    <xf numFmtId="0" fontId="38" fillId="0" borderId="0" xfId="9" applyFont="1" applyAlignment="1">
      <alignment vertical="top"/>
    </xf>
    <xf numFmtId="0" fontId="50" fillId="3" borderId="27" xfId="9" applyFont="1" applyFill="1" applyBorder="1" applyAlignment="1">
      <alignment horizontal="center" vertical="top"/>
    </xf>
    <xf numFmtId="0" fontId="38" fillId="5" borderId="0" xfId="9" applyFont="1" applyFill="1" applyAlignment="1">
      <alignment vertical="top"/>
    </xf>
    <xf numFmtId="0" fontId="37" fillId="5" borderId="0" xfId="9" applyFont="1" applyFill="1" applyAlignment="1">
      <alignment vertical="top"/>
    </xf>
    <xf numFmtId="0" fontId="37" fillId="0" borderId="27" xfId="9" applyFont="1" applyBorder="1" applyAlignment="1">
      <alignment vertical="top"/>
    </xf>
    <xf numFmtId="0" fontId="37" fillId="0" borderId="27" xfId="9" applyFont="1" applyBorder="1" applyAlignment="1">
      <alignment horizontal="center" vertical="top"/>
    </xf>
    <xf numFmtId="180" fontId="37" fillId="0" borderId="27" xfId="9" applyNumberFormat="1" applyFont="1" applyFill="1" applyBorder="1" applyAlignment="1">
      <alignment vertical="top"/>
    </xf>
    <xf numFmtId="164" fontId="37" fillId="23" borderId="27" xfId="9" applyNumberFormat="1" applyFont="1" applyFill="1" applyBorder="1" applyAlignment="1">
      <alignment vertical="top"/>
    </xf>
    <xf numFmtId="164" fontId="37" fillId="0" borderId="27" xfId="9" applyNumberFormat="1" applyFont="1" applyFill="1" applyBorder="1" applyAlignment="1">
      <alignment vertical="top"/>
    </xf>
    <xf numFmtId="0" fontId="37" fillId="0" borderId="27" xfId="9" applyFont="1" applyBorder="1" applyAlignment="1">
      <alignment vertical="top" wrapText="1"/>
    </xf>
    <xf numFmtId="4" fontId="37" fillId="0" borderId="27" xfId="9" applyNumberFormat="1" applyFont="1" applyBorder="1" applyAlignment="1">
      <alignment vertical="top"/>
    </xf>
    <xf numFmtId="0" fontId="37" fillId="0" borderId="27" xfId="9" applyFont="1" applyFill="1" applyBorder="1" applyAlignment="1">
      <alignment vertical="top"/>
    </xf>
    <xf numFmtId="0" fontId="37" fillId="23" borderId="27" xfId="9" applyFont="1" applyFill="1" applyBorder="1" applyAlignment="1">
      <alignment vertical="top"/>
    </xf>
    <xf numFmtId="2" fontId="37" fillId="0" borderId="27" xfId="9" applyNumberFormat="1" applyFont="1" applyFill="1" applyBorder="1" applyAlignment="1">
      <alignment vertical="top"/>
    </xf>
    <xf numFmtId="0" fontId="51" fillId="0" borderId="27" xfId="9" applyFont="1" applyFill="1" applyBorder="1" applyAlignment="1">
      <alignment vertical="top"/>
    </xf>
    <xf numFmtId="0" fontId="37" fillId="0" borderId="27" xfId="9" applyFont="1" applyFill="1" applyBorder="1" applyAlignment="1">
      <alignment vertical="top" wrapText="1"/>
    </xf>
    <xf numFmtId="0" fontId="37" fillId="0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/>
    </xf>
    <xf numFmtId="173" fontId="38" fillId="11" borderId="27" xfId="9" applyNumberFormat="1" applyFont="1" applyFill="1" applyBorder="1" applyAlignment="1">
      <alignment vertical="top"/>
    </xf>
    <xf numFmtId="174" fontId="38" fillId="11" borderId="27" xfId="9" applyNumberFormat="1" applyFont="1" applyFill="1" applyBorder="1" applyAlignment="1">
      <alignment vertical="top"/>
    </xf>
    <xf numFmtId="0" fontId="38" fillId="11" borderId="27" xfId="9" applyFont="1" applyFill="1" applyBorder="1" applyAlignment="1">
      <alignment vertical="top" wrapText="1"/>
    </xf>
    <xf numFmtId="0" fontId="38" fillId="11" borderId="27" xfId="9" applyFont="1" applyFill="1" applyBorder="1" applyAlignment="1">
      <alignment vertical="top"/>
    </xf>
    <xf numFmtId="0" fontId="38" fillId="11" borderId="27" xfId="9" applyFont="1" applyFill="1" applyBorder="1" applyAlignment="1">
      <alignment horizontal="center" vertical="top"/>
    </xf>
    <xf numFmtId="0" fontId="51" fillId="0" borderId="27" xfId="9" applyFont="1" applyBorder="1" applyAlignment="1">
      <alignment vertical="top"/>
    </xf>
    <xf numFmtId="0" fontId="52" fillId="5" borderId="27" xfId="9" applyFont="1" applyFill="1" applyBorder="1" applyAlignment="1">
      <alignment vertical="top"/>
    </xf>
    <xf numFmtId="0" fontId="53" fillId="5" borderId="27" xfId="9" applyFont="1" applyFill="1" applyBorder="1" applyAlignment="1">
      <alignment horizontal="center" vertical="top"/>
    </xf>
    <xf numFmtId="0" fontId="37" fillId="5" borderId="27" xfId="9" applyFont="1" applyFill="1" applyBorder="1" applyAlignment="1">
      <alignment vertical="top"/>
    </xf>
    <xf numFmtId="0" fontId="53" fillId="5" borderId="0" xfId="9" applyFont="1" applyFill="1" applyBorder="1" applyAlignment="1">
      <alignment vertical="top"/>
    </xf>
    <xf numFmtId="0" fontId="37" fillId="3" borderId="27" xfId="9" applyFont="1" applyFill="1" applyBorder="1" applyAlignment="1">
      <alignment vertical="top"/>
    </xf>
    <xf numFmtId="0" fontId="37" fillId="3" borderId="27" xfId="9" applyFont="1" applyFill="1" applyBorder="1" applyAlignment="1">
      <alignment horizontal="center" vertical="top"/>
    </xf>
    <xf numFmtId="174" fontId="37" fillId="0" borderId="27" xfId="9" applyNumberFormat="1" applyFont="1" applyBorder="1" applyAlignment="1">
      <alignment vertical="top"/>
    </xf>
    <xf numFmtId="0" fontId="50" fillId="24" borderId="27" xfId="9" applyFont="1" applyFill="1" applyBorder="1" applyAlignment="1">
      <alignment vertical="top"/>
    </xf>
    <xf numFmtId="0" fontId="50" fillId="24" borderId="27" xfId="9" applyFont="1" applyFill="1" applyBorder="1" applyAlignment="1">
      <alignment horizontal="center" vertical="top"/>
    </xf>
    <xf numFmtId="3" fontId="50" fillId="24" borderId="27" xfId="9" applyNumberFormat="1" applyFont="1" applyFill="1" applyBorder="1" applyAlignment="1">
      <alignment vertical="top"/>
    </xf>
    <xf numFmtId="174" fontId="37" fillId="0" borderId="27" xfId="9" applyNumberFormat="1" applyFont="1" applyFill="1" applyBorder="1" applyAlignment="1">
      <alignment vertical="top"/>
    </xf>
    <xf numFmtId="165" fontId="37" fillId="0" borderId="27" xfId="9" applyNumberFormat="1" applyFont="1" applyFill="1" applyBorder="1" applyAlignment="1">
      <alignment vertical="top"/>
    </xf>
    <xf numFmtId="173" fontId="37" fillId="3" borderId="27" xfId="9" applyNumberFormat="1" applyFont="1" applyFill="1" applyBorder="1" applyAlignment="1">
      <alignment vertical="top"/>
    </xf>
    <xf numFmtId="0" fontId="38" fillId="25" borderId="0" xfId="9" applyFont="1" applyFill="1" applyAlignment="1">
      <alignment vertical="top"/>
    </xf>
    <xf numFmtId="0" fontId="37" fillId="25" borderId="0" xfId="9" applyFont="1" applyFill="1" applyAlignment="1">
      <alignment vertical="top"/>
    </xf>
    <xf numFmtId="3" fontId="37" fillId="25" borderId="0" xfId="9" applyNumberFormat="1" applyFont="1" applyFill="1" applyAlignment="1">
      <alignment vertical="top"/>
    </xf>
    <xf numFmtId="43" fontId="37" fillId="0" borderId="0" xfId="10" applyFont="1" applyAlignment="1">
      <alignment vertical="top"/>
    </xf>
    <xf numFmtId="4" fontId="37" fillId="0" borderId="0" xfId="9" applyNumberFormat="1" applyFont="1" applyAlignment="1">
      <alignment vertical="top"/>
    </xf>
    <xf numFmtId="0" fontId="37" fillId="26" borderId="0" xfId="9" applyFont="1" applyFill="1" applyAlignment="1">
      <alignment vertical="top"/>
    </xf>
    <xf numFmtId="4" fontId="37" fillId="26" borderId="0" xfId="9" applyNumberFormat="1" applyFont="1" applyFill="1" applyAlignment="1">
      <alignment vertical="top"/>
    </xf>
    <xf numFmtId="4" fontId="37" fillId="0" borderId="27" xfId="9" applyNumberFormat="1" applyFont="1" applyFill="1" applyBorder="1" applyAlignment="1">
      <alignment vertical="top"/>
    </xf>
    <xf numFmtId="4" fontId="37" fillId="23" borderId="27" xfId="9" applyNumberFormat="1" applyFont="1" applyFill="1" applyBorder="1" applyAlignment="1">
      <alignment vertical="top"/>
    </xf>
    <xf numFmtId="4" fontId="51" fillId="0" borderId="27" xfId="9" applyNumberFormat="1" applyFont="1" applyFill="1" applyBorder="1" applyAlignment="1">
      <alignment vertical="top"/>
    </xf>
    <xf numFmtId="0" fontId="52" fillId="11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 wrapText="1"/>
    </xf>
    <xf numFmtId="0" fontId="37" fillId="27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/>
    </xf>
    <xf numFmtId="174" fontId="37" fillId="27" borderId="27" xfId="9" applyNumberFormat="1" applyFont="1" applyFill="1" applyBorder="1" applyAlignment="1">
      <alignment vertical="top"/>
    </xf>
    <xf numFmtId="173" fontId="37" fillId="27" borderId="27" xfId="9" applyNumberFormat="1" applyFont="1" applyFill="1" applyBorder="1" applyAlignment="1">
      <alignment vertical="top"/>
    </xf>
    <xf numFmtId="0" fontId="37" fillId="25" borderId="27" xfId="9" applyFont="1" applyFill="1" applyBorder="1" applyAlignment="1">
      <alignment vertical="top"/>
    </xf>
    <xf numFmtId="0" fontId="37" fillId="25" borderId="27" xfId="9" applyFont="1" applyFill="1" applyBorder="1" applyAlignment="1">
      <alignment horizontal="center" vertical="top"/>
    </xf>
    <xf numFmtId="180" fontId="37" fillId="0" borderId="27" xfId="9" applyNumberFormat="1" applyFont="1" applyBorder="1" applyAlignment="1">
      <alignment vertical="top"/>
    </xf>
    <xf numFmtId="0" fontId="37" fillId="0" borderId="0" xfId="9" applyFont="1" applyFill="1" applyAlignment="1">
      <alignment vertical="top"/>
    </xf>
    <xf numFmtId="0" fontId="38" fillId="13" borderId="27" xfId="9" applyFont="1" applyFill="1" applyBorder="1" applyAlignment="1">
      <alignment vertical="top"/>
    </xf>
    <xf numFmtId="0" fontId="38" fillId="13" borderId="27" xfId="9" applyFont="1" applyFill="1" applyBorder="1" applyAlignment="1">
      <alignment horizontal="center" vertical="top"/>
    </xf>
    <xf numFmtId="3" fontId="38" fillId="13" borderId="27" xfId="9" applyNumberFormat="1" applyFont="1" applyFill="1" applyBorder="1" applyAlignment="1">
      <alignment vertical="top"/>
    </xf>
    <xf numFmtId="173" fontId="37" fillId="0" borderId="27" xfId="9" applyNumberFormat="1" applyFont="1" applyBorder="1" applyAlignment="1">
      <alignment vertical="top"/>
    </xf>
    <xf numFmtId="3" fontId="37" fillId="0" borderId="0" xfId="9" applyNumberFormat="1" applyFont="1" applyAlignment="1">
      <alignment vertical="top"/>
    </xf>
    <xf numFmtId="174" fontId="37" fillId="11" borderId="0" xfId="9" applyNumberFormat="1" applyFont="1" applyFill="1" applyAlignment="1">
      <alignment vertical="top"/>
    </xf>
    <xf numFmtId="0" fontId="37" fillId="11" borderId="0" xfId="9" applyFont="1" applyFill="1" applyAlignment="1">
      <alignment vertical="top"/>
    </xf>
    <xf numFmtId="3" fontId="37" fillId="26" borderId="0" xfId="9" applyNumberFormat="1" applyFont="1" applyFill="1" applyAlignment="1">
      <alignment vertical="top"/>
    </xf>
    <xf numFmtId="3" fontId="37" fillId="23" borderId="0" xfId="9" applyNumberFormat="1" applyFont="1" applyFill="1" applyBorder="1" applyAlignment="1">
      <alignment vertical="top"/>
    </xf>
    <xf numFmtId="3" fontId="37" fillId="0" borderId="0" xfId="9" applyNumberFormat="1" applyFont="1" applyFill="1" applyAlignment="1">
      <alignment vertical="top"/>
    </xf>
    <xf numFmtId="3" fontId="37" fillId="0" borderId="0" xfId="9" applyNumberFormat="1" applyFont="1" applyFill="1" applyBorder="1" applyAlignment="1">
      <alignment vertical="top"/>
    </xf>
    <xf numFmtId="3" fontId="37" fillId="11" borderId="0" xfId="9" applyNumberFormat="1" applyFont="1" applyFill="1" applyAlignment="1">
      <alignment vertical="top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0" fontId="46" fillId="0" borderId="71" xfId="0" applyFont="1" applyFill="1" applyBorder="1" applyAlignment="1" applyProtection="1">
      <alignment horizontal="left" vertical="center" wrapText="1" indent="1"/>
    </xf>
    <xf numFmtId="0" fontId="38" fillId="0" borderId="0" xfId="0" applyFont="1" applyFill="1" applyBorder="1" applyAlignment="1">
      <alignment vertical="top"/>
    </xf>
    <xf numFmtId="172" fontId="32" fillId="0" borderId="0" xfId="2" applyNumberFormat="1" applyFont="1" applyFill="1" applyBorder="1" applyAlignment="1">
      <alignment horizontal="center" vertical="top"/>
    </xf>
    <xf numFmtId="165" fontId="42" fillId="0" borderId="0" xfId="4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top"/>
    </xf>
    <xf numFmtId="173" fontId="8" fillId="0" borderId="0" xfId="2" applyNumberFormat="1" applyFont="1" applyFill="1" applyBorder="1" applyAlignment="1">
      <alignment horizontal="center" vertical="top"/>
    </xf>
    <xf numFmtId="173" fontId="8" fillId="0" borderId="0" xfId="0" applyNumberFormat="1" applyFont="1" applyFill="1" applyBorder="1" applyAlignment="1">
      <alignment horizontal="center" vertical="top"/>
    </xf>
    <xf numFmtId="3" fontId="8" fillId="0" borderId="0" xfId="0" applyNumberFormat="1" applyFont="1" applyFill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center" vertical="top"/>
    </xf>
    <xf numFmtId="3" fontId="7" fillId="0" borderId="0" xfId="0" applyNumberFormat="1" applyFont="1" applyFill="1" applyBorder="1" applyAlignment="1">
      <alignment horizontal="center" vertical="top"/>
    </xf>
    <xf numFmtId="174" fontId="8" fillId="0" borderId="0" xfId="2" applyNumberFormat="1" applyFont="1" applyFill="1" applyBorder="1" applyAlignment="1">
      <alignment horizontal="center" vertical="top"/>
    </xf>
    <xf numFmtId="3" fontId="8" fillId="0" borderId="0" xfId="2" applyNumberFormat="1" applyFont="1" applyFill="1" applyBorder="1" applyAlignment="1">
      <alignment horizontal="center" vertical="top"/>
    </xf>
    <xf numFmtId="171" fontId="32" fillId="0" borderId="0" xfId="2" applyNumberFormat="1" applyFont="1" applyFill="1" applyBorder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Fill="1" applyBorder="1" applyAlignment="1">
      <alignment horizontal="center" vertical="top"/>
    </xf>
    <xf numFmtId="177" fontId="8" fillId="0" borderId="0" xfId="2" applyNumberFormat="1" applyFont="1" applyFill="1" applyBorder="1" applyAlignment="1">
      <alignment horizontal="center" vertical="top"/>
    </xf>
    <xf numFmtId="177" fontId="7" fillId="0" borderId="0" xfId="2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center" vertical="top"/>
    </xf>
    <xf numFmtId="4" fontId="7" fillId="0" borderId="0" xfId="2" applyNumberFormat="1" applyFont="1" applyFill="1" applyBorder="1" applyAlignment="1">
      <alignment horizontal="center" vertical="top"/>
    </xf>
    <xf numFmtId="178" fontId="7" fillId="0" borderId="0" xfId="2" applyNumberFormat="1" applyFont="1" applyFill="1" applyBorder="1" applyAlignment="1">
      <alignment horizontal="center" vertical="top"/>
    </xf>
    <xf numFmtId="0" fontId="0" fillId="0" borderId="0" xfId="0" applyFill="1" applyBorder="1"/>
    <xf numFmtId="3" fontId="36" fillId="0" borderId="0" xfId="0" applyNumberFormat="1" applyFont="1" applyFill="1" applyBorder="1" applyAlignment="1">
      <alignment vertical="top"/>
    </xf>
    <xf numFmtId="181" fontId="44" fillId="0" borderId="0" xfId="7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 applyProtection="1">
      <alignment horizontal="right" wrapText="1"/>
    </xf>
    <xf numFmtId="4" fontId="46" fillId="0" borderId="0" xfId="0" applyNumberFormat="1" applyFont="1" applyFill="1" applyBorder="1" applyAlignment="1" applyProtection="1">
      <alignment horizontal="right" wrapText="1"/>
    </xf>
    <xf numFmtId="4" fontId="21" fillId="0" borderId="0" xfId="7" applyNumberFormat="1" applyFill="1" applyBorder="1"/>
    <xf numFmtId="3" fontId="21" fillId="0" borderId="0" xfId="7" applyNumberFormat="1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9" fontId="0" fillId="0" borderId="0" xfId="8" applyFont="1" applyFill="1" applyBorder="1"/>
    <xf numFmtId="0" fontId="46" fillId="0" borderId="0" xfId="0" applyNumberFormat="1" applyFont="1" applyFill="1" applyBorder="1" applyAlignment="1" applyProtection="1">
      <alignment horizontal="right" vertical="center" wrapText="1"/>
    </xf>
    <xf numFmtId="37" fontId="46" fillId="0" borderId="0" xfId="0" applyNumberFormat="1" applyFont="1" applyFill="1" applyBorder="1" applyAlignment="1" applyProtection="1">
      <alignment horizontal="right" vertical="center" wrapText="1"/>
    </xf>
    <xf numFmtId="39" fontId="46" fillId="0" borderId="0" xfId="0" applyNumberFormat="1" applyFont="1" applyFill="1" applyBorder="1" applyAlignment="1" applyProtection="1">
      <alignment horizontal="right" vertical="center" wrapText="1"/>
    </xf>
    <xf numFmtId="37" fontId="47" fillId="0" borderId="0" xfId="0" applyNumberFormat="1" applyFont="1" applyFill="1" applyBorder="1" applyAlignment="1" applyProtection="1">
      <alignment horizontal="right" vertical="center" wrapText="1"/>
    </xf>
    <xf numFmtId="0" fontId="46" fillId="0" borderId="0" xfId="0" applyFont="1" applyFill="1" applyBorder="1" applyAlignment="1" applyProtection="1">
      <alignment vertical="center" wrapText="1"/>
    </xf>
    <xf numFmtId="37" fontId="45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Fill="1" applyBorder="1" applyAlignment="1" applyProtection="1">
      <alignment horizontal="right" wrapText="1"/>
    </xf>
    <xf numFmtId="37" fontId="48" fillId="0" borderId="0" xfId="0" applyNumberFormat="1" applyFont="1" applyFill="1" applyBorder="1" applyAlignment="1" applyProtection="1">
      <alignment horizontal="right" wrapText="1"/>
    </xf>
    <xf numFmtId="171" fontId="32" fillId="0" borderId="0" xfId="1" applyNumberFormat="1" applyFont="1" applyFill="1" applyBorder="1" applyAlignment="1">
      <alignment vertical="top"/>
    </xf>
    <xf numFmtId="171" fontId="32" fillId="0" borderId="0" xfId="2" applyNumberFormat="1" applyFont="1" applyFill="1" applyBorder="1" applyAlignment="1">
      <alignment vertical="top"/>
    </xf>
    <xf numFmtId="37" fontId="32" fillId="0" borderId="0" xfId="1" applyNumberFormat="1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72" fontId="8" fillId="0" borderId="69" xfId="2" applyNumberFormat="1" applyFont="1" applyFill="1" applyBorder="1" applyAlignment="1">
      <alignment horizontal="center" vertical="center"/>
    </xf>
    <xf numFmtId="173" fontId="8" fillId="0" borderId="69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Fill="1" applyBorder="1" applyAlignment="1">
      <alignment horizontal="center" vertical="center"/>
    </xf>
    <xf numFmtId="3" fontId="8" fillId="0" borderId="69" xfId="2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Fill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Fill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Fill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6" fillId="21" borderId="73" xfId="0" applyNumberFormat="1" applyFont="1" applyFill="1" applyBorder="1" applyAlignment="1" applyProtection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Fill="1" applyBorder="1" applyAlignment="1">
      <alignment horizontal="center" vertical="center"/>
    </xf>
    <xf numFmtId="3" fontId="0" fillId="0" borderId="73" xfId="0" applyNumberFormat="1" applyFill="1" applyBorder="1" applyAlignment="1">
      <alignment horizontal="center" vertical="center"/>
    </xf>
    <xf numFmtId="0" fontId="46" fillId="22" borderId="73" xfId="0" applyFont="1" applyFill="1" applyBorder="1" applyAlignment="1" applyProtection="1">
      <alignment horizontal="center" vertical="center" wrapText="1"/>
    </xf>
    <xf numFmtId="3" fontId="46" fillId="0" borderId="73" xfId="0" applyNumberFormat="1" applyFont="1" applyFill="1" applyBorder="1" applyAlignment="1" applyProtection="1">
      <alignment horizontal="center" vertical="center" wrapText="1"/>
    </xf>
    <xf numFmtId="3" fontId="46" fillId="22" borderId="73" xfId="0" applyNumberFormat="1" applyFont="1" applyFill="1" applyBorder="1" applyAlignment="1" applyProtection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6" fillId="0" borderId="73" xfId="0" applyNumberFormat="1" applyFont="1" applyFill="1" applyBorder="1" applyAlignment="1" applyProtection="1">
      <alignment horizontal="center" vertical="center" wrapText="1"/>
    </xf>
    <xf numFmtId="2" fontId="46" fillId="0" borderId="74" xfId="0" applyNumberFormat="1" applyFont="1" applyFill="1" applyBorder="1" applyAlignment="1" applyProtection="1">
      <alignment horizontal="center" vertical="center" wrapText="1"/>
    </xf>
    <xf numFmtId="37" fontId="46" fillId="0" borderId="75" xfId="0" applyNumberFormat="1" applyFont="1" applyFill="1" applyBorder="1" applyAlignment="1" applyProtection="1">
      <alignment horizontal="center" vertical="center" wrapText="1"/>
    </xf>
    <xf numFmtId="37" fontId="46" fillId="0" borderId="76" xfId="0" applyNumberFormat="1" applyFont="1" applyFill="1" applyBorder="1" applyAlignment="1" applyProtection="1">
      <alignment horizontal="center" vertical="center" wrapText="1"/>
    </xf>
    <xf numFmtId="39" fontId="46" fillId="0" borderId="76" xfId="0" applyNumberFormat="1" applyFont="1" applyFill="1" applyBorder="1" applyAlignment="1" applyProtection="1">
      <alignment horizontal="center" vertical="center" wrapText="1"/>
    </xf>
    <xf numFmtId="37" fontId="47" fillId="0" borderId="76" xfId="0" applyNumberFormat="1" applyFont="1" applyFill="1" applyBorder="1" applyAlignment="1" applyProtection="1">
      <alignment horizontal="center" vertical="center" wrapText="1"/>
    </xf>
    <xf numFmtId="0" fontId="46" fillId="0" borderId="76" xfId="0" applyFont="1" applyFill="1" applyBorder="1" applyAlignment="1" applyProtection="1">
      <alignment horizontal="center" vertical="center" wrapText="1"/>
    </xf>
    <xf numFmtId="37" fontId="45" fillId="2" borderId="76" xfId="0" applyNumberFormat="1" applyFont="1" applyFill="1" applyBorder="1" applyAlignment="1" applyProtection="1">
      <alignment horizontal="center" vertical="center" wrapText="1"/>
    </xf>
    <xf numFmtId="37" fontId="45" fillId="0" borderId="76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Fill="1" applyBorder="1" applyAlignment="1" applyProtection="1">
      <alignment horizontal="center" vertical="center" wrapText="1"/>
    </xf>
    <xf numFmtId="39" fontId="48" fillId="5" borderId="77" xfId="0" applyNumberFormat="1" applyFont="1" applyFill="1" applyBorder="1" applyAlignment="1" applyProtection="1">
      <alignment horizontal="center" vertical="center" wrapText="1"/>
    </xf>
    <xf numFmtId="0" fontId="37" fillId="0" borderId="0" xfId="0" applyFont="1" applyFill="1" applyBorder="1" applyAlignment="1">
      <alignment vertical="top"/>
    </xf>
    <xf numFmtId="0" fontId="37" fillId="0" borderId="0" xfId="0" applyFont="1" applyFill="1" applyBorder="1" applyAlignment="1">
      <alignment horizontal="center" vertical="top"/>
    </xf>
    <xf numFmtId="0" fontId="46" fillId="0" borderId="0" xfId="0" applyFont="1" applyFill="1" applyBorder="1" applyAlignment="1" applyProtection="1">
      <alignment horizontal="left" vertical="center" wrapText="1" indent="1"/>
    </xf>
    <xf numFmtId="0" fontId="54" fillId="0" borderId="55" xfId="0" applyFont="1" applyFill="1" applyBorder="1" applyAlignment="1">
      <alignment horizontal="center" vertical="center"/>
    </xf>
    <xf numFmtId="172" fontId="54" fillId="0" borderId="55" xfId="2" applyNumberFormat="1" applyFont="1" applyFill="1" applyBorder="1" applyAlignment="1">
      <alignment horizontal="center" vertical="center"/>
    </xf>
    <xf numFmtId="172" fontId="54" fillId="0" borderId="69" xfId="2" applyNumberFormat="1" applyFont="1" applyFill="1" applyBorder="1" applyAlignment="1">
      <alignment horizontal="center" vertical="center"/>
    </xf>
    <xf numFmtId="173" fontId="54" fillId="0" borderId="55" xfId="0" applyNumberFormat="1" applyFont="1" applyFill="1" applyBorder="1" applyAlignment="1">
      <alignment horizontal="center" vertical="center"/>
    </xf>
    <xf numFmtId="173" fontId="54" fillId="0" borderId="69" xfId="0" applyNumberFormat="1" applyFont="1" applyFill="1" applyBorder="1" applyAlignment="1">
      <alignment horizontal="center" vertical="center"/>
    </xf>
    <xf numFmtId="39" fontId="55" fillId="0" borderId="66" xfId="0" applyNumberFormat="1" applyFont="1" applyFill="1" applyBorder="1" applyAlignment="1" applyProtection="1">
      <alignment horizontal="center" vertical="center" wrapText="1"/>
    </xf>
    <xf numFmtId="39" fontId="55" fillId="0" borderId="76" xfId="0" applyNumberFormat="1" applyFont="1" applyFill="1" applyBorder="1" applyAlignment="1" applyProtection="1">
      <alignment horizontal="center" vertical="center" wrapText="1"/>
    </xf>
    <xf numFmtId="37" fontId="55" fillId="0" borderId="66" xfId="0" applyNumberFormat="1" applyFont="1" applyFill="1" applyBorder="1" applyAlignment="1" applyProtection="1">
      <alignment horizontal="center" vertical="center" wrapText="1"/>
    </xf>
    <xf numFmtId="37" fontId="55" fillId="0" borderId="76" xfId="0" applyNumberFormat="1" applyFont="1" applyFill="1" applyBorder="1" applyAlignment="1" applyProtection="1">
      <alignment horizontal="center" vertical="center" wrapText="1"/>
    </xf>
    <xf numFmtId="3" fontId="6" fillId="0" borderId="59" xfId="0" applyNumberFormat="1" applyFont="1" applyFill="1" applyBorder="1" applyAlignment="1">
      <alignment horizontal="center" vertical="center"/>
    </xf>
    <xf numFmtId="3" fontId="6" fillId="0" borderId="73" xfId="0" applyNumberFormat="1" applyFont="1" applyFill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Fill="1" applyBorder="1" applyAlignment="1" applyProtection="1">
      <alignment horizontal="center" vertical="center" wrapText="1"/>
    </xf>
    <xf numFmtId="0" fontId="6" fillId="0" borderId="76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166" fontId="3" fillId="8" borderId="12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5" fontId="37" fillId="0" borderId="27" xfId="9" applyNumberFormat="1" applyFont="1" applyBorder="1" applyAlignment="1">
      <alignment vertical="top"/>
    </xf>
    <xf numFmtId="164" fontId="37" fillId="0" borderId="27" xfId="9" applyNumberFormat="1" applyFont="1" applyBorder="1" applyAlignment="1">
      <alignment vertical="top"/>
    </xf>
    <xf numFmtId="0" fontId="37" fillId="8" borderId="27" xfId="9" applyFont="1" applyFill="1" applyBorder="1" applyAlignment="1">
      <alignment vertical="top"/>
    </xf>
    <xf numFmtId="173" fontId="37" fillId="0" borderId="27" xfId="9" applyNumberFormat="1" applyFont="1" applyFill="1" applyBorder="1" applyAlignment="1">
      <alignment vertical="top"/>
    </xf>
    <xf numFmtId="1" fontId="37" fillId="0" borderId="27" xfId="9" applyNumberFormat="1" applyFont="1" applyFill="1" applyBorder="1" applyAlignment="1">
      <alignment vertical="top"/>
    </xf>
    <xf numFmtId="4" fontId="37" fillId="0" borderId="0" xfId="9" applyNumberFormat="1" applyFont="1" applyFill="1" applyAlignment="1">
      <alignment vertical="top"/>
    </xf>
    <xf numFmtId="2" fontId="37" fillId="23" borderId="27" xfId="9" applyNumberFormat="1" applyFont="1" applyFill="1" applyBorder="1" applyAlignment="1">
      <alignment vertical="top"/>
    </xf>
    <xf numFmtId="2" fontId="37" fillId="0" borderId="27" xfId="9" applyNumberFormat="1" applyFont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8" fillId="11" borderId="27" xfId="9" applyNumberFormat="1" applyFont="1" applyFill="1" applyBorder="1" applyAlignment="1">
      <alignment vertical="top"/>
    </xf>
    <xf numFmtId="2" fontId="37" fillId="5" borderId="27" xfId="9" applyNumberFormat="1" applyFont="1" applyFill="1" applyBorder="1" applyAlignment="1">
      <alignment vertical="top"/>
    </xf>
    <xf numFmtId="174" fontId="8" fillId="0" borderId="55" xfId="2" applyNumberFormat="1" applyFont="1" applyBorder="1" applyAlignment="1">
      <alignment horizontal="center" vertical="center"/>
    </xf>
    <xf numFmtId="177" fontId="8" fillId="0" borderId="55" xfId="0" applyNumberFormat="1" applyFont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3" fontId="46" fillId="11" borderId="59" xfId="0" applyNumberFormat="1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horizontal="center" vertical="center"/>
    </xf>
    <xf numFmtId="14" fontId="3" fillId="8" borderId="15" xfId="0" applyNumberFormat="1" applyFont="1" applyFill="1" applyBorder="1" applyAlignment="1">
      <alignment horizontal="center" vertical="center"/>
    </xf>
    <xf numFmtId="14" fontId="0" fillId="28" borderId="79" xfId="11" applyNumberFormat="1" applyFont="1"/>
    <xf numFmtId="14" fontId="0" fillId="30" borderId="79" xfId="11" applyNumberFormat="1" applyFont="1" applyFill="1"/>
    <xf numFmtId="0" fontId="59" fillId="32" borderId="78" xfId="12" applyFont="1" applyFill="1" applyAlignment="1">
      <alignment horizontal="center"/>
    </xf>
    <xf numFmtId="166" fontId="3" fillId="0" borderId="15" xfId="0" applyNumberFormat="1" applyFont="1" applyFill="1" applyBorder="1" applyAlignment="1">
      <alignment horizontal="center" vertical="center"/>
    </xf>
    <xf numFmtId="0" fontId="57" fillId="0" borderId="0" xfId="13"/>
    <xf numFmtId="0" fontId="57" fillId="0" borderId="0" xfId="13" applyAlignment="1">
      <alignment horizontal="center"/>
    </xf>
    <xf numFmtId="0" fontId="57" fillId="0" borderId="27" xfId="13" applyBorder="1" applyAlignment="1">
      <alignment horizontal="center"/>
    </xf>
    <xf numFmtId="0" fontId="57" fillId="0" borderId="27" xfId="13" applyBorder="1"/>
    <xf numFmtId="0" fontId="57" fillId="0" borderId="32" xfId="13" applyBorder="1" applyAlignment="1">
      <alignment horizontal="center"/>
    </xf>
    <xf numFmtId="0" fontId="57" fillId="0" borderId="32" xfId="13" applyBorder="1"/>
    <xf numFmtId="14" fontId="57" fillId="0" borderId="0" xfId="13" applyNumberFormat="1"/>
    <xf numFmtId="0" fontId="56" fillId="0" borderId="0" xfId="13" applyFont="1" applyAlignment="1">
      <alignment horizontal="right"/>
    </xf>
    <xf numFmtId="0" fontId="56" fillId="0" borderId="0" xfId="13" applyFont="1"/>
    <xf numFmtId="0" fontId="56" fillId="29" borderId="80" xfId="13" applyFont="1" applyFill="1" applyBorder="1" applyAlignment="1">
      <alignment horizontal="center"/>
    </xf>
    <xf numFmtId="0" fontId="24" fillId="0" borderId="15" xfId="0" applyFont="1" applyFill="1" applyBorder="1" applyAlignment="1">
      <alignment vertical="center"/>
    </xf>
    <xf numFmtId="0" fontId="24" fillId="0" borderId="12" xfId="0" applyFont="1" applyFill="1" applyBorder="1" applyAlignment="1">
      <alignment vertical="center"/>
    </xf>
    <xf numFmtId="182" fontId="3" fillId="8" borderId="9" xfId="0" applyNumberFormat="1" applyFont="1" applyFill="1" applyBorder="1" applyAlignment="1">
      <alignment horizontal="center" vertical="center"/>
    </xf>
    <xf numFmtId="182" fontId="3" fillId="8" borderId="6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vertical="center"/>
    </xf>
    <xf numFmtId="3" fontId="24" fillId="0" borderId="31" xfId="0" applyNumberFormat="1" applyFont="1" applyFill="1" applyBorder="1" applyAlignment="1">
      <alignment vertical="center"/>
    </xf>
    <xf numFmtId="2" fontId="57" fillId="0" borderId="0" xfId="13" applyNumberFormat="1"/>
    <xf numFmtId="166" fontId="6" fillId="8" borderId="12" xfId="0" applyNumberFormat="1" applyFont="1" applyFill="1" applyBorder="1" applyAlignment="1">
      <alignment vertical="center"/>
    </xf>
    <xf numFmtId="166" fontId="24" fillId="0" borderId="15" xfId="0" applyNumberFormat="1" applyFont="1" applyFill="1" applyBorder="1" applyAlignment="1">
      <alignment vertical="center"/>
    </xf>
    <xf numFmtId="166" fontId="24" fillId="0" borderId="12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vertical="center"/>
    </xf>
    <xf numFmtId="4" fontId="3" fillId="0" borderId="12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24" fillId="0" borderId="11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9" fontId="24" fillId="0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1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7" fontId="3" fillId="0" borderId="31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8" fontId="3" fillId="0" borderId="11" xfId="0" applyNumberFormat="1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3" fontId="19" fillId="5" borderId="35" xfId="0" applyNumberFormat="1" applyFont="1" applyFill="1" applyBorder="1" applyAlignment="1">
      <alignment horizontal="center" vertical="center" wrapText="1"/>
    </xf>
    <xf numFmtId="3" fontId="19" fillId="5" borderId="23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4" borderId="34" xfId="0" applyNumberFormat="1" applyFont="1" applyFill="1" applyBorder="1" applyAlignment="1">
      <alignment horizontal="center" vertical="center" wrapText="1"/>
    </xf>
    <xf numFmtId="4" fontId="7" fillId="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166" fontId="24" fillId="0" borderId="18" xfId="0" applyNumberFormat="1" applyFont="1" applyFill="1" applyBorder="1" applyAlignment="1">
      <alignment horizontal="center" vertical="center"/>
    </xf>
    <xf numFmtId="166" fontId="24" fillId="0" borderId="11" xfId="0" applyNumberFormat="1" applyFont="1" applyFill="1" applyBorder="1" applyAlignment="1">
      <alignment horizontal="center" vertical="center"/>
    </xf>
    <xf numFmtId="169" fontId="27" fillId="0" borderId="12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24" fillId="0" borderId="2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2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3" fontId="19" fillId="5" borderId="34" xfId="0" applyNumberFormat="1" applyFont="1" applyFill="1" applyBorder="1" applyAlignment="1">
      <alignment horizontal="center" vertical="center" wrapText="1"/>
    </xf>
    <xf numFmtId="3" fontId="19" fillId="5" borderId="21" xfId="0" applyNumberFormat="1" applyFont="1" applyFill="1" applyBorder="1" applyAlignment="1">
      <alignment horizontal="center" vertical="center" wrapText="1"/>
    </xf>
    <xf numFmtId="3" fontId="19" fillId="5" borderId="7" xfId="0" applyNumberFormat="1" applyFont="1" applyFill="1" applyBorder="1" applyAlignment="1">
      <alignment horizontal="center" vertical="center" wrapText="1"/>
    </xf>
    <xf numFmtId="3" fontId="19" fillId="5" borderId="22" xfId="0" applyNumberFormat="1" applyFont="1" applyFill="1" applyBorder="1" applyAlignment="1">
      <alignment horizontal="center" vertical="center" wrapText="1"/>
    </xf>
    <xf numFmtId="4" fontId="24" fillId="0" borderId="10" xfId="0" applyNumberFormat="1" applyFont="1" applyFill="1" applyBorder="1" applyAlignment="1">
      <alignment horizontal="center" vertical="center"/>
    </xf>
    <xf numFmtId="4" fontId="27" fillId="0" borderId="20" xfId="0" applyNumberFormat="1" applyFont="1" applyFill="1" applyBorder="1" applyAlignment="1">
      <alignment horizontal="center" vertical="center"/>
    </xf>
    <xf numFmtId="4" fontId="27" fillId="0" borderId="11" xfId="0" applyNumberFormat="1" applyFont="1" applyFill="1" applyBorder="1" applyAlignment="1">
      <alignment horizontal="center" vertical="center"/>
    </xf>
    <xf numFmtId="4" fontId="27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1" xfId="0" applyNumberFormat="1" applyFont="1" applyFill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3" fontId="24" fillId="0" borderId="31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47" xfId="0" applyNumberFormat="1" applyFont="1" applyFill="1" applyBorder="1" applyAlignment="1">
      <alignment horizontal="center" vertical="center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0" fontId="32" fillId="3" borderId="3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14" fontId="32" fillId="3" borderId="7" xfId="0" applyNumberFormat="1" applyFont="1" applyFill="1" applyBorder="1" applyAlignment="1">
      <alignment horizontal="center" vertical="center" wrapText="1"/>
    </xf>
    <xf numFmtId="14" fontId="32" fillId="3" borderId="22" xfId="0" applyNumberFormat="1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22" xfId="0" applyFont="1" applyFill="1" applyBorder="1" applyAlignment="1">
      <alignment horizontal="center" vertical="center" wrapText="1"/>
    </xf>
    <xf numFmtId="3" fontId="32" fillId="3" borderId="7" xfId="0" applyNumberFormat="1" applyFont="1" applyFill="1" applyBorder="1" applyAlignment="1">
      <alignment horizontal="center" vertical="center" wrapText="1"/>
    </xf>
    <xf numFmtId="3" fontId="32" fillId="3" borderId="22" xfId="0" applyNumberFormat="1" applyFont="1" applyFill="1" applyBorder="1" applyAlignment="1">
      <alignment horizontal="center" vertical="center" wrapText="1"/>
    </xf>
    <xf numFmtId="4" fontId="7" fillId="14" borderId="26" xfId="0" applyNumberFormat="1" applyFont="1" applyFill="1" applyBorder="1" applyAlignment="1">
      <alignment horizontal="center" vertical="center" wrapText="1"/>
    </xf>
    <xf numFmtId="4" fontId="7" fillId="14" borderId="32" xfId="0" applyNumberFormat="1" applyFont="1" applyFill="1" applyBorder="1" applyAlignment="1">
      <alignment horizontal="center" vertical="center" wrapText="1"/>
    </xf>
    <xf numFmtId="4" fontId="7" fillId="15" borderId="26" xfId="0" applyNumberFormat="1" applyFont="1" applyFill="1" applyBorder="1" applyAlignment="1">
      <alignment horizontal="center" vertical="center" wrapText="1"/>
    </xf>
    <xf numFmtId="4" fontId="7" fillId="15" borderId="32" xfId="0" applyNumberFormat="1" applyFont="1" applyFill="1" applyBorder="1" applyAlignment="1">
      <alignment horizontal="center" vertical="center" wrapText="1"/>
    </xf>
    <xf numFmtId="4" fontId="24" fillId="0" borderId="30" xfId="0" applyNumberFormat="1" applyFont="1" applyFill="1" applyBorder="1" applyAlignment="1">
      <alignment horizontal="center" vertical="center"/>
    </xf>
    <xf numFmtId="4" fontId="24" fillId="0" borderId="31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/>
    </xf>
    <xf numFmtId="0" fontId="24" fillId="0" borderId="11" xfId="0" applyFont="1" applyFill="1" applyBorder="1" applyAlignment="1">
      <alignment horizontal="left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14" fontId="24" fillId="0" borderId="18" xfId="0" quotePrefix="1" applyNumberFormat="1" applyFont="1" applyFill="1" applyBorder="1" applyAlignment="1">
      <alignment horizontal="center" vertical="center"/>
    </xf>
    <xf numFmtId="14" fontId="24" fillId="0" borderId="11" xfId="0" quotePrefix="1" applyNumberFormat="1" applyFont="1" applyFill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166" fontId="24" fillId="0" borderId="0" xfId="0" applyNumberFormat="1" applyFont="1" applyFill="1" applyBorder="1" applyAlignment="1">
      <alignment horizontal="center" vertical="center"/>
    </xf>
    <xf numFmtId="166" fontId="26" fillId="0" borderId="15" xfId="0" applyNumberFormat="1" applyFont="1" applyFill="1" applyBorder="1" applyAlignment="1">
      <alignment horizontal="center" vertical="center"/>
    </xf>
    <xf numFmtId="166" fontId="26" fillId="0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166" fontId="13" fillId="0" borderId="31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3" fillId="0" borderId="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3" fontId="28" fillId="0" borderId="15" xfId="0" applyNumberFormat="1" applyFont="1" applyFill="1" applyBorder="1" applyAlignment="1">
      <alignment horizontal="center" vertical="center" wrapText="1"/>
    </xf>
    <xf numFmtId="3" fontId="28" fillId="0" borderId="0" xfId="0" applyNumberFormat="1" applyFont="1" applyFill="1" applyBorder="1" applyAlignment="1">
      <alignment horizontal="center" vertical="center" wrapText="1"/>
    </xf>
    <xf numFmtId="3" fontId="28" fillId="0" borderId="12" xfId="0" applyNumberFormat="1" applyFont="1" applyFill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1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4" fontId="32" fillId="3" borderId="7" xfId="0" applyNumberFormat="1" applyFont="1" applyFill="1" applyBorder="1" applyAlignment="1">
      <alignment horizontal="center" vertical="center" wrapText="1"/>
    </xf>
    <xf numFmtId="4" fontId="32" fillId="3" borderId="22" xfId="0" applyNumberFormat="1" applyFont="1" applyFill="1" applyBorder="1" applyAlignment="1">
      <alignment horizontal="center" vertical="center" wrapText="1"/>
    </xf>
    <xf numFmtId="4" fontId="32" fillId="3" borderId="35" xfId="0" applyNumberFormat="1" applyFont="1" applyFill="1" applyBorder="1" applyAlignment="1">
      <alignment horizontal="center" vertical="center" wrapText="1"/>
    </xf>
    <xf numFmtId="4" fontId="32" fillId="3" borderId="23" xfId="0" applyNumberFormat="1" applyFont="1" applyFill="1" applyBorder="1" applyAlignment="1">
      <alignment horizontal="center" vertical="center" wrapText="1"/>
    </xf>
    <xf numFmtId="4" fontId="32" fillId="3" borderId="26" xfId="0" applyNumberFormat="1" applyFont="1" applyFill="1" applyBorder="1" applyAlignment="1">
      <alignment horizontal="center" vertical="center" wrapText="1"/>
    </xf>
    <xf numFmtId="4" fontId="32" fillId="3" borderId="32" xfId="0" applyNumberFormat="1" applyFont="1" applyFill="1" applyBorder="1" applyAlignment="1">
      <alignment horizontal="center" vertical="center" wrapText="1"/>
    </xf>
    <xf numFmtId="166" fontId="32" fillId="3" borderId="35" xfId="0" applyNumberFormat="1" applyFont="1" applyFill="1" applyBorder="1" applyAlignment="1">
      <alignment horizontal="center" vertical="center" wrapText="1"/>
    </xf>
    <xf numFmtId="166" fontId="32" fillId="3" borderId="23" xfId="0" applyNumberFormat="1" applyFont="1" applyFill="1" applyBorder="1" applyAlignment="1">
      <alignment horizontal="center" vertical="center" wrapText="1"/>
    </xf>
    <xf numFmtId="4" fontId="19" fillId="5" borderId="34" xfId="0" applyNumberFormat="1" applyFont="1" applyFill="1" applyBorder="1" applyAlignment="1">
      <alignment horizontal="center" vertical="center" wrapText="1"/>
    </xf>
    <xf numFmtId="4" fontId="19" fillId="5" borderId="21" xfId="0" applyNumberFormat="1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4" fontId="32" fillId="3" borderId="34" xfId="0" applyNumberFormat="1" applyFont="1" applyFill="1" applyBorder="1" applyAlignment="1">
      <alignment horizontal="center" vertical="center" wrapText="1"/>
    </xf>
    <xf numFmtId="4" fontId="32" fillId="3" borderId="21" xfId="0" applyNumberFormat="1" applyFont="1" applyFill="1" applyBorder="1" applyAlignment="1">
      <alignment horizontal="center" vertical="center" wrapText="1"/>
    </xf>
    <xf numFmtId="3" fontId="28" fillId="0" borderId="15" xfId="0" quotePrefix="1" applyNumberFormat="1" applyFont="1" applyFill="1" applyBorder="1" applyAlignment="1">
      <alignment horizontal="center" vertical="center" wrapText="1"/>
    </xf>
    <xf numFmtId="3" fontId="28" fillId="0" borderId="12" xfId="0" quotePrefix="1" applyNumberFormat="1" applyFont="1" applyFill="1" applyBorder="1" applyAlignment="1">
      <alignment horizontal="center" vertical="center" wrapText="1"/>
    </xf>
    <xf numFmtId="3" fontId="1" fillId="0" borderId="15" xfId="0" quotePrefix="1" applyNumberFormat="1" applyFont="1" applyFill="1" applyBorder="1" applyAlignment="1">
      <alignment horizontal="center" vertical="center" wrapText="1"/>
    </xf>
    <xf numFmtId="3" fontId="1" fillId="0" borderId="0" xfId="0" quotePrefix="1" applyNumberFormat="1" applyFont="1" applyFill="1" applyBorder="1" applyAlignment="1">
      <alignment horizontal="center" vertical="center" wrapText="1"/>
    </xf>
    <xf numFmtId="167" fontId="3" fillId="8" borderId="16" xfId="0" applyNumberFormat="1" applyFont="1" applyFill="1" applyBorder="1" applyAlignment="1">
      <alignment horizontal="center" vertical="center"/>
    </xf>
    <xf numFmtId="4" fontId="2" fillId="13" borderId="22" xfId="0" applyNumberFormat="1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0" fontId="0" fillId="31" borderId="84" xfId="11" applyFont="1" applyFill="1" applyBorder="1" applyAlignment="1">
      <alignment horizontal="left" vertical="top" wrapText="1"/>
    </xf>
    <xf numFmtId="0" fontId="0" fillId="31" borderId="85" xfId="11" applyFont="1" applyFill="1" applyBorder="1" applyAlignment="1">
      <alignment horizontal="left" vertical="top" wrapText="1"/>
    </xf>
    <xf numFmtId="0" fontId="0" fillId="31" borderId="86" xfId="11" applyFont="1" applyFill="1" applyBorder="1" applyAlignment="1">
      <alignment horizontal="left" vertical="top" wrapText="1"/>
    </xf>
    <xf numFmtId="0" fontId="0" fillId="31" borderId="87" xfId="11" applyFont="1" applyFill="1" applyBorder="1" applyAlignment="1">
      <alignment horizontal="left" vertical="top" wrapText="1"/>
    </xf>
    <xf numFmtId="0" fontId="0" fillId="31" borderId="0" xfId="11" applyFont="1" applyFill="1" applyBorder="1" applyAlignment="1">
      <alignment horizontal="left" vertical="top" wrapText="1"/>
    </xf>
    <xf numFmtId="0" fontId="0" fillId="31" borderId="88" xfId="11" applyFont="1" applyFill="1" applyBorder="1" applyAlignment="1">
      <alignment horizontal="left" vertical="top" wrapText="1"/>
    </xf>
    <xf numFmtId="0" fontId="0" fillId="31" borderId="89" xfId="11" applyFont="1" applyFill="1" applyBorder="1" applyAlignment="1">
      <alignment horizontal="left" vertical="top" wrapText="1"/>
    </xf>
    <xf numFmtId="0" fontId="0" fillId="31" borderId="90" xfId="11" applyFont="1" applyFill="1" applyBorder="1" applyAlignment="1">
      <alignment horizontal="left" vertical="top" wrapText="1"/>
    </xf>
    <xf numFmtId="0" fontId="0" fillId="31" borderId="91" xfId="11" applyFont="1" applyFill="1" applyBorder="1" applyAlignment="1">
      <alignment horizontal="left" vertical="top" wrapText="1"/>
    </xf>
    <xf numFmtId="0" fontId="0" fillId="31" borderId="81" xfId="11" applyFont="1" applyFill="1" applyBorder="1" applyAlignment="1">
      <alignment horizontal="left" vertical="center"/>
    </xf>
    <xf numFmtId="0" fontId="0" fillId="31" borderId="82" xfId="11" applyFont="1" applyFill="1" applyBorder="1" applyAlignment="1">
      <alignment horizontal="left" vertical="center"/>
    </xf>
    <xf numFmtId="0" fontId="0" fillId="31" borderId="83" xfId="11" applyFont="1" applyFill="1" applyBorder="1" applyAlignment="1">
      <alignment horizontal="left" vertical="center"/>
    </xf>
  </cellXfs>
  <cellStyles count="14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Заголовок 3 2" xfId="12" xr:uid="{81049E06-10C9-42E2-9A52-D8217694CB79}"/>
    <cellStyle name="Обычный" xfId="0" builtinId="0"/>
    <cellStyle name="Обычный 15" xfId="5" xr:uid="{00000000-0005-0000-0000-000004000000}"/>
    <cellStyle name="Обычный 2" xfId="9" xr:uid="{00000000-0005-0000-0000-000005000000}"/>
    <cellStyle name="Обычный 2 2" xfId="2" xr:uid="{00000000-0005-0000-0000-000006000000}"/>
    <cellStyle name="Обычный 2 8" xfId="4" xr:uid="{00000000-0005-0000-0000-000007000000}"/>
    <cellStyle name="Обычный 3" xfId="13" xr:uid="{421FC274-DF28-4020-B14C-2B0B3C91ABCF}"/>
    <cellStyle name="Обычный 4 10" xfId="1" xr:uid="{00000000-0005-0000-0000-000008000000}"/>
    <cellStyle name="Примечание 2" xfId="11" xr:uid="{C0760DA1-AD56-4091-94D7-699F68C53568}"/>
    <cellStyle name="Финансовый 2" xfId="6" xr:uid="{00000000-0005-0000-0000-000009000000}"/>
    <cellStyle name="Финансовый 3" xfId="10" xr:uid="{00000000-0005-0000-0000-00000A000000}"/>
  </cellStyles>
  <dxfs count="381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9.xml"/><Relationship Id="rId21" Type="http://schemas.openxmlformats.org/officeDocument/2006/relationships/externalLink" Target="externalLinks/externalLink13.xml"/><Relationship Id="rId42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6.xml"/><Relationship Id="rId138" Type="http://schemas.openxmlformats.org/officeDocument/2006/relationships/externalLink" Target="externalLinks/externalLink130.xml"/><Relationship Id="rId159" Type="http://schemas.openxmlformats.org/officeDocument/2006/relationships/externalLink" Target="externalLinks/externalLink151.xml"/><Relationship Id="rId170" Type="http://schemas.openxmlformats.org/officeDocument/2006/relationships/externalLink" Target="externalLinks/externalLink162.xml"/><Relationship Id="rId191" Type="http://schemas.openxmlformats.org/officeDocument/2006/relationships/theme" Target="theme/theme1.xml"/><Relationship Id="rId107" Type="http://schemas.openxmlformats.org/officeDocument/2006/relationships/externalLink" Target="externalLinks/externalLink99.xml"/><Relationship Id="rId11" Type="http://schemas.openxmlformats.org/officeDocument/2006/relationships/externalLink" Target="externalLinks/externalLink3.xml"/><Relationship Id="rId32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6.xml"/><Relationship Id="rId128" Type="http://schemas.openxmlformats.org/officeDocument/2006/relationships/externalLink" Target="externalLinks/externalLink120.xml"/><Relationship Id="rId149" Type="http://schemas.openxmlformats.org/officeDocument/2006/relationships/externalLink" Target="externalLinks/externalLink141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7.xml"/><Relationship Id="rId160" Type="http://schemas.openxmlformats.org/officeDocument/2006/relationships/externalLink" Target="externalLinks/externalLink152.xml"/><Relationship Id="rId181" Type="http://schemas.openxmlformats.org/officeDocument/2006/relationships/externalLink" Target="externalLinks/externalLink173.xml"/><Relationship Id="rId22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6.xml"/><Relationship Id="rId118" Type="http://schemas.openxmlformats.org/officeDocument/2006/relationships/externalLink" Target="externalLinks/externalLink110.xml"/><Relationship Id="rId139" Type="http://schemas.openxmlformats.org/officeDocument/2006/relationships/externalLink" Target="externalLinks/externalLink131.xml"/><Relationship Id="rId85" Type="http://schemas.openxmlformats.org/officeDocument/2006/relationships/externalLink" Target="externalLinks/externalLink77.xml"/><Relationship Id="rId150" Type="http://schemas.openxmlformats.org/officeDocument/2006/relationships/externalLink" Target="externalLinks/externalLink142.xml"/><Relationship Id="rId171" Type="http://schemas.openxmlformats.org/officeDocument/2006/relationships/externalLink" Target="externalLinks/externalLink163.xml"/><Relationship Id="rId192" Type="http://schemas.openxmlformats.org/officeDocument/2006/relationships/styles" Target="styles.xml"/><Relationship Id="rId12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5.xml"/><Relationship Id="rId108" Type="http://schemas.openxmlformats.org/officeDocument/2006/relationships/externalLink" Target="externalLinks/externalLink100.xml"/><Relationship Id="rId129" Type="http://schemas.openxmlformats.org/officeDocument/2006/relationships/externalLink" Target="externalLinks/externalLink121.xml"/><Relationship Id="rId54" Type="http://schemas.openxmlformats.org/officeDocument/2006/relationships/externalLink" Target="externalLinks/externalLink46.xml"/><Relationship Id="rId75" Type="http://schemas.openxmlformats.org/officeDocument/2006/relationships/externalLink" Target="externalLinks/externalLink67.xml"/><Relationship Id="rId96" Type="http://schemas.openxmlformats.org/officeDocument/2006/relationships/externalLink" Target="externalLinks/externalLink88.xml"/><Relationship Id="rId140" Type="http://schemas.openxmlformats.org/officeDocument/2006/relationships/externalLink" Target="externalLinks/externalLink132.xml"/><Relationship Id="rId161" Type="http://schemas.openxmlformats.org/officeDocument/2006/relationships/externalLink" Target="externalLinks/externalLink153.xml"/><Relationship Id="rId182" Type="http://schemas.openxmlformats.org/officeDocument/2006/relationships/externalLink" Target="externalLinks/externalLink174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5.xml"/><Relationship Id="rId119" Type="http://schemas.openxmlformats.org/officeDocument/2006/relationships/externalLink" Target="externalLinks/externalLink111.xml"/><Relationship Id="rId44" Type="http://schemas.openxmlformats.org/officeDocument/2006/relationships/externalLink" Target="externalLinks/externalLink36.xml"/><Relationship Id="rId65" Type="http://schemas.openxmlformats.org/officeDocument/2006/relationships/externalLink" Target="externalLinks/externalLink57.xml"/><Relationship Id="rId86" Type="http://schemas.openxmlformats.org/officeDocument/2006/relationships/externalLink" Target="externalLinks/externalLink78.xml"/><Relationship Id="rId130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43.xml"/><Relationship Id="rId172" Type="http://schemas.openxmlformats.org/officeDocument/2006/relationships/externalLink" Target="externalLinks/externalLink164.xml"/><Relationship Id="rId193" Type="http://schemas.openxmlformats.org/officeDocument/2006/relationships/sharedStrings" Target="sharedStrings.xml"/><Relationship Id="rId13" Type="http://schemas.openxmlformats.org/officeDocument/2006/relationships/externalLink" Target="externalLinks/externalLink5.xml"/><Relationship Id="rId109" Type="http://schemas.openxmlformats.org/officeDocument/2006/relationships/externalLink" Target="externalLinks/externalLink101.xml"/><Relationship Id="rId34" Type="http://schemas.openxmlformats.org/officeDocument/2006/relationships/externalLink" Target="externalLinks/externalLink26.xml"/><Relationship Id="rId50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7.xml"/><Relationship Id="rId76" Type="http://schemas.openxmlformats.org/officeDocument/2006/relationships/externalLink" Target="externalLinks/externalLink68.xml"/><Relationship Id="rId97" Type="http://schemas.openxmlformats.org/officeDocument/2006/relationships/externalLink" Target="externalLinks/externalLink89.xml"/><Relationship Id="rId104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2.xml"/><Relationship Id="rId125" Type="http://schemas.openxmlformats.org/officeDocument/2006/relationships/externalLink" Target="externalLinks/externalLink117.xml"/><Relationship Id="rId141" Type="http://schemas.openxmlformats.org/officeDocument/2006/relationships/externalLink" Target="externalLinks/externalLink133.xml"/><Relationship Id="rId146" Type="http://schemas.openxmlformats.org/officeDocument/2006/relationships/externalLink" Target="externalLinks/externalLink138.xml"/><Relationship Id="rId167" Type="http://schemas.openxmlformats.org/officeDocument/2006/relationships/externalLink" Target="externalLinks/externalLink159.xml"/><Relationship Id="rId188" Type="http://schemas.openxmlformats.org/officeDocument/2006/relationships/externalLink" Target="externalLinks/externalLink18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3.xml"/><Relationship Id="rId92" Type="http://schemas.openxmlformats.org/officeDocument/2006/relationships/externalLink" Target="externalLinks/externalLink84.xml"/><Relationship Id="rId162" Type="http://schemas.openxmlformats.org/officeDocument/2006/relationships/externalLink" Target="externalLinks/externalLink154.xml"/><Relationship Id="rId183" Type="http://schemas.openxmlformats.org/officeDocument/2006/relationships/externalLink" Target="externalLinks/externalLink17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1.xml"/><Relationship Id="rId24" Type="http://schemas.openxmlformats.org/officeDocument/2006/relationships/externalLink" Target="externalLinks/externalLink16.xml"/><Relationship Id="rId40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7.xml"/><Relationship Id="rId66" Type="http://schemas.openxmlformats.org/officeDocument/2006/relationships/externalLink" Target="externalLinks/externalLink58.xml"/><Relationship Id="rId87" Type="http://schemas.openxmlformats.org/officeDocument/2006/relationships/externalLink" Target="externalLinks/externalLink79.xml"/><Relationship Id="rId110" Type="http://schemas.openxmlformats.org/officeDocument/2006/relationships/externalLink" Target="externalLinks/externalLink102.xml"/><Relationship Id="rId115" Type="http://schemas.openxmlformats.org/officeDocument/2006/relationships/externalLink" Target="externalLinks/externalLink107.xml"/><Relationship Id="rId131" Type="http://schemas.openxmlformats.org/officeDocument/2006/relationships/externalLink" Target="externalLinks/externalLink123.xml"/><Relationship Id="rId136" Type="http://schemas.openxmlformats.org/officeDocument/2006/relationships/externalLink" Target="externalLinks/externalLink128.xml"/><Relationship Id="rId157" Type="http://schemas.openxmlformats.org/officeDocument/2006/relationships/externalLink" Target="externalLinks/externalLink149.xml"/><Relationship Id="rId178" Type="http://schemas.openxmlformats.org/officeDocument/2006/relationships/externalLink" Target="externalLinks/externalLink170.xml"/><Relationship Id="rId61" Type="http://schemas.openxmlformats.org/officeDocument/2006/relationships/externalLink" Target="externalLinks/externalLink53.xml"/><Relationship Id="rId82" Type="http://schemas.openxmlformats.org/officeDocument/2006/relationships/externalLink" Target="externalLinks/externalLink74.xml"/><Relationship Id="rId152" Type="http://schemas.openxmlformats.org/officeDocument/2006/relationships/externalLink" Target="externalLinks/externalLink144.xml"/><Relationship Id="rId173" Type="http://schemas.openxmlformats.org/officeDocument/2006/relationships/externalLink" Target="externalLinks/externalLink165.xml"/><Relationship Id="rId194" Type="http://schemas.openxmlformats.org/officeDocument/2006/relationships/sheetMetadata" Target="metadata.xml"/><Relationship Id="rId19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6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56" Type="http://schemas.openxmlformats.org/officeDocument/2006/relationships/externalLink" Target="externalLinks/externalLink48.xml"/><Relationship Id="rId77" Type="http://schemas.openxmlformats.org/officeDocument/2006/relationships/externalLink" Target="externalLinks/externalLink69.xml"/><Relationship Id="rId100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7.xml"/><Relationship Id="rId126" Type="http://schemas.openxmlformats.org/officeDocument/2006/relationships/externalLink" Target="externalLinks/externalLink118.xml"/><Relationship Id="rId147" Type="http://schemas.openxmlformats.org/officeDocument/2006/relationships/externalLink" Target="externalLinks/externalLink139.xml"/><Relationship Id="rId168" Type="http://schemas.openxmlformats.org/officeDocument/2006/relationships/externalLink" Target="externalLinks/externalLink160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3.xml"/><Relationship Id="rId72" Type="http://schemas.openxmlformats.org/officeDocument/2006/relationships/externalLink" Target="externalLinks/externalLink64.xml"/><Relationship Id="rId93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90.xml"/><Relationship Id="rId121" Type="http://schemas.openxmlformats.org/officeDocument/2006/relationships/externalLink" Target="externalLinks/externalLink113.xml"/><Relationship Id="rId142" Type="http://schemas.openxmlformats.org/officeDocument/2006/relationships/externalLink" Target="externalLinks/externalLink134.xml"/><Relationship Id="rId163" Type="http://schemas.openxmlformats.org/officeDocument/2006/relationships/externalLink" Target="externalLinks/externalLink155.xml"/><Relationship Id="rId184" Type="http://schemas.openxmlformats.org/officeDocument/2006/relationships/externalLink" Target="externalLinks/externalLink176.xml"/><Relationship Id="rId189" Type="http://schemas.openxmlformats.org/officeDocument/2006/relationships/externalLink" Target="externalLinks/externalLink18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7.xml"/><Relationship Id="rId46" Type="http://schemas.openxmlformats.org/officeDocument/2006/relationships/externalLink" Target="externalLinks/externalLink38.xml"/><Relationship Id="rId67" Type="http://schemas.openxmlformats.org/officeDocument/2006/relationships/externalLink" Target="externalLinks/externalLink59.xml"/><Relationship Id="rId116" Type="http://schemas.openxmlformats.org/officeDocument/2006/relationships/externalLink" Target="externalLinks/externalLink108.xml"/><Relationship Id="rId137" Type="http://schemas.openxmlformats.org/officeDocument/2006/relationships/externalLink" Target="externalLinks/externalLink129.xml"/><Relationship Id="rId158" Type="http://schemas.openxmlformats.org/officeDocument/2006/relationships/externalLink" Target="externalLinks/externalLink150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62" Type="http://schemas.openxmlformats.org/officeDocument/2006/relationships/externalLink" Target="externalLinks/externalLink54.xml"/><Relationship Id="rId83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80.xml"/><Relationship Id="rId111" Type="http://schemas.openxmlformats.org/officeDocument/2006/relationships/externalLink" Target="externalLinks/externalLink103.xml"/><Relationship Id="rId132" Type="http://schemas.openxmlformats.org/officeDocument/2006/relationships/externalLink" Target="externalLinks/externalLink124.xml"/><Relationship Id="rId153" Type="http://schemas.openxmlformats.org/officeDocument/2006/relationships/externalLink" Target="externalLinks/externalLink145.xml"/><Relationship Id="rId174" Type="http://schemas.openxmlformats.org/officeDocument/2006/relationships/externalLink" Target="externalLinks/externalLink166.xml"/><Relationship Id="rId179" Type="http://schemas.openxmlformats.org/officeDocument/2006/relationships/externalLink" Target="externalLinks/externalLink171.xml"/><Relationship Id="rId195" Type="http://schemas.openxmlformats.org/officeDocument/2006/relationships/calcChain" Target="calcChain.xml"/><Relationship Id="rId190" Type="http://schemas.openxmlformats.org/officeDocument/2006/relationships/externalLink" Target="externalLinks/externalLink182.xml"/><Relationship Id="rId15" Type="http://schemas.openxmlformats.org/officeDocument/2006/relationships/externalLink" Target="externalLinks/externalLink7.xml"/><Relationship Id="rId36" Type="http://schemas.openxmlformats.org/officeDocument/2006/relationships/externalLink" Target="externalLinks/externalLink28.xml"/><Relationship Id="rId57" Type="http://schemas.openxmlformats.org/officeDocument/2006/relationships/externalLink" Target="externalLinks/externalLink49.xml"/><Relationship Id="rId106" Type="http://schemas.openxmlformats.org/officeDocument/2006/relationships/externalLink" Target="externalLinks/externalLink98.xml"/><Relationship Id="rId127" Type="http://schemas.openxmlformats.org/officeDocument/2006/relationships/externalLink" Target="externalLinks/externalLink119.xml"/><Relationship Id="rId10" Type="http://schemas.openxmlformats.org/officeDocument/2006/relationships/externalLink" Target="externalLinks/externalLink2.xml"/><Relationship Id="rId31" Type="http://schemas.openxmlformats.org/officeDocument/2006/relationships/externalLink" Target="externalLinks/externalLink23.xml"/><Relationship Id="rId52" Type="http://schemas.openxmlformats.org/officeDocument/2006/relationships/externalLink" Target="externalLinks/externalLink44.xml"/><Relationship Id="rId73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70.xml"/><Relationship Id="rId94" Type="http://schemas.openxmlformats.org/officeDocument/2006/relationships/externalLink" Target="externalLinks/externalLink86.xml"/><Relationship Id="rId99" Type="http://schemas.openxmlformats.org/officeDocument/2006/relationships/externalLink" Target="externalLinks/externalLink91.xml"/><Relationship Id="rId101" Type="http://schemas.openxmlformats.org/officeDocument/2006/relationships/externalLink" Target="externalLinks/externalLink93.xml"/><Relationship Id="rId122" Type="http://schemas.openxmlformats.org/officeDocument/2006/relationships/externalLink" Target="externalLinks/externalLink114.xml"/><Relationship Id="rId143" Type="http://schemas.openxmlformats.org/officeDocument/2006/relationships/externalLink" Target="externalLinks/externalLink135.xml"/><Relationship Id="rId148" Type="http://schemas.openxmlformats.org/officeDocument/2006/relationships/externalLink" Target="externalLinks/externalLink140.xml"/><Relationship Id="rId164" Type="http://schemas.openxmlformats.org/officeDocument/2006/relationships/externalLink" Target="externalLinks/externalLink156.xml"/><Relationship Id="rId169" Type="http://schemas.openxmlformats.org/officeDocument/2006/relationships/externalLink" Target="externalLinks/externalLink161.xml"/><Relationship Id="rId185" Type="http://schemas.openxmlformats.org/officeDocument/2006/relationships/externalLink" Target="externalLinks/externalLink17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80" Type="http://schemas.openxmlformats.org/officeDocument/2006/relationships/externalLink" Target="externalLinks/externalLink172.xml"/><Relationship Id="rId26" Type="http://schemas.openxmlformats.org/officeDocument/2006/relationships/externalLink" Target="externalLinks/externalLink18.xml"/><Relationship Id="rId47" Type="http://schemas.openxmlformats.org/officeDocument/2006/relationships/externalLink" Target="externalLinks/externalLink39.xml"/><Relationship Id="rId68" Type="http://schemas.openxmlformats.org/officeDocument/2006/relationships/externalLink" Target="externalLinks/externalLink60.xml"/><Relationship Id="rId89" Type="http://schemas.openxmlformats.org/officeDocument/2006/relationships/externalLink" Target="externalLinks/externalLink81.xml"/><Relationship Id="rId112" Type="http://schemas.openxmlformats.org/officeDocument/2006/relationships/externalLink" Target="externalLinks/externalLink104.xml"/><Relationship Id="rId133" Type="http://schemas.openxmlformats.org/officeDocument/2006/relationships/externalLink" Target="externalLinks/externalLink125.xml"/><Relationship Id="rId154" Type="http://schemas.openxmlformats.org/officeDocument/2006/relationships/externalLink" Target="externalLinks/externalLink146.xml"/><Relationship Id="rId175" Type="http://schemas.openxmlformats.org/officeDocument/2006/relationships/externalLink" Target="externalLinks/externalLink167.xml"/><Relationship Id="rId196" Type="http://schemas.openxmlformats.org/officeDocument/2006/relationships/customXml" Target="../customXml/item1.xml"/><Relationship Id="rId16" Type="http://schemas.openxmlformats.org/officeDocument/2006/relationships/externalLink" Target="externalLinks/externalLink8.xml"/><Relationship Id="rId37" Type="http://schemas.openxmlformats.org/officeDocument/2006/relationships/externalLink" Target="externalLinks/externalLink29.xml"/><Relationship Id="rId58" Type="http://schemas.openxmlformats.org/officeDocument/2006/relationships/externalLink" Target="externalLinks/externalLink50.xml"/><Relationship Id="rId79" Type="http://schemas.openxmlformats.org/officeDocument/2006/relationships/externalLink" Target="externalLinks/externalLink71.xml"/><Relationship Id="rId102" Type="http://schemas.openxmlformats.org/officeDocument/2006/relationships/externalLink" Target="externalLinks/externalLink94.xml"/><Relationship Id="rId123" Type="http://schemas.openxmlformats.org/officeDocument/2006/relationships/externalLink" Target="externalLinks/externalLink115.xml"/><Relationship Id="rId144" Type="http://schemas.openxmlformats.org/officeDocument/2006/relationships/externalLink" Target="externalLinks/externalLink136.xml"/><Relationship Id="rId90" Type="http://schemas.openxmlformats.org/officeDocument/2006/relationships/externalLink" Target="externalLinks/externalLink82.xml"/><Relationship Id="rId165" Type="http://schemas.openxmlformats.org/officeDocument/2006/relationships/externalLink" Target="externalLinks/externalLink157.xml"/><Relationship Id="rId186" Type="http://schemas.openxmlformats.org/officeDocument/2006/relationships/externalLink" Target="externalLinks/externalLink178.xml"/><Relationship Id="rId27" Type="http://schemas.openxmlformats.org/officeDocument/2006/relationships/externalLink" Target="externalLinks/externalLink19.xml"/><Relationship Id="rId48" Type="http://schemas.openxmlformats.org/officeDocument/2006/relationships/externalLink" Target="externalLinks/externalLink40.xml"/><Relationship Id="rId69" Type="http://schemas.openxmlformats.org/officeDocument/2006/relationships/externalLink" Target="externalLinks/externalLink61.xml"/><Relationship Id="rId113" Type="http://schemas.openxmlformats.org/officeDocument/2006/relationships/externalLink" Target="externalLinks/externalLink105.xml"/><Relationship Id="rId134" Type="http://schemas.openxmlformats.org/officeDocument/2006/relationships/externalLink" Target="externalLinks/externalLink126.xml"/><Relationship Id="rId80" Type="http://schemas.openxmlformats.org/officeDocument/2006/relationships/externalLink" Target="externalLinks/externalLink72.xml"/><Relationship Id="rId155" Type="http://schemas.openxmlformats.org/officeDocument/2006/relationships/externalLink" Target="externalLinks/externalLink147.xml"/><Relationship Id="rId176" Type="http://schemas.openxmlformats.org/officeDocument/2006/relationships/externalLink" Target="externalLinks/externalLink168.xml"/><Relationship Id="rId17" Type="http://schemas.openxmlformats.org/officeDocument/2006/relationships/externalLink" Target="externalLinks/externalLink9.xml"/><Relationship Id="rId38" Type="http://schemas.openxmlformats.org/officeDocument/2006/relationships/externalLink" Target="externalLinks/externalLink30.xml"/><Relationship Id="rId59" Type="http://schemas.openxmlformats.org/officeDocument/2006/relationships/externalLink" Target="externalLinks/externalLink51.xml"/><Relationship Id="rId103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6.xml"/><Relationship Id="rId70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83.xml"/><Relationship Id="rId145" Type="http://schemas.openxmlformats.org/officeDocument/2006/relationships/externalLink" Target="externalLinks/externalLink137.xml"/><Relationship Id="rId166" Type="http://schemas.openxmlformats.org/officeDocument/2006/relationships/externalLink" Target="externalLinks/externalLink158.xml"/><Relationship Id="rId187" Type="http://schemas.openxmlformats.org/officeDocument/2006/relationships/externalLink" Target="externalLinks/externalLink179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20.xml"/><Relationship Id="rId49" Type="http://schemas.openxmlformats.org/officeDocument/2006/relationships/externalLink" Target="externalLinks/externalLink41.xml"/><Relationship Id="rId114" Type="http://schemas.openxmlformats.org/officeDocument/2006/relationships/externalLink" Target="externalLinks/externalLink106.xml"/><Relationship Id="rId60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73.xml"/><Relationship Id="rId135" Type="http://schemas.openxmlformats.org/officeDocument/2006/relationships/externalLink" Target="externalLinks/externalLink127.xml"/><Relationship Id="rId156" Type="http://schemas.openxmlformats.org/officeDocument/2006/relationships/externalLink" Target="externalLinks/externalLink148.xml"/><Relationship Id="rId177" Type="http://schemas.openxmlformats.org/officeDocument/2006/relationships/externalLink" Target="externalLinks/externalLink169.xml"/><Relationship Id="rId18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3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/><Relationship Id="rId1" Type="http://schemas.openxmlformats.org/officeDocument/2006/relationships/externalLinkPath" Target="file:///\\7739BBBE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/><Relationship Id="rId1" Type="http://schemas.openxmlformats.org/officeDocument/2006/relationships/externalLinkPath" Target="file:///\\620D2B65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3\5YearsPlan\Companies\Hydril\Secondary\Misc\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/><Relationship Id="rId1" Type="http://schemas.openxmlformats.org/officeDocument/2006/relationships/externalLinkPath" Target="file:///\\402C7B0D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>
            <v/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>
            <v/>
          </cell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>
            <v/>
          </cell>
        </row>
        <row r="174">
          <cell r="BT174" t="str">
            <v/>
          </cell>
        </row>
        <row r="175">
          <cell r="BT175" t="str">
            <v/>
          </cell>
          <cell r="BU175" t="str">
            <v/>
          </cell>
        </row>
        <row r="177">
          <cell r="BT177" t="str">
            <v/>
          </cell>
          <cell r="BU177" t="str">
            <v/>
          </cell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>
            <v/>
          </cell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>
            <v/>
          </cell>
        </row>
        <row r="264">
          <cell r="BU264" t="str">
            <v/>
          </cell>
        </row>
        <row r="265">
          <cell r="BU265" t="str">
            <v/>
          </cell>
        </row>
        <row r="266">
          <cell r="BT266" t="str">
            <v/>
          </cell>
        </row>
        <row r="267">
          <cell r="BT267" t="str">
            <v/>
          </cell>
        </row>
        <row r="268">
          <cell r="BT268">
            <v>36996.1</v>
          </cell>
        </row>
        <row r="269">
          <cell r="BT269" t="str">
            <v/>
          </cell>
        </row>
        <row r="278">
          <cell r="BT278" t="str">
            <v/>
          </cell>
        </row>
        <row r="280">
          <cell r="BU280" t="str">
            <v/>
          </cell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>
            <v/>
          </cell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 xml:space="preserve"> </v>
          </cell>
          <cell r="Z102" t="str">
            <v xml:space="preserve"> </v>
          </cell>
        </row>
        <row r="103">
          <cell r="U103" t="str">
            <v xml:space="preserve"> </v>
          </cell>
          <cell r="V103" t="str">
            <v xml:space="preserve"> </v>
          </cell>
          <cell r="Z103" t="str">
            <v xml:space="preserve"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 xml:space="preserve"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 xml:space="preserve"> </v>
          </cell>
        </row>
        <row r="107">
          <cell r="T107" t="str">
            <v>Jermenovci RNP</v>
          </cell>
          <cell r="V107" t="str">
            <v xml:space="preserve"> </v>
          </cell>
          <cell r="X107">
            <v>0</v>
          </cell>
          <cell r="Y107" t="str">
            <v xml:space="preserve"> </v>
          </cell>
        </row>
        <row r="108">
          <cell r="T108" t="str">
            <v>Elemir RNP</v>
          </cell>
          <cell r="V108" t="str">
            <v xml:space="preserve"> </v>
          </cell>
          <cell r="X108">
            <v>0</v>
          </cell>
          <cell r="Y108" t="str">
            <v xml:space="preserve"> </v>
          </cell>
        </row>
        <row r="109">
          <cell r="T109" t="str">
            <v>ČOKA</v>
          </cell>
          <cell r="V109" t="str">
            <v xml:space="preserve"> </v>
          </cell>
          <cell r="X109">
            <v>0</v>
          </cell>
          <cell r="Y109" t="str">
            <v xml:space="preserve"> </v>
          </cell>
        </row>
        <row r="110">
          <cell r="T110" t="str">
            <v>Kikinda RNP</v>
          </cell>
          <cell r="V110" t="str">
            <v xml:space="preserve"> </v>
          </cell>
          <cell r="X110">
            <v>0</v>
          </cell>
          <cell r="Y110" t="str">
            <v xml:space="preserve"> </v>
          </cell>
        </row>
        <row r="111">
          <cell r="T111" t="str">
            <v>BOKA</v>
          </cell>
          <cell r="V111" t="str">
            <v xml:space="preserve"> </v>
          </cell>
          <cell r="X111">
            <v>0</v>
          </cell>
          <cell r="Y111" t="str">
            <v xml:space="preserve"> </v>
          </cell>
        </row>
        <row r="112">
          <cell r="T112" t="str">
            <v>Itebej</v>
          </cell>
          <cell r="V112" t="str">
            <v xml:space="preserve"> </v>
          </cell>
          <cell r="X112">
            <v>0</v>
          </cell>
          <cell r="Y112" t="str">
            <v xml:space="preserve"> </v>
          </cell>
        </row>
        <row r="113">
          <cell r="T113" t="str">
            <v>Karađorđevo RNP</v>
          </cell>
          <cell r="V113" t="str">
            <v xml:space="preserve"> </v>
          </cell>
          <cell r="X113">
            <v>0</v>
          </cell>
          <cell r="Y113" t="str">
            <v xml:space="preserve"> </v>
          </cell>
        </row>
        <row r="114">
          <cell r="T114" t="str">
            <v>Sirakovo RNP</v>
          </cell>
          <cell r="V114" t="str">
            <v xml:space="preserve"> </v>
          </cell>
          <cell r="X114">
            <v>0</v>
          </cell>
          <cell r="Y114" t="str">
            <v xml:space="preserve"> </v>
          </cell>
        </row>
        <row r="115">
          <cell r="T115" t="str">
            <v>Bradarac RNP</v>
          </cell>
          <cell r="V115" t="str">
            <v xml:space="preserve"> </v>
          </cell>
          <cell r="X115">
            <v>0</v>
          </cell>
          <cell r="Y115" t="str">
            <v xml:space="preserve"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 xml:space="preserve"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 xml:space="preserve"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 xml:space="preserve"> </v>
          </cell>
        </row>
        <row r="129">
          <cell r="T129" t="str">
            <v>kikinda</v>
          </cell>
          <cell r="Y129" t="str">
            <v xml:space="preserve"> </v>
          </cell>
        </row>
        <row r="130">
          <cell r="T130" t="str">
            <v>RNS za RNP storno</v>
          </cell>
          <cell r="Y130" t="str">
            <v xml:space="preserve"> </v>
          </cell>
        </row>
        <row r="131">
          <cell r="T131" t="str">
            <v>BASRA LIGHT</v>
          </cell>
          <cell r="Y131" t="str">
            <v xml:space="preserve"> </v>
          </cell>
        </row>
        <row r="132">
          <cell r="T132" t="str">
            <v>TENGIZ</v>
          </cell>
          <cell r="Y132" t="str">
            <v xml:space="preserve"> </v>
          </cell>
        </row>
        <row r="133">
          <cell r="T133" t="str">
            <v xml:space="preserve">REB </v>
          </cell>
          <cell r="Y133" t="str">
            <v xml:space="preserve"> </v>
          </cell>
        </row>
        <row r="134">
          <cell r="T134" t="str">
            <v xml:space="preserve"> RNS ZA rnp</v>
          </cell>
          <cell r="Y134" t="str">
            <v xml:space="preserve"> </v>
          </cell>
        </row>
        <row r="135">
          <cell r="T135" t="str">
            <v xml:space="preserve"> Uk. uvoz RNP</v>
          </cell>
          <cell r="Y135" t="str">
            <v xml:space="preserve"> </v>
          </cell>
        </row>
        <row r="136">
          <cell r="T136" t="str">
            <v>Kikinda</v>
          </cell>
          <cell r="X136">
            <v>0</v>
          </cell>
          <cell r="Y136" t="str">
            <v xml:space="preserve"> </v>
          </cell>
        </row>
        <row r="137">
          <cell r="T137" t="str">
            <v>CPC. BLEND</v>
          </cell>
          <cell r="X137">
            <v>0</v>
          </cell>
          <cell r="Y137" t="str">
            <v xml:space="preserve"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 xml:space="preserve"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 xml:space="preserve"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 xml:space="preserve"> </v>
          </cell>
          <cell r="Y144" t="str">
            <v xml:space="preserve"> </v>
          </cell>
        </row>
        <row r="145">
          <cell r="X145">
            <v>0</v>
          </cell>
          <cell r="Y145" t="str">
            <v xml:space="preserve"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 xml:space="preserve"> </v>
          </cell>
        </row>
        <row r="149">
          <cell r="T149" t="str">
            <v>VGO PROHEMIK</v>
          </cell>
          <cell r="X149">
            <v>0</v>
          </cell>
          <cell r="Y149" t="str">
            <v xml:space="preserve"> </v>
          </cell>
        </row>
        <row r="150">
          <cell r="T150" t="str">
            <v>REB-JUG  OKTA</v>
          </cell>
          <cell r="X150">
            <v>0</v>
          </cell>
          <cell r="Y150" t="str">
            <v xml:space="preserve"> </v>
          </cell>
        </row>
        <row r="151">
          <cell r="T151" t="str">
            <v>REB-PROCHKEMIKAL</v>
          </cell>
          <cell r="X151">
            <v>0</v>
          </cell>
          <cell r="Y151" t="str">
            <v xml:space="preserve"> </v>
          </cell>
        </row>
        <row r="152">
          <cell r="T152" t="str">
            <v>KIRKUK(BEOP.)</v>
          </cell>
          <cell r="X152">
            <v>0</v>
          </cell>
          <cell r="Y152" t="str">
            <v xml:space="preserve"> </v>
          </cell>
        </row>
        <row r="153">
          <cell r="T153" t="str">
            <v>KIKINDA BEOPETROL</v>
          </cell>
          <cell r="X153">
            <v>0</v>
          </cell>
          <cell r="Y153" t="str">
            <v xml:space="preserve"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 xml:space="preserve"> </v>
          </cell>
        </row>
        <row r="158">
          <cell r="T158" t="str">
            <v>REB REP.ROB.REZ.</v>
          </cell>
          <cell r="Y158" t="str">
            <v xml:space="preserve"> </v>
          </cell>
        </row>
        <row r="159">
          <cell r="T159" t="str">
            <v>Uskladištena nafta</v>
          </cell>
          <cell r="Y159" t="str">
            <v xml:space="preserve"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>
            <v/>
          </cell>
          <cell r="M10" t="str">
            <v/>
          </cell>
          <cell r="O10" t="str">
            <v/>
          </cell>
          <cell r="P10">
            <v>0</v>
          </cell>
          <cell r="Q10">
            <v>0.10371655076146463</v>
          </cell>
          <cell r="R10" t="str">
            <v/>
          </cell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>
            <v/>
          </cell>
          <cell r="AT10">
            <v>0</v>
          </cell>
          <cell r="AU10" t="str">
            <v/>
          </cell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>
            <v/>
          </cell>
          <cell r="M11" t="str">
            <v/>
          </cell>
          <cell r="O11" t="str">
            <v/>
          </cell>
          <cell r="P11">
            <v>0</v>
          </cell>
          <cell r="Q11">
            <v>7.1705269662247162E-2</v>
          </cell>
          <cell r="R11" t="str">
            <v/>
          </cell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>
            <v/>
          </cell>
          <cell r="AT11">
            <v>0</v>
          </cell>
          <cell r="AU11" t="str">
            <v/>
          </cell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>
            <v/>
          </cell>
          <cell r="M12" t="str">
            <v/>
          </cell>
          <cell r="O12" t="str">
            <v/>
          </cell>
          <cell r="P12">
            <v>0</v>
          </cell>
          <cell r="Q12">
            <v>0.3482827383594862</v>
          </cell>
          <cell r="R12" t="str">
            <v/>
          </cell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>
            <v/>
          </cell>
          <cell r="AT12">
            <v>0</v>
          </cell>
          <cell r="AU12" t="str">
            <v/>
          </cell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>
            <v/>
          </cell>
          <cell r="M13" t="str">
            <v/>
          </cell>
          <cell r="O13" t="str">
            <v/>
          </cell>
          <cell r="P13">
            <v>0</v>
          </cell>
          <cell r="Q13">
            <v>0.13060602688480732</v>
          </cell>
          <cell r="R13" t="str">
            <v/>
          </cell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>
            <v/>
          </cell>
          <cell r="AT13">
            <v>0</v>
          </cell>
          <cell r="AU13" t="str">
            <v/>
          </cell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>
            <v/>
          </cell>
          <cell r="M14" t="str">
            <v/>
          </cell>
          <cell r="O14" t="str">
            <v/>
          </cell>
          <cell r="P14">
            <v>0</v>
          </cell>
          <cell r="Q14">
            <v>5.890075722256017E-2</v>
          </cell>
          <cell r="R14" t="str">
            <v/>
          </cell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>
            <v/>
          </cell>
          <cell r="AT14">
            <v>0</v>
          </cell>
          <cell r="AU14" t="str">
            <v/>
          </cell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>
            <v/>
          </cell>
          <cell r="M15" t="str">
            <v/>
          </cell>
          <cell r="O15" t="str">
            <v/>
          </cell>
          <cell r="P15">
            <v>0</v>
          </cell>
          <cell r="Q15">
            <v>0.14084963683655694</v>
          </cell>
          <cell r="R15" t="str">
            <v/>
          </cell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>
            <v/>
          </cell>
          <cell r="AT15">
            <v>0</v>
          </cell>
          <cell r="AU15" t="str">
            <v/>
          </cell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>
            <v/>
          </cell>
          <cell r="M16" t="str">
            <v/>
          </cell>
          <cell r="O16" t="str">
            <v/>
          </cell>
          <cell r="P16">
            <v>0</v>
          </cell>
          <cell r="Q16">
            <v>0.29450378611280087</v>
          </cell>
          <cell r="R16" t="str">
            <v/>
          </cell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>
            <v/>
          </cell>
          <cell r="AT16">
            <v>0</v>
          </cell>
          <cell r="AU16" t="str">
            <v/>
          </cell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>
            <v/>
          </cell>
          <cell r="M17" t="str">
            <v/>
          </cell>
          <cell r="O17" t="str">
            <v/>
          </cell>
          <cell r="P17">
            <v>0</v>
          </cell>
          <cell r="Q17">
            <v>0.1869458816194301</v>
          </cell>
          <cell r="R17" t="str">
            <v/>
          </cell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>
            <v/>
          </cell>
          <cell r="AT17">
            <v>0</v>
          </cell>
          <cell r="AU17" t="str">
            <v/>
          </cell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>
            <v/>
          </cell>
          <cell r="M18" t="str">
            <v/>
          </cell>
          <cell r="O18" t="str">
            <v/>
          </cell>
          <cell r="P18">
            <v>0</v>
          </cell>
          <cell r="Q18">
            <v>0.2176767114746789</v>
          </cell>
          <cell r="R18" t="str">
            <v/>
          </cell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>
            <v/>
          </cell>
          <cell r="AT18">
            <v>0</v>
          </cell>
          <cell r="AU18" t="str">
            <v/>
          </cell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>
            <v/>
          </cell>
          <cell r="M19" t="str">
            <v/>
          </cell>
          <cell r="O19" t="str">
            <v/>
          </cell>
          <cell r="P19">
            <v>0</v>
          </cell>
          <cell r="Q19">
            <v>6.2315293873143364E-2</v>
          </cell>
          <cell r="R19" t="str">
            <v/>
          </cell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>
            <v/>
          </cell>
          <cell r="AT19">
            <v>0</v>
          </cell>
          <cell r="AU19" t="str">
            <v/>
          </cell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>
            <v/>
          </cell>
          <cell r="M20" t="str">
            <v/>
          </cell>
          <cell r="O20" t="str">
            <v/>
          </cell>
          <cell r="P20">
            <v>0</v>
          </cell>
          <cell r="Q20">
            <v>0.24968799257389637</v>
          </cell>
          <cell r="R20" t="str">
            <v/>
          </cell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>
            <v/>
          </cell>
          <cell r="AT20">
            <v>0</v>
          </cell>
          <cell r="AU20" t="str">
            <v/>
          </cell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>
            <v/>
          </cell>
          <cell r="M21" t="str">
            <v/>
          </cell>
          <cell r="O21" t="str">
            <v/>
          </cell>
          <cell r="P21">
            <v>0</v>
          </cell>
          <cell r="Q21">
            <v>0.11139925822527683</v>
          </cell>
          <cell r="R21" t="str">
            <v/>
          </cell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>
            <v/>
          </cell>
          <cell r="AT21">
            <v>0</v>
          </cell>
          <cell r="AU21" t="str">
            <v/>
          </cell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>
            <v/>
          </cell>
          <cell r="M22" t="str">
            <v/>
          </cell>
          <cell r="O22" t="str">
            <v/>
          </cell>
          <cell r="P22">
            <v>0</v>
          </cell>
          <cell r="Q22">
            <v>9.4753392053683758E-2</v>
          </cell>
          <cell r="R22" t="str">
            <v/>
          </cell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>
            <v/>
          </cell>
          <cell r="AT22">
            <v>0</v>
          </cell>
          <cell r="AU22" t="str">
            <v/>
          </cell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>
            <v/>
          </cell>
          <cell r="M23" t="str">
            <v/>
          </cell>
          <cell r="O23" t="str">
            <v/>
          </cell>
          <cell r="P23">
            <v>0</v>
          </cell>
          <cell r="Q23">
            <v>5.249850100271667E-2</v>
          </cell>
          <cell r="R23" t="str">
            <v/>
          </cell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>
            <v/>
          </cell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>
            <v/>
          </cell>
          <cell r="M24" t="str">
            <v/>
          </cell>
          <cell r="O24" t="str">
            <v/>
          </cell>
          <cell r="P24">
            <v>0</v>
          </cell>
          <cell r="Q24">
            <v>8.4509782101934147E-2</v>
          </cell>
          <cell r="R24" t="str">
            <v/>
          </cell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>
            <v/>
          </cell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>
            <v/>
          </cell>
          <cell r="M25" t="str">
            <v/>
          </cell>
          <cell r="O25" t="str">
            <v/>
          </cell>
          <cell r="P25">
            <v>0</v>
          </cell>
          <cell r="Q25">
            <v>7.8107525882090661E-2</v>
          </cell>
          <cell r="R25" t="str">
            <v/>
          </cell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>
            <v/>
          </cell>
          <cell r="AT25">
            <v>0</v>
          </cell>
          <cell r="AU25" t="str">
            <v/>
          </cell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>
            <v/>
          </cell>
          <cell r="M26" t="str">
            <v/>
          </cell>
          <cell r="O26" t="str">
            <v/>
          </cell>
          <cell r="P26">
            <v>0</v>
          </cell>
          <cell r="Q26">
            <v>0.25609024879373987</v>
          </cell>
          <cell r="R26" t="str">
            <v/>
          </cell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>
            <v/>
          </cell>
          <cell r="AT26">
            <v>0</v>
          </cell>
          <cell r="AU26" t="str">
            <v/>
          </cell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>
            <v/>
          </cell>
          <cell r="M27" t="str">
            <v/>
          </cell>
          <cell r="O27" t="str">
            <v/>
          </cell>
          <cell r="P27">
            <v>0</v>
          </cell>
          <cell r="Q27">
            <v>9.3472940809715049E-2</v>
          </cell>
          <cell r="R27" t="str">
            <v/>
          </cell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>
            <v/>
          </cell>
          <cell r="AT27">
            <v>0</v>
          </cell>
          <cell r="AU27" t="str">
            <v/>
          </cell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>
            <v/>
          </cell>
          <cell r="M28" t="str">
            <v/>
          </cell>
          <cell r="O28" t="str">
            <v/>
          </cell>
          <cell r="P28">
            <v>0</v>
          </cell>
          <cell r="Q28">
            <v>0.24328573635405287</v>
          </cell>
          <cell r="R28" t="str">
            <v/>
          </cell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>
            <v/>
          </cell>
          <cell r="AT28">
            <v>0</v>
          </cell>
          <cell r="AU28" t="str">
            <v/>
          </cell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>
            <v/>
          </cell>
          <cell r="M29" t="str">
            <v/>
          </cell>
          <cell r="O29" t="str">
            <v/>
          </cell>
          <cell r="P29">
            <v>0</v>
          </cell>
          <cell r="Q29">
            <v>0.14789211867838481</v>
          </cell>
          <cell r="R29" t="str">
            <v/>
          </cell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>
            <v/>
          </cell>
          <cell r="AT29">
            <v>0</v>
          </cell>
          <cell r="AU29" t="str">
            <v/>
          </cell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>
            <v/>
          </cell>
          <cell r="M30" t="str">
            <v/>
          </cell>
          <cell r="O30" t="str">
            <v/>
          </cell>
          <cell r="P30">
            <v>0</v>
          </cell>
          <cell r="Q30">
            <v>8.1095245451350953E-2</v>
          </cell>
          <cell r="R30" t="str">
            <v/>
          </cell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>
            <v/>
          </cell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>
            <v/>
          </cell>
          <cell r="M31" t="str">
            <v/>
          </cell>
          <cell r="O31" t="str">
            <v/>
          </cell>
          <cell r="P31">
            <v>0</v>
          </cell>
          <cell r="Q31">
            <v>0.15877595425211871</v>
          </cell>
          <cell r="R31" t="str">
            <v/>
          </cell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>
            <v/>
          </cell>
          <cell r="AT31">
            <v>0</v>
          </cell>
          <cell r="AU31" t="str">
            <v/>
          </cell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>
            <v/>
          </cell>
          <cell r="M32" t="str">
            <v/>
          </cell>
          <cell r="O32" t="str">
            <v/>
          </cell>
          <cell r="P32">
            <v>0</v>
          </cell>
          <cell r="Q32">
            <v>0.15365414927624393</v>
          </cell>
          <cell r="R32" t="str">
            <v/>
          </cell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>
            <v/>
          </cell>
          <cell r="AT32">
            <v>0</v>
          </cell>
          <cell r="AU32" t="str">
            <v/>
          </cell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>
            <v/>
          </cell>
          <cell r="M33" t="str">
            <v/>
          </cell>
          <cell r="O33" t="str">
            <v/>
          </cell>
          <cell r="P33">
            <v>0</v>
          </cell>
          <cell r="Q33">
            <v>0.25609024879373987</v>
          </cell>
          <cell r="R33" t="str">
            <v/>
          </cell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>
            <v/>
          </cell>
          <cell r="AT33">
            <v>0</v>
          </cell>
          <cell r="AU33" t="str">
            <v/>
          </cell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>
            <v/>
          </cell>
          <cell r="M34" t="str">
            <v/>
          </cell>
          <cell r="O34" t="str">
            <v/>
          </cell>
          <cell r="P34">
            <v>0</v>
          </cell>
          <cell r="Q34">
            <v>0.17670227166768052</v>
          </cell>
          <cell r="R34" t="str">
            <v/>
          </cell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>
            <v/>
          </cell>
          <cell r="AT34">
            <v>0</v>
          </cell>
          <cell r="AU34" t="str">
            <v/>
          </cell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>
            <v/>
          </cell>
          <cell r="M35" t="str">
            <v/>
          </cell>
          <cell r="O35" t="str">
            <v/>
          </cell>
          <cell r="P35">
            <v>0</v>
          </cell>
          <cell r="Q35">
            <v>0.1184417400671047</v>
          </cell>
          <cell r="R35" t="str">
            <v/>
          </cell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>
            <v/>
          </cell>
          <cell r="AT35">
            <v>0</v>
          </cell>
          <cell r="AU35" t="str">
            <v/>
          </cell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>
            <v/>
          </cell>
          <cell r="M36" t="str">
            <v/>
          </cell>
          <cell r="O36" t="str">
            <v/>
          </cell>
          <cell r="P36">
            <v>0</v>
          </cell>
          <cell r="Q36">
            <v>0.17286091793577441</v>
          </cell>
          <cell r="R36" t="str">
            <v/>
          </cell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>
            <v/>
          </cell>
          <cell r="AT36">
            <v>0</v>
          </cell>
          <cell r="AU36" t="str">
            <v/>
          </cell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>
            <v/>
          </cell>
          <cell r="M37" t="str">
            <v/>
          </cell>
          <cell r="O37" t="str">
            <v/>
          </cell>
          <cell r="P37">
            <v>0</v>
          </cell>
          <cell r="Q37">
            <v>0.12292331942099513</v>
          </cell>
          <cell r="R37" t="str">
            <v/>
          </cell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>
            <v/>
          </cell>
          <cell r="AT37">
            <v>0</v>
          </cell>
          <cell r="AU37" t="str">
            <v/>
          </cell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>
            <v/>
          </cell>
          <cell r="M38" t="str">
            <v/>
          </cell>
          <cell r="O38" t="str">
            <v/>
          </cell>
          <cell r="P38">
            <v>0</v>
          </cell>
          <cell r="Q38">
            <v>9.4753392053683758E-2</v>
          </cell>
          <cell r="R38" t="str">
            <v/>
          </cell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>
            <v/>
          </cell>
          <cell r="AT38">
            <v>0</v>
          </cell>
          <cell r="AU38" t="str">
            <v/>
          </cell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>
            <v/>
          </cell>
          <cell r="M39" t="str">
            <v/>
          </cell>
          <cell r="O39" t="str">
            <v/>
          </cell>
          <cell r="P39">
            <v>0</v>
          </cell>
          <cell r="Q39">
            <v>0.17243410085445152</v>
          </cell>
          <cell r="R39" t="str">
            <v/>
          </cell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>
            <v/>
          </cell>
          <cell r="AT39">
            <v>0</v>
          </cell>
          <cell r="AU39" t="str">
            <v/>
          </cell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>
            <v/>
          </cell>
          <cell r="M40" t="str">
            <v/>
          </cell>
          <cell r="O40" t="str">
            <v/>
          </cell>
          <cell r="P40">
            <v>0</v>
          </cell>
          <cell r="Q40">
            <v>0.19531149641335899</v>
          </cell>
          <cell r="R40" t="str">
            <v/>
          </cell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>
            <v/>
          </cell>
          <cell r="AT40">
            <v>0</v>
          </cell>
          <cell r="AU40" t="str">
            <v/>
          </cell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>
            <v/>
          </cell>
          <cell r="M41" t="str">
            <v/>
          </cell>
          <cell r="O41" t="str">
            <v/>
          </cell>
          <cell r="P41">
            <v>0</v>
          </cell>
          <cell r="Q41">
            <v>0.12292331942099514</v>
          </cell>
          <cell r="R41" t="str">
            <v/>
          </cell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>
            <v/>
          </cell>
          <cell r="AT41">
            <v>0</v>
          </cell>
          <cell r="AU41" t="str">
            <v/>
          </cell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>
            <v/>
          </cell>
          <cell r="M42" t="str">
            <v/>
          </cell>
          <cell r="O42" t="str">
            <v/>
          </cell>
          <cell r="P42">
            <v>0</v>
          </cell>
          <cell r="Q42">
            <v>8.4509782101934161E-2</v>
          </cell>
          <cell r="R42" t="str">
            <v/>
          </cell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>
            <v/>
          </cell>
          <cell r="AT42">
            <v>0</v>
          </cell>
          <cell r="AU42" t="str">
            <v/>
          </cell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>
            <v/>
          </cell>
          <cell r="M43" t="str">
            <v/>
          </cell>
          <cell r="O43" t="str">
            <v/>
          </cell>
          <cell r="P43">
            <v>0</v>
          </cell>
          <cell r="Q43">
            <v>5.5272812031315517E-2</v>
          </cell>
          <cell r="R43" t="str">
            <v/>
          </cell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>
            <v/>
          </cell>
          <cell r="AT43">
            <v>0</v>
          </cell>
          <cell r="AU43" t="str">
            <v/>
          </cell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>
            <v/>
          </cell>
          <cell r="M44" t="str">
            <v/>
          </cell>
          <cell r="O44" t="str">
            <v/>
          </cell>
          <cell r="P44">
            <v>0</v>
          </cell>
          <cell r="Q44">
            <v>9.599116158952016E-2</v>
          </cell>
          <cell r="R44" t="str">
            <v/>
          </cell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>
            <v/>
          </cell>
          <cell r="AT44">
            <v>0</v>
          </cell>
          <cell r="AU44" t="str">
            <v/>
          </cell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>
            <v/>
          </cell>
          <cell r="M45" t="str">
            <v/>
          </cell>
          <cell r="O45" t="str">
            <v/>
          </cell>
          <cell r="P45">
            <v>0</v>
          </cell>
          <cell r="Q45">
            <v>0.13658146602332794</v>
          </cell>
          <cell r="R45" t="str">
            <v/>
          </cell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>
            <v/>
          </cell>
          <cell r="AT45">
            <v>0</v>
          </cell>
          <cell r="AU45" t="str">
            <v/>
          </cell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>
            <v/>
          </cell>
          <cell r="M46" t="str">
            <v/>
          </cell>
          <cell r="O46" t="str">
            <v/>
          </cell>
          <cell r="P46">
            <v>0</v>
          </cell>
          <cell r="Q46">
            <v>0.11331993509122988</v>
          </cell>
          <cell r="R46" t="str">
            <v/>
          </cell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>
            <v/>
          </cell>
          <cell r="AT46">
            <v>0</v>
          </cell>
          <cell r="AU46" t="str">
            <v/>
          </cell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>
            <v/>
          </cell>
          <cell r="M47" t="str">
            <v/>
          </cell>
          <cell r="O47" t="str">
            <v/>
          </cell>
          <cell r="P47">
            <v>0</v>
          </cell>
          <cell r="Q47">
            <v>0.12036241693305774</v>
          </cell>
          <cell r="R47" t="str">
            <v/>
          </cell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>
            <v/>
          </cell>
          <cell r="AT47">
            <v>0</v>
          </cell>
          <cell r="AU47" t="str">
            <v/>
          </cell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>
            <v/>
          </cell>
          <cell r="M48" t="str">
            <v/>
          </cell>
          <cell r="O48" t="str">
            <v/>
          </cell>
          <cell r="P48">
            <v>0</v>
          </cell>
          <cell r="Q48">
            <v>0.21639626023071018</v>
          </cell>
          <cell r="R48" t="str">
            <v/>
          </cell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>
            <v/>
          </cell>
          <cell r="AT48">
            <v>0</v>
          </cell>
          <cell r="AU48" t="str">
            <v/>
          </cell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>
            <v/>
          </cell>
          <cell r="M49" t="str">
            <v/>
          </cell>
          <cell r="O49" t="str">
            <v/>
          </cell>
          <cell r="P49">
            <v>0</v>
          </cell>
          <cell r="Q49">
            <v>0.2048721990349919</v>
          </cell>
          <cell r="R49" t="str">
            <v/>
          </cell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>
            <v/>
          </cell>
          <cell r="AT49">
            <v>0</v>
          </cell>
          <cell r="AU49" t="str">
            <v/>
          </cell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>
            <v/>
          </cell>
          <cell r="M50" t="str">
            <v/>
          </cell>
          <cell r="O50" t="str">
            <v/>
          </cell>
          <cell r="P50">
            <v>0</v>
          </cell>
          <cell r="Q50">
            <v>0.11950878277041195</v>
          </cell>
          <cell r="R50" t="str">
            <v/>
          </cell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>
            <v/>
          </cell>
          <cell r="AT50">
            <v>0</v>
          </cell>
          <cell r="AU50" t="str">
            <v/>
          </cell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>
            <v/>
          </cell>
          <cell r="M51" t="str">
            <v/>
          </cell>
          <cell r="O51" t="str">
            <v/>
          </cell>
          <cell r="P51">
            <v>0</v>
          </cell>
          <cell r="Q51">
            <v>0.25609024879373987</v>
          </cell>
          <cell r="R51" t="str">
            <v/>
          </cell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>
            <v/>
          </cell>
          <cell r="AT51">
            <v>0</v>
          </cell>
          <cell r="AU51" t="str">
            <v/>
          </cell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>
            <v/>
          </cell>
          <cell r="M52" t="str">
            <v/>
          </cell>
          <cell r="O52" t="str">
            <v/>
          </cell>
          <cell r="P52">
            <v>0</v>
          </cell>
          <cell r="Q52">
            <v>0.12804512439686994</v>
          </cell>
          <cell r="R52" t="str">
            <v/>
          </cell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>
            <v/>
          </cell>
          <cell r="AT52">
            <v>0</v>
          </cell>
          <cell r="AU52" t="str">
            <v/>
          </cell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>
            <v/>
          </cell>
          <cell r="M53" t="str">
            <v/>
          </cell>
          <cell r="O53" t="str">
            <v/>
          </cell>
          <cell r="P53">
            <v>0</v>
          </cell>
          <cell r="Q53">
            <v>0.1613368567400561</v>
          </cell>
          <cell r="R53" t="str">
            <v/>
          </cell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>
            <v/>
          </cell>
          <cell r="AT53">
            <v>0</v>
          </cell>
          <cell r="AU53" t="str">
            <v/>
          </cell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>
            <v/>
          </cell>
          <cell r="M54" t="str">
            <v/>
          </cell>
          <cell r="O54" t="str">
            <v/>
          </cell>
          <cell r="P54">
            <v>0</v>
          </cell>
          <cell r="Q54">
            <v>6.4022562198434968E-2</v>
          </cell>
          <cell r="R54" t="str">
            <v/>
          </cell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>
            <v/>
          </cell>
          <cell r="AT54">
            <v>0</v>
          </cell>
          <cell r="AU54" t="str">
            <v/>
          </cell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>
            <v/>
          </cell>
          <cell r="M55" t="str">
            <v/>
          </cell>
          <cell r="O55" t="str">
            <v/>
          </cell>
          <cell r="P55">
            <v>0</v>
          </cell>
          <cell r="Q55">
            <v>7.085163549960137E-2</v>
          </cell>
          <cell r="R55" t="str">
            <v/>
          </cell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>
            <v/>
          </cell>
          <cell r="AT55">
            <v>0</v>
          </cell>
          <cell r="AU55" t="str">
            <v/>
          </cell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>
            <v/>
          </cell>
          <cell r="M56" t="str">
            <v/>
          </cell>
          <cell r="O56" t="str">
            <v/>
          </cell>
          <cell r="P56">
            <v>0</v>
          </cell>
          <cell r="Q56">
            <v>0.13188647812877605</v>
          </cell>
          <cell r="R56" t="str">
            <v/>
          </cell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>
            <v/>
          </cell>
          <cell r="AT56">
            <v>0</v>
          </cell>
          <cell r="AU56" t="str">
            <v/>
          </cell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>
            <v/>
          </cell>
          <cell r="M57" t="str">
            <v/>
          </cell>
          <cell r="O57" t="str">
            <v/>
          </cell>
          <cell r="P57">
            <v>0</v>
          </cell>
          <cell r="Q57">
            <v>0.19036041827001332</v>
          </cell>
          <cell r="R57" t="str">
            <v/>
          </cell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>
            <v/>
          </cell>
          <cell r="AT57">
            <v>0</v>
          </cell>
          <cell r="AU57" t="str">
            <v/>
          </cell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>
            <v/>
          </cell>
          <cell r="M58" t="str">
            <v/>
          </cell>
          <cell r="O58" t="str">
            <v/>
          </cell>
          <cell r="P58">
            <v>0</v>
          </cell>
          <cell r="Q58">
            <v>0.16688547879725379</v>
          </cell>
          <cell r="R58" t="str">
            <v/>
          </cell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>
            <v/>
          </cell>
          <cell r="AT58">
            <v>0</v>
          </cell>
          <cell r="AU58" t="str">
            <v/>
          </cell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>
            <v/>
          </cell>
          <cell r="M59" t="str">
            <v/>
          </cell>
          <cell r="O59" t="str">
            <v/>
          </cell>
          <cell r="P59">
            <v>0</v>
          </cell>
          <cell r="Q59">
            <v>6.7479780557150454E-2</v>
          </cell>
          <cell r="R59" t="str">
            <v/>
          </cell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>
            <v/>
          </cell>
          <cell r="AT59">
            <v>0</v>
          </cell>
          <cell r="AU59" t="str">
            <v/>
          </cell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>
            <v/>
          </cell>
          <cell r="M60" t="str">
            <v/>
          </cell>
          <cell r="O60" t="str">
            <v/>
          </cell>
          <cell r="P60">
            <v>0</v>
          </cell>
          <cell r="Q60">
            <v>7.618684901613762E-2</v>
          </cell>
          <cell r="R60" t="str">
            <v/>
          </cell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>
            <v/>
          </cell>
          <cell r="AT60">
            <v>0</v>
          </cell>
          <cell r="AU60" t="str">
            <v/>
          </cell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>
            <v/>
          </cell>
          <cell r="M61" t="str">
            <v/>
          </cell>
          <cell r="O61" t="str">
            <v/>
          </cell>
          <cell r="P61">
            <v>0</v>
          </cell>
          <cell r="Q61">
            <v>0.3105094266624096</v>
          </cell>
          <cell r="R61" t="str">
            <v/>
          </cell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>
            <v/>
          </cell>
          <cell r="AT61">
            <v>0</v>
          </cell>
          <cell r="AU61" t="str">
            <v/>
          </cell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>
            <v/>
          </cell>
          <cell r="M62" t="str">
            <v/>
          </cell>
          <cell r="O62" t="str">
            <v/>
          </cell>
          <cell r="P62">
            <v>0</v>
          </cell>
          <cell r="Q62">
            <v>3.8413537319060984E-2</v>
          </cell>
          <cell r="R62" t="str">
            <v/>
          </cell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>
            <v/>
          </cell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>
            <v/>
          </cell>
          <cell r="M63" t="str">
            <v/>
          </cell>
          <cell r="O63" t="str">
            <v/>
          </cell>
          <cell r="P63">
            <v>0</v>
          </cell>
          <cell r="Q63">
            <v>6.2443338997540253E-2</v>
          </cell>
          <cell r="R63" t="str">
            <v/>
          </cell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>
            <v/>
          </cell>
          <cell r="AT63">
            <v>0</v>
          </cell>
          <cell r="AU63" t="str">
            <v/>
          </cell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>
            <v/>
          </cell>
          <cell r="M64" t="str">
            <v/>
          </cell>
          <cell r="O64" t="str">
            <v/>
          </cell>
          <cell r="P64">
            <v>0</v>
          </cell>
          <cell r="Q64">
            <v>0.18182407664355529</v>
          </cell>
          <cell r="R64" t="str">
            <v/>
          </cell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>
            <v/>
          </cell>
          <cell r="AT64">
            <v>0</v>
          </cell>
          <cell r="AU64" t="str">
            <v/>
          </cell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>
            <v/>
          </cell>
          <cell r="M65" t="str">
            <v/>
          </cell>
          <cell r="O65" t="str">
            <v/>
          </cell>
          <cell r="P65">
            <v>0</v>
          </cell>
          <cell r="Q65">
            <v>0.12676467315290127</v>
          </cell>
          <cell r="R65" t="str">
            <v/>
          </cell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>
            <v/>
          </cell>
          <cell r="AT65">
            <v>0</v>
          </cell>
          <cell r="AU65" t="str">
            <v/>
          </cell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>
            <v/>
          </cell>
          <cell r="M66" t="str">
            <v/>
          </cell>
          <cell r="O66" t="str">
            <v/>
          </cell>
          <cell r="P66">
            <v>0</v>
          </cell>
          <cell r="Q66">
            <v>0.10115564827352727</v>
          </cell>
          <cell r="R66" t="str">
            <v/>
          </cell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>
            <v/>
          </cell>
          <cell r="AT66">
            <v>0</v>
          </cell>
          <cell r="AU66" t="str">
            <v/>
          </cell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>
            <v/>
          </cell>
          <cell r="M67" t="str">
            <v/>
          </cell>
          <cell r="O67" t="str">
            <v/>
          </cell>
          <cell r="P67">
            <v>0</v>
          </cell>
          <cell r="Q67">
            <v>0.13188647812877605</v>
          </cell>
          <cell r="R67" t="str">
            <v/>
          </cell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>
            <v/>
          </cell>
          <cell r="AT67">
            <v>0</v>
          </cell>
          <cell r="AU67" t="str">
            <v/>
          </cell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>
            <v/>
          </cell>
          <cell r="M68" t="str">
            <v/>
          </cell>
          <cell r="O68" t="str">
            <v/>
          </cell>
          <cell r="P68">
            <v>0</v>
          </cell>
          <cell r="Q68">
            <v>0.10499700200543334</v>
          </cell>
          <cell r="R68" t="str">
            <v/>
          </cell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>
            <v/>
          </cell>
          <cell r="AT68">
            <v>0</v>
          </cell>
          <cell r="AU68" t="str">
            <v/>
          </cell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>
            <v/>
          </cell>
          <cell r="M69" t="str">
            <v/>
          </cell>
          <cell r="O69" t="str">
            <v/>
          </cell>
          <cell r="P69">
            <v>0</v>
          </cell>
          <cell r="Q69">
            <v>0.10755790449337076</v>
          </cell>
          <cell r="R69" t="str">
            <v/>
          </cell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>
            <v/>
          </cell>
          <cell r="AT69">
            <v>0</v>
          </cell>
          <cell r="AU69" t="str">
            <v/>
          </cell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>
            <v/>
          </cell>
          <cell r="M70" t="str">
            <v/>
          </cell>
          <cell r="O70" t="str">
            <v/>
          </cell>
          <cell r="P70">
            <v>0</v>
          </cell>
          <cell r="Q70">
            <v>0.11950878277041195</v>
          </cell>
          <cell r="R70" t="str">
            <v/>
          </cell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>
            <v/>
          </cell>
          <cell r="AT70">
            <v>0</v>
          </cell>
          <cell r="AU70" t="str">
            <v/>
          </cell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>
            <v/>
          </cell>
          <cell r="M71" t="str">
            <v/>
          </cell>
          <cell r="O71" t="str">
            <v/>
          </cell>
          <cell r="P71">
            <v>0</v>
          </cell>
          <cell r="Q71">
            <v>5.4205769328008267E-2</v>
          </cell>
          <cell r="R71" t="str">
            <v/>
          </cell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>
            <v/>
          </cell>
          <cell r="AT71">
            <v>0</v>
          </cell>
          <cell r="AU71" t="str">
            <v/>
          </cell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>
            <v/>
          </cell>
          <cell r="M72" t="str">
            <v/>
          </cell>
          <cell r="O72" t="str">
            <v/>
          </cell>
          <cell r="P72">
            <v>0</v>
          </cell>
          <cell r="Q72">
            <v>6.9571184255632676E-2</v>
          </cell>
          <cell r="R72" t="str">
            <v/>
          </cell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>
            <v/>
          </cell>
          <cell r="AT72">
            <v>0</v>
          </cell>
          <cell r="AU72" t="str">
            <v/>
          </cell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>
            <v/>
          </cell>
          <cell r="M73" t="str">
            <v/>
          </cell>
          <cell r="O73" t="str">
            <v/>
          </cell>
          <cell r="P73">
            <v>0</v>
          </cell>
          <cell r="Q73">
            <v>0.23560302889024068</v>
          </cell>
          <cell r="R73" t="str">
            <v/>
          </cell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>
            <v/>
          </cell>
          <cell r="AT73">
            <v>0</v>
          </cell>
          <cell r="AU73" t="str">
            <v/>
          </cell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>
            <v/>
          </cell>
          <cell r="M74" t="str">
            <v/>
          </cell>
          <cell r="O74" t="str">
            <v/>
          </cell>
          <cell r="P74">
            <v>0</v>
          </cell>
          <cell r="Q74">
            <v>0.1188258754402953</v>
          </cell>
          <cell r="R74" t="str">
            <v/>
          </cell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>
            <v/>
          </cell>
          <cell r="AT74">
            <v>0</v>
          </cell>
          <cell r="AU74" t="str">
            <v/>
          </cell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>
            <v/>
          </cell>
          <cell r="M75" t="str">
            <v/>
          </cell>
          <cell r="O75" t="str">
            <v/>
          </cell>
          <cell r="P75">
            <v>0</v>
          </cell>
          <cell r="Q75">
            <v>0.16731229587857671</v>
          </cell>
          <cell r="R75" t="str">
            <v/>
          </cell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>
            <v/>
          </cell>
          <cell r="AT75">
            <v>0</v>
          </cell>
          <cell r="AU75" t="str">
            <v/>
          </cell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>
            <v/>
          </cell>
          <cell r="M76" t="str">
            <v/>
          </cell>
          <cell r="O76" t="str">
            <v/>
          </cell>
          <cell r="P76">
            <v>0</v>
          </cell>
          <cell r="Q76">
            <v>8.8351135833840258E-2</v>
          </cell>
          <cell r="R76" t="str">
            <v/>
          </cell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>
            <v/>
          </cell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>
            <v/>
          </cell>
          <cell r="M77" t="str">
            <v/>
          </cell>
          <cell r="O77" t="str">
            <v/>
          </cell>
          <cell r="P77">
            <v>0</v>
          </cell>
          <cell r="Q77">
            <v>0.1434105393244943</v>
          </cell>
          <cell r="R77" t="str">
            <v/>
          </cell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>
            <v/>
          </cell>
          <cell r="AT77">
            <v>0</v>
          </cell>
          <cell r="AU77" t="str">
            <v/>
          </cell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>
            <v/>
          </cell>
          <cell r="M78" t="str">
            <v/>
          </cell>
          <cell r="O78" t="str">
            <v/>
          </cell>
          <cell r="P78">
            <v>0</v>
          </cell>
          <cell r="Q78">
            <v>4.8657147270810566E-2</v>
          </cell>
          <cell r="R78" t="str">
            <v/>
          </cell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>
            <v/>
          </cell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>
            <v/>
          </cell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>
            <v/>
          </cell>
          <cell r="M80" t="str">
            <v/>
          </cell>
          <cell r="O80" t="str">
            <v/>
          </cell>
          <cell r="P80">
            <v>0</v>
          </cell>
          <cell r="Q80">
            <v>0.21340854066144987</v>
          </cell>
          <cell r="R80" t="str">
            <v/>
          </cell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>
            <v/>
          </cell>
          <cell r="AT80">
            <v>0</v>
          </cell>
          <cell r="AU80" t="str">
            <v/>
          </cell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>
            <v/>
          </cell>
          <cell r="M81" t="str">
            <v/>
          </cell>
          <cell r="O81" t="str">
            <v/>
          </cell>
          <cell r="P81">
            <v>0</v>
          </cell>
          <cell r="Q81">
            <v>0.2155426260680644</v>
          </cell>
          <cell r="R81" t="str">
            <v/>
          </cell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>
            <v/>
          </cell>
          <cell r="AT81">
            <v>0</v>
          </cell>
          <cell r="AU81" t="str">
            <v/>
          </cell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>
            <v/>
          </cell>
          <cell r="M82" t="str">
            <v/>
          </cell>
          <cell r="O82" t="str">
            <v/>
          </cell>
          <cell r="P82">
            <v>0</v>
          </cell>
          <cell r="Q82">
            <v>0.20871355276689801</v>
          </cell>
          <cell r="R82" t="str">
            <v/>
          </cell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>
            <v/>
          </cell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>
            <v/>
          </cell>
          <cell r="M83" t="str">
            <v/>
          </cell>
          <cell r="O83" t="str">
            <v/>
          </cell>
          <cell r="P83">
            <v>0</v>
          </cell>
          <cell r="Q83">
            <v>0.15237369803227524</v>
          </cell>
          <cell r="R83" t="str">
            <v/>
          </cell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>
            <v/>
          </cell>
          <cell r="AT83">
            <v>0</v>
          </cell>
          <cell r="AU83" t="str">
            <v/>
          </cell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>
            <v/>
          </cell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>
            <v/>
          </cell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>
            <v/>
          </cell>
          <cell r="M86" t="str">
            <v/>
          </cell>
          <cell r="O86" t="str">
            <v/>
          </cell>
          <cell r="P86">
            <v>0</v>
          </cell>
          <cell r="Q86">
            <v>0.18054362539958663</v>
          </cell>
          <cell r="R86" t="str">
            <v/>
          </cell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>
            <v/>
          </cell>
          <cell r="AT86">
            <v>0</v>
          </cell>
          <cell r="AU86" t="str">
            <v/>
          </cell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>
            <v/>
          </cell>
          <cell r="M87" t="str">
            <v/>
          </cell>
          <cell r="O87" t="str">
            <v/>
          </cell>
          <cell r="P87">
            <v>0</v>
          </cell>
          <cell r="Q87">
            <v>0.1399960026739111</v>
          </cell>
          <cell r="R87" t="str">
            <v/>
          </cell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>
            <v/>
          </cell>
          <cell r="AT87">
            <v>0</v>
          </cell>
          <cell r="AU87" t="str">
            <v/>
          </cell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>
            <v/>
          </cell>
          <cell r="M88" t="str">
            <v/>
          </cell>
          <cell r="O88" t="str">
            <v/>
          </cell>
          <cell r="P88">
            <v>0</v>
          </cell>
          <cell r="Q88">
            <v>0.23474939472759487</v>
          </cell>
          <cell r="R88" t="str">
            <v/>
          </cell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>
            <v/>
          </cell>
          <cell r="AT88">
            <v>0</v>
          </cell>
          <cell r="AU88" t="str">
            <v/>
          </cell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>
            <v/>
          </cell>
          <cell r="M89" t="str">
            <v/>
          </cell>
          <cell r="O89" t="str">
            <v/>
          </cell>
          <cell r="P89">
            <v>0</v>
          </cell>
          <cell r="Q89">
            <v>0.27657746869723909</v>
          </cell>
          <cell r="R89" t="str">
            <v/>
          </cell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>
            <v/>
          </cell>
          <cell r="AT89">
            <v>0</v>
          </cell>
          <cell r="AU89" t="str">
            <v/>
          </cell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>
            <v/>
          </cell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>
            <v/>
          </cell>
          <cell r="M91" t="str">
            <v/>
          </cell>
          <cell r="O91" t="str">
            <v/>
          </cell>
          <cell r="P91">
            <v>0</v>
          </cell>
          <cell r="Q91">
            <v>0.11908196568908905</v>
          </cell>
          <cell r="R91" t="str">
            <v/>
          </cell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>
            <v/>
          </cell>
          <cell r="AT91">
            <v>0</v>
          </cell>
          <cell r="AU91" t="str">
            <v/>
          </cell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>
            <v/>
          </cell>
          <cell r="AT92">
            <v>0</v>
          </cell>
          <cell r="AU92" t="str">
            <v/>
          </cell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>
            <v/>
          </cell>
          <cell r="M93" t="str">
            <v/>
          </cell>
          <cell r="O93" t="str">
            <v/>
          </cell>
          <cell r="P93">
            <v>0</v>
          </cell>
          <cell r="Q93">
            <v>0.1184417400671047</v>
          </cell>
          <cell r="R93" t="str">
            <v/>
          </cell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>
            <v/>
          </cell>
          <cell r="AT93">
            <v>0</v>
          </cell>
          <cell r="AU93" t="str">
            <v/>
          </cell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>
            <v/>
          </cell>
          <cell r="M94" t="str">
            <v/>
          </cell>
          <cell r="O94" t="str">
            <v/>
          </cell>
          <cell r="P94">
            <v>0</v>
          </cell>
          <cell r="Q94">
            <v>0.25865115128167726</v>
          </cell>
          <cell r="R94" t="str">
            <v/>
          </cell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>
            <v/>
          </cell>
          <cell r="AT94">
            <v>0</v>
          </cell>
          <cell r="AU94" t="str">
            <v/>
          </cell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>
            <v/>
          </cell>
          <cell r="M95" t="str">
            <v/>
          </cell>
          <cell r="O95" t="str">
            <v/>
          </cell>
          <cell r="P95">
            <v>0</v>
          </cell>
          <cell r="Q95">
            <v>0.19804312573382549</v>
          </cell>
          <cell r="R95" t="str">
            <v/>
          </cell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>
            <v/>
          </cell>
          <cell r="AT95">
            <v>0</v>
          </cell>
          <cell r="AU95" t="str">
            <v/>
          </cell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>
            <v/>
          </cell>
          <cell r="M96" t="str">
            <v/>
          </cell>
          <cell r="O96" t="str">
            <v/>
          </cell>
          <cell r="P96">
            <v>0</v>
          </cell>
          <cell r="Q96">
            <v>0.1826777108062011</v>
          </cell>
          <cell r="R96" t="str">
            <v/>
          </cell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>
            <v/>
          </cell>
          <cell r="AT96">
            <v>0</v>
          </cell>
          <cell r="AU96" t="str">
            <v/>
          </cell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>
            <v/>
          </cell>
          <cell r="M97" t="str">
            <v/>
          </cell>
          <cell r="O97" t="str">
            <v/>
          </cell>
          <cell r="P97">
            <v>0</v>
          </cell>
          <cell r="Q97">
            <v>0.1410203636690861</v>
          </cell>
          <cell r="R97" t="str">
            <v/>
          </cell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>
            <v/>
          </cell>
          <cell r="AT97">
            <v>0</v>
          </cell>
          <cell r="AU97" t="str">
            <v/>
          </cell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>
            <v/>
          </cell>
          <cell r="M98" t="str">
            <v/>
          </cell>
          <cell r="O98" t="str">
            <v/>
          </cell>
          <cell r="P98">
            <v>0</v>
          </cell>
          <cell r="Q98">
            <v>0.23218849223965748</v>
          </cell>
          <cell r="R98" t="str">
            <v/>
          </cell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>
            <v/>
          </cell>
          <cell r="AT98">
            <v>0</v>
          </cell>
          <cell r="AU98" t="str">
            <v/>
          </cell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>
            <v/>
          </cell>
          <cell r="M99" t="str">
            <v/>
          </cell>
          <cell r="O99" t="str">
            <v/>
          </cell>
          <cell r="P99">
            <v>0</v>
          </cell>
          <cell r="Q99">
            <v>0.11319188996683302</v>
          </cell>
          <cell r="R99" t="str">
            <v/>
          </cell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>
            <v/>
          </cell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>
            <v/>
          </cell>
          <cell r="M100" t="str">
            <v/>
          </cell>
          <cell r="O100" t="str">
            <v/>
          </cell>
          <cell r="P100">
            <v>0</v>
          </cell>
          <cell r="Q100">
            <v>0.16005640549608741</v>
          </cell>
          <cell r="R100" t="str">
            <v/>
          </cell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>
            <v/>
          </cell>
          <cell r="AT100">
            <v>0</v>
          </cell>
          <cell r="AU100" t="str">
            <v/>
          </cell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>
            <v/>
          </cell>
          <cell r="M101" t="str">
            <v/>
          </cell>
          <cell r="O101" t="str">
            <v/>
          </cell>
          <cell r="P101">
            <v>0</v>
          </cell>
          <cell r="Q101">
            <v>0.10755790449337076</v>
          </cell>
          <cell r="R101" t="str">
            <v/>
          </cell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>
            <v/>
          </cell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>
            <v/>
          </cell>
          <cell r="M102" t="str">
            <v/>
          </cell>
          <cell r="O102" t="str">
            <v/>
          </cell>
          <cell r="P102">
            <v>0</v>
          </cell>
          <cell r="Q102">
            <v>0.25352934630580254</v>
          </cell>
          <cell r="R102" t="str">
            <v/>
          </cell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>
            <v/>
          </cell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>
            <v/>
          </cell>
          <cell r="AT103">
            <v>0</v>
          </cell>
          <cell r="AU103" t="str">
            <v/>
          </cell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>
            <v/>
          </cell>
          <cell r="M104" t="str">
            <v/>
          </cell>
          <cell r="O104" t="str">
            <v/>
          </cell>
          <cell r="P104">
            <v>0</v>
          </cell>
          <cell r="Q104">
            <v>0.25073369442313748</v>
          </cell>
          <cell r="R104" t="str">
            <v/>
          </cell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>
            <v/>
          </cell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>
            <v/>
          </cell>
          <cell r="M105" t="str">
            <v/>
          </cell>
          <cell r="O105" t="str">
            <v/>
          </cell>
          <cell r="P105">
            <v>0</v>
          </cell>
          <cell r="Q105">
            <v>0.28596744448634287</v>
          </cell>
          <cell r="R105" t="str">
            <v/>
          </cell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>
            <v/>
          </cell>
          <cell r="AT105">
            <v>0</v>
          </cell>
          <cell r="AU105" t="str">
            <v/>
          </cell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>
            <v/>
          </cell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>
            <v/>
          </cell>
          <cell r="M107" t="str">
            <v/>
          </cell>
          <cell r="O107" t="str">
            <v/>
          </cell>
          <cell r="P107">
            <v>0</v>
          </cell>
          <cell r="Q107">
            <v>6.7863915930341051E-2</v>
          </cell>
          <cell r="R107" t="str">
            <v/>
          </cell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>
            <v/>
          </cell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>
            <v/>
          </cell>
          <cell r="M108" t="str">
            <v/>
          </cell>
          <cell r="O108" t="str">
            <v/>
          </cell>
          <cell r="P108">
            <v>0</v>
          </cell>
          <cell r="Q108">
            <v>4.8657147270810573E-2</v>
          </cell>
          <cell r="R108" t="str">
            <v/>
          </cell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>
            <v/>
          </cell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>
            <v/>
          </cell>
          <cell r="M109" t="str">
            <v/>
          </cell>
          <cell r="O109" t="str">
            <v/>
          </cell>
          <cell r="P109">
            <v>0</v>
          </cell>
          <cell r="Q109">
            <v>0.16056858599367491</v>
          </cell>
          <cell r="R109" t="str">
            <v/>
          </cell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>
            <v/>
          </cell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>
            <v/>
          </cell>
          <cell r="M110" t="str">
            <v/>
          </cell>
          <cell r="O110" t="str">
            <v/>
          </cell>
          <cell r="P110">
            <v>0</v>
          </cell>
          <cell r="Q110">
            <v>0.55059403490654069</v>
          </cell>
          <cell r="R110" t="str">
            <v/>
          </cell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>
            <v/>
          </cell>
          <cell r="AT110">
            <v>0</v>
          </cell>
          <cell r="AU110" t="str">
            <v/>
          </cell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>
            <v/>
          </cell>
          <cell r="M111" t="str">
            <v/>
          </cell>
          <cell r="O111" t="str">
            <v/>
          </cell>
          <cell r="P111">
            <v>0</v>
          </cell>
          <cell r="Q111">
            <v>0.2970646886007382</v>
          </cell>
          <cell r="R111" t="str">
            <v/>
          </cell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>
            <v/>
          </cell>
          <cell r="AT111">
            <v>0</v>
          </cell>
          <cell r="AU111" t="str">
            <v/>
          </cell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>
            <v/>
          </cell>
          <cell r="M112" t="str">
            <v/>
          </cell>
          <cell r="O112" t="str">
            <v/>
          </cell>
          <cell r="P112">
            <v>0</v>
          </cell>
          <cell r="Q112">
            <v>8.38695564799498E-2</v>
          </cell>
          <cell r="R112" t="str">
            <v/>
          </cell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>
            <v/>
          </cell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>
            <v/>
          </cell>
          <cell r="M113" t="str">
            <v/>
          </cell>
          <cell r="O113" t="str">
            <v/>
          </cell>
          <cell r="P113">
            <v>0</v>
          </cell>
          <cell r="Q113">
            <v>0.12117336938757124</v>
          </cell>
          <cell r="R113" t="str">
            <v/>
          </cell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>
            <v/>
          </cell>
          <cell r="AT113">
            <v>0</v>
          </cell>
          <cell r="AU113" t="str">
            <v/>
          </cell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>
            <v/>
          </cell>
          <cell r="M114" t="str">
            <v/>
          </cell>
          <cell r="O114" t="str">
            <v/>
          </cell>
          <cell r="P114">
            <v>0</v>
          </cell>
          <cell r="Q114">
            <v>0.10755790449337076</v>
          </cell>
          <cell r="R114" t="str">
            <v/>
          </cell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>
            <v/>
          </cell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>
            <v/>
          </cell>
          <cell r="M115" t="str">
            <v/>
          </cell>
          <cell r="O115" t="str">
            <v/>
          </cell>
          <cell r="P115">
            <v>0</v>
          </cell>
          <cell r="Q115">
            <v>0.24994408282269015</v>
          </cell>
          <cell r="R115" t="str">
            <v/>
          </cell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>
            <v/>
          </cell>
          <cell r="AT115">
            <v>0</v>
          </cell>
          <cell r="AU115" t="str">
            <v/>
          </cell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>
            <v/>
          </cell>
          <cell r="AT116">
            <v>0</v>
          </cell>
          <cell r="AU116" t="str">
            <v/>
          </cell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>
            <v/>
          </cell>
          <cell r="AT117">
            <v>0</v>
          </cell>
          <cell r="AU117" t="str">
            <v/>
          </cell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>
            <v/>
          </cell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>
            <v/>
          </cell>
          <cell r="M119" t="str">
            <v/>
          </cell>
          <cell r="O119" t="str">
            <v/>
          </cell>
          <cell r="P119">
            <v>0</v>
          </cell>
          <cell r="Q119">
            <v>0.21549994435993208</v>
          </cell>
          <cell r="R119" t="str">
            <v/>
          </cell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>
            <v/>
          </cell>
          <cell r="AT119">
            <v>0</v>
          </cell>
          <cell r="AU119" t="str">
            <v/>
          </cell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>
            <v/>
          </cell>
          <cell r="M120" t="str">
            <v/>
          </cell>
          <cell r="O120" t="str">
            <v/>
          </cell>
          <cell r="P120">
            <v>0</v>
          </cell>
          <cell r="Q120">
            <v>0.2368834801342094</v>
          </cell>
          <cell r="R120" t="str">
            <v/>
          </cell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>
            <v/>
          </cell>
          <cell r="AT120">
            <v>0</v>
          </cell>
          <cell r="AU120" t="str">
            <v/>
          </cell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>
            <v/>
          </cell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>
            <v/>
          </cell>
          <cell r="M122" t="str">
            <v/>
          </cell>
          <cell r="O122" t="str">
            <v/>
          </cell>
          <cell r="P122">
            <v>0</v>
          </cell>
          <cell r="Q122">
            <v>0.21340854066144987</v>
          </cell>
          <cell r="R122" t="str">
            <v/>
          </cell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>
            <v/>
          </cell>
          <cell r="AT122">
            <v>0</v>
          </cell>
          <cell r="AU122" t="str">
            <v/>
          </cell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>
            <v/>
          </cell>
          <cell r="M123" t="str">
            <v/>
          </cell>
          <cell r="O123" t="str">
            <v/>
          </cell>
          <cell r="P123">
            <v>0</v>
          </cell>
          <cell r="Q123">
            <v>0.18182407664355529</v>
          </cell>
          <cell r="R123" t="str">
            <v/>
          </cell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>
            <v/>
          </cell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>
            <v/>
          </cell>
          <cell r="M124" t="str">
            <v/>
          </cell>
          <cell r="O124" t="str">
            <v/>
          </cell>
          <cell r="P124">
            <v>0</v>
          </cell>
          <cell r="Q124">
            <v>0.15621505176418132</v>
          </cell>
          <cell r="R124" t="str">
            <v/>
          </cell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>
            <v/>
          </cell>
          <cell r="AT124">
            <v>0</v>
          </cell>
          <cell r="AU124" t="str">
            <v/>
          </cell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>
            <v/>
          </cell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>
            <v/>
          </cell>
          <cell r="M126" t="str">
            <v/>
          </cell>
          <cell r="O126" t="str">
            <v/>
          </cell>
          <cell r="P126">
            <v>0</v>
          </cell>
          <cell r="Q126">
            <v>0.26744358315692901</v>
          </cell>
          <cell r="R126" t="str">
            <v/>
          </cell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>
            <v/>
          </cell>
          <cell r="AT126">
            <v>0</v>
          </cell>
          <cell r="AU126" t="str">
            <v/>
          </cell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>
            <v/>
          </cell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>
            <v/>
          </cell>
          <cell r="M128" t="str">
            <v/>
          </cell>
          <cell r="O128" t="str">
            <v/>
          </cell>
          <cell r="P128">
            <v>0</v>
          </cell>
          <cell r="Q128">
            <v>0.17055610569663074</v>
          </cell>
          <cell r="R128" t="str">
            <v/>
          </cell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>
            <v/>
          </cell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>
            <v/>
          </cell>
          <cell r="M129" t="str">
            <v/>
          </cell>
          <cell r="O129" t="str">
            <v/>
          </cell>
          <cell r="P129">
            <v>0</v>
          </cell>
          <cell r="Q129">
            <v>4.5242610620227379E-2</v>
          </cell>
          <cell r="R129" t="str">
            <v/>
          </cell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>
            <v/>
          </cell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>
            <v/>
          </cell>
          <cell r="M130" t="str">
            <v/>
          </cell>
          <cell r="O130" t="str">
            <v/>
          </cell>
          <cell r="P130">
            <v>0</v>
          </cell>
          <cell r="Q130">
            <v>0.16389775922799354</v>
          </cell>
          <cell r="R130" t="str">
            <v/>
          </cell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>
            <v/>
          </cell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>
            <v/>
          </cell>
          <cell r="M131" t="str">
            <v/>
          </cell>
          <cell r="O131" t="str">
            <v/>
          </cell>
          <cell r="P131">
            <v>0</v>
          </cell>
          <cell r="Q131">
            <v>0.43023161797348297</v>
          </cell>
          <cell r="R131" t="str">
            <v/>
          </cell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>
            <v/>
          </cell>
          <cell r="AT131">
            <v>0</v>
          </cell>
          <cell r="AU131" t="str">
            <v/>
          </cell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>
            <v/>
          </cell>
          <cell r="M132" t="str">
            <v/>
          </cell>
          <cell r="O132" t="str">
            <v/>
          </cell>
          <cell r="P132">
            <v>0</v>
          </cell>
          <cell r="Q132">
            <v>0.27077275639124759</v>
          </cell>
          <cell r="R132" t="str">
            <v/>
          </cell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>
            <v/>
          </cell>
          <cell r="AT132">
            <v>0</v>
          </cell>
          <cell r="AU132" t="str">
            <v/>
          </cell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>
            <v/>
          </cell>
          <cell r="M133" t="str">
            <v/>
          </cell>
          <cell r="O133" t="str">
            <v/>
          </cell>
          <cell r="P133">
            <v>0</v>
          </cell>
          <cell r="Q133">
            <v>0.6841877813606082</v>
          </cell>
          <cell r="R133" t="str">
            <v/>
          </cell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>
            <v/>
          </cell>
          <cell r="AT133">
            <v>0</v>
          </cell>
          <cell r="AU133" t="str">
            <v/>
          </cell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>
            <v/>
          </cell>
          <cell r="M134" t="str">
            <v/>
          </cell>
          <cell r="O134" t="str">
            <v/>
          </cell>
          <cell r="P134">
            <v>0</v>
          </cell>
          <cell r="Q134">
            <v>0.29604032760556326</v>
          </cell>
          <cell r="R134" t="str">
            <v/>
          </cell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>
            <v/>
          </cell>
          <cell r="AT134">
            <v>0</v>
          </cell>
          <cell r="AU134" t="str">
            <v/>
          </cell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>
            <v/>
          </cell>
          <cell r="M135" t="str">
            <v/>
          </cell>
          <cell r="O135" t="str">
            <v/>
          </cell>
          <cell r="P135">
            <v>0</v>
          </cell>
          <cell r="Q135">
            <v>7.7783144900285262E-2</v>
          </cell>
          <cell r="R135" t="str">
            <v/>
          </cell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>
            <v/>
          </cell>
          <cell r="AT135">
            <v>0</v>
          </cell>
          <cell r="AU135" t="str">
            <v/>
          </cell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>
            <v/>
          </cell>
          <cell r="M136" t="str">
            <v/>
          </cell>
          <cell r="O136" t="str">
            <v/>
          </cell>
          <cell r="P136">
            <v>0</v>
          </cell>
          <cell r="Q136">
            <v>0.35212409209139228</v>
          </cell>
          <cell r="R136" t="str">
            <v/>
          </cell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>
            <v/>
          </cell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>
            <v/>
          </cell>
          <cell r="M137" t="str">
            <v/>
          </cell>
          <cell r="O137" t="str">
            <v/>
          </cell>
          <cell r="P137">
            <v>0</v>
          </cell>
          <cell r="Q137">
            <v>0.4310852521361288</v>
          </cell>
          <cell r="R137" t="str">
            <v/>
          </cell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>
            <v/>
          </cell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>
            <v/>
          </cell>
          <cell r="M138" t="str">
            <v/>
          </cell>
          <cell r="O138" t="str">
            <v/>
          </cell>
          <cell r="P138">
            <v>0</v>
          </cell>
          <cell r="Q138">
            <v>0.38200128778399534</v>
          </cell>
          <cell r="R138" t="str">
            <v/>
          </cell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>
            <v/>
          </cell>
          <cell r="AT138">
            <v>0</v>
          </cell>
          <cell r="AU138" t="str">
            <v/>
          </cell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>
            <v/>
          </cell>
          <cell r="M139" t="str">
            <v/>
          </cell>
          <cell r="O139" t="str">
            <v/>
          </cell>
          <cell r="P139">
            <v>0</v>
          </cell>
          <cell r="Q139">
            <v>0.28169927367311387</v>
          </cell>
          <cell r="R139" t="str">
            <v/>
          </cell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>
            <v/>
          </cell>
          <cell r="AT139">
            <v>0</v>
          </cell>
          <cell r="AU139" t="str">
            <v/>
          </cell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>
            <v/>
          </cell>
          <cell r="M140" t="str">
            <v/>
          </cell>
          <cell r="O140" t="str">
            <v/>
          </cell>
          <cell r="P140">
            <v>0</v>
          </cell>
          <cell r="Q140">
            <v>0.12036241693305774</v>
          </cell>
          <cell r="R140" t="str">
            <v/>
          </cell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>
            <v/>
          </cell>
          <cell r="AT140">
            <v>0</v>
          </cell>
          <cell r="AU140" t="str">
            <v/>
          </cell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>
            <v/>
          </cell>
          <cell r="AT141">
            <v>0</v>
          </cell>
          <cell r="AU141" t="str">
            <v/>
          </cell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>
            <v/>
          </cell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>
            <v/>
          </cell>
          <cell r="M143" t="str">
            <v/>
          </cell>
          <cell r="O143" t="str">
            <v/>
          </cell>
          <cell r="P143">
            <v>0</v>
          </cell>
          <cell r="Q143">
            <v>0.27102884664004134</v>
          </cell>
          <cell r="R143" t="str">
            <v/>
          </cell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>
            <v/>
          </cell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>
            <v/>
          </cell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>
            <v/>
          </cell>
          <cell r="M145" t="str">
            <v/>
          </cell>
          <cell r="O145" t="str">
            <v/>
          </cell>
          <cell r="P145">
            <v>0</v>
          </cell>
          <cell r="Q145">
            <v>0.30304012773925881</v>
          </cell>
          <cell r="R145" t="str">
            <v/>
          </cell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>
            <v/>
          </cell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>
            <v/>
          </cell>
          <cell r="M146" t="str">
            <v/>
          </cell>
          <cell r="O146" t="str">
            <v/>
          </cell>
          <cell r="P146">
            <v>0</v>
          </cell>
          <cell r="Q146">
            <v>0.29023561529957187</v>
          </cell>
          <cell r="R146" t="str">
            <v/>
          </cell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>
            <v/>
          </cell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>
            <v/>
          </cell>
          <cell r="M147" t="str">
            <v/>
          </cell>
          <cell r="O147" t="str">
            <v/>
          </cell>
          <cell r="P147">
            <v>0</v>
          </cell>
          <cell r="Q147">
            <v>0.1920676865953049</v>
          </cell>
          <cell r="R147" t="str">
            <v/>
          </cell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>
            <v/>
          </cell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>
            <v/>
          </cell>
          <cell r="M148" t="str">
            <v/>
          </cell>
          <cell r="O148" t="str">
            <v/>
          </cell>
          <cell r="P148">
            <v>0</v>
          </cell>
          <cell r="Q148">
            <v>0.4566942770155028</v>
          </cell>
          <cell r="R148" t="str">
            <v/>
          </cell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>
            <v/>
          </cell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>
            <v/>
          </cell>
          <cell r="M149" t="str">
            <v/>
          </cell>
          <cell r="O149" t="str">
            <v/>
          </cell>
          <cell r="P149">
            <v>0</v>
          </cell>
          <cell r="Q149">
            <v>0.24874899499498601</v>
          </cell>
          <cell r="R149" t="str">
            <v/>
          </cell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>
            <v/>
          </cell>
          <cell r="AT149">
            <v>0</v>
          </cell>
          <cell r="AU149" t="str">
            <v/>
          </cell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>
            <v/>
          </cell>
          <cell r="M150" t="str">
            <v/>
          </cell>
          <cell r="O150" t="str">
            <v/>
          </cell>
          <cell r="P150">
            <v>0</v>
          </cell>
          <cell r="Q150">
            <v>0.1370082831046508</v>
          </cell>
          <cell r="R150" t="str">
            <v/>
          </cell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>
            <v/>
          </cell>
          <cell r="AT150">
            <v>0</v>
          </cell>
          <cell r="AU150" t="str">
            <v/>
          </cell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>
            <v/>
          </cell>
          <cell r="M151" t="str">
            <v/>
          </cell>
          <cell r="O151" t="str">
            <v/>
          </cell>
          <cell r="P151">
            <v>0</v>
          </cell>
          <cell r="Q151">
            <v>0.27529701745327034</v>
          </cell>
          <cell r="R151" t="str">
            <v/>
          </cell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>
            <v/>
          </cell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>
            <v/>
          </cell>
          <cell r="M152" t="str">
            <v/>
          </cell>
          <cell r="O152" t="str">
            <v/>
          </cell>
          <cell r="P152">
            <v>0</v>
          </cell>
          <cell r="Q152">
            <v>0.2475539071672819</v>
          </cell>
          <cell r="R152" t="str">
            <v/>
          </cell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>
            <v/>
          </cell>
          <cell r="AT152">
            <v>0</v>
          </cell>
          <cell r="AU152" t="str">
            <v/>
          </cell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>
            <v/>
          </cell>
          <cell r="M153" t="str">
            <v/>
          </cell>
          <cell r="O153" t="str">
            <v/>
          </cell>
          <cell r="P153">
            <v>0</v>
          </cell>
          <cell r="Q153">
            <v>0.22826177509148682</v>
          </cell>
          <cell r="R153" t="str">
            <v/>
          </cell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>
            <v/>
          </cell>
          <cell r="AT153">
            <v>0</v>
          </cell>
          <cell r="AU153" t="str">
            <v/>
          </cell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>
            <v/>
          </cell>
          <cell r="AT154">
            <v>0</v>
          </cell>
          <cell r="AU154" t="str">
            <v/>
          </cell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>
            <v/>
          </cell>
          <cell r="M155" t="str">
            <v/>
          </cell>
          <cell r="O155" t="str">
            <v/>
          </cell>
          <cell r="P155">
            <v>0</v>
          </cell>
          <cell r="Q155">
            <v>0.26676067582681234</v>
          </cell>
          <cell r="R155" t="str">
            <v/>
          </cell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>
            <v/>
          </cell>
          <cell r="AT155">
            <v>0</v>
          </cell>
          <cell r="AU155" t="str">
            <v/>
          </cell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>
            <v/>
          </cell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>
            <v/>
          </cell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>
            <v/>
          </cell>
          <cell r="AT158">
            <v>0</v>
          </cell>
          <cell r="AU158" t="str">
            <v/>
          </cell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>
            <v/>
          </cell>
          <cell r="M159" t="str">
            <v/>
          </cell>
          <cell r="O159" t="str">
            <v/>
          </cell>
          <cell r="P159">
            <v>0</v>
          </cell>
          <cell r="Q159">
            <v>0.33291732343186187</v>
          </cell>
          <cell r="R159" t="str">
            <v/>
          </cell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>
            <v/>
          </cell>
          <cell r="AT159">
            <v>0</v>
          </cell>
          <cell r="AU159" t="str">
            <v/>
          </cell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>
            <v/>
          </cell>
          <cell r="M160" t="str">
            <v/>
          </cell>
          <cell r="O160" t="str">
            <v/>
          </cell>
          <cell r="P160">
            <v>0</v>
          </cell>
          <cell r="Q160">
            <v>0.12804512439686994</v>
          </cell>
          <cell r="R160" t="str">
            <v/>
          </cell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>
            <v/>
          </cell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>
            <v/>
          </cell>
          <cell r="M161" t="str">
            <v/>
          </cell>
          <cell r="O161" t="str">
            <v/>
          </cell>
          <cell r="P161">
            <v>0</v>
          </cell>
          <cell r="Q161">
            <v>0.21340854066144987</v>
          </cell>
          <cell r="R161" t="str">
            <v/>
          </cell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>
            <v/>
          </cell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>
            <v/>
          </cell>
          <cell r="M162" t="str">
            <v/>
          </cell>
          <cell r="O162" t="str">
            <v/>
          </cell>
          <cell r="P162">
            <v>0</v>
          </cell>
          <cell r="Q162">
            <v>0.17072683252915991</v>
          </cell>
          <cell r="R162" t="str">
            <v/>
          </cell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>
            <v/>
          </cell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>
            <v/>
          </cell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>
            <v>0</v>
          </cell>
          <cell r="Q164">
            <v>7.511980631283037E-2</v>
          </cell>
          <cell r="R164" t="str">
            <v/>
          </cell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>
            <v/>
          </cell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>
            <v/>
          </cell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>
            <v/>
          </cell>
          <cell r="AT166">
            <v>0</v>
          </cell>
          <cell r="AU166" t="str">
            <v/>
          </cell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0.23048122391436587</v>
          </cell>
          <cell r="R167" t="str">
            <v/>
          </cell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>
            <v/>
          </cell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8.8351135833840258E-2</v>
          </cell>
          <cell r="R168" t="str">
            <v/>
          </cell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>
            <v/>
          </cell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>
            <v/>
          </cell>
          <cell r="AT169">
            <v>0</v>
          </cell>
          <cell r="AU169" t="str">
            <v/>
          </cell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>
            <v>0</v>
          </cell>
          <cell r="Q170">
            <v>0.11203948384726119</v>
          </cell>
          <cell r="R170" t="str">
            <v/>
          </cell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>
            <v/>
          </cell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>
            <v/>
          </cell>
          <cell r="AT171">
            <v>0</v>
          </cell>
          <cell r="AU171" t="str">
            <v/>
          </cell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0.22877395558907429</v>
          </cell>
          <cell r="R172" t="str">
            <v/>
          </cell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>
            <v/>
          </cell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7.0424818418278468E-2</v>
          </cell>
          <cell r="R173" t="str">
            <v/>
          </cell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>
            <v/>
          </cell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>
            <v/>
          </cell>
          <cell r="AT174">
            <v>0</v>
          </cell>
          <cell r="AU174" t="str">
            <v/>
          </cell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>
            <v>0</v>
          </cell>
          <cell r="Q175">
            <v>6.1461659710497572E-2</v>
          </cell>
          <cell r="R175" t="str">
            <v/>
          </cell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>
            <v/>
          </cell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0.1920676865953049</v>
          </cell>
          <cell r="R176" t="str">
            <v/>
          </cell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>
            <v/>
          </cell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>
            <v/>
          </cell>
          <cell r="AT177">
            <v>0</v>
          </cell>
          <cell r="AU177" t="str">
            <v/>
          </cell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0.26035841960696887</v>
          </cell>
          <cell r="R178" t="str">
            <v/>
          </cell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>
            <v/>
          </cell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>
            <v/>
          </cell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>
            <v/>
          </cell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>
            <v>0</v>
          </cell>
          <cell r="Q181">
            <v>0.2475539071672819</v>
          </cell>
          <cell r="R181" t="str">
            <v/>
          </cell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>
            <v/>
          </cell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0.34444138462758012</v>
          </cell>
          <cell r="R182" t="str">
            <v/>
          </cell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>
            <v/>
          </cell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0.60821434088513227</v>
          </cell>
          <cell r="R183" t="str">
            <v/>
          </cell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>
            <v/>
          </cell>
          <cell r="AT183">
            <v>0</v>
          </cell>
          <cell r="AU183" t="str">
            <v/>
          </cell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0.58260531600575816</v>
          </cell>
          <cell r="R184" t="str">
            <v/>
          </cell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>
            <v/>
          </cell>
          <cell r="AT184">
            <v>0</v>
          </cell>
          <cell r="AU184" t="str">
            <v/>
          </cell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0.1158808375791673</v>
          </cell>
          <cell r="R185" t="str">
            <v/>
          </cell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>
            <v/>
          </cell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9.133885540310055E-2</v>
          </cell>
          <cell r="R186" t="str">
            <v/>
          </cell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>
            <v/>
          </cell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0.24072483386611548</v>
          </cell>
          <cell r="R187" t="str">
            <v/>
          </cell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>
            <v/>
          </cell>
          <cell r="AT187">
            <v>0</v>
          </cell>
          <cell r="AU187" t="str">
            <v/>
          </cell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0.16389775922799352</v>
          </cell>
          <cell r="R188" t="str">
            <v/>
          </cell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>
            <v/>
          </cell>
          <cell r="AT188">
            <v>0</v>
          </cell>
          <cell r="AU188" t="str">
            <v/>
          </cell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0.20401856487234607</v>
          </cell>
          <cell r="R189" t="str">
            <v/>
          </cell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>
            <v/>
          </cell>
          <cell r="AT189">
            <v>0</v>
          </cell>
          <cell r="AU189" t="str">
            <v/>
          </cell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0</v>
          </cell>
          <cell r="Q190">
            <v>0.17670227166768049</v>
          </cell>
          <cell r="R190" t="str">
            <v/>
          </cell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>
            <v/>
          </cell>
          <cell r="AT190">
            <v>0</v>
          </cell>
          <cell r="AU190" t="str">
            <v/>
          </cell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0.6965654767189724</v>
          </cell>
          <cell r="R191" t="str">
            <v/>
          </cell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>
            <v/>
          </cell>
          <cell r="AT191">
            <v>0</v>
          </cell>
          <cell r="AU191" t="str">
            <v/>
          </cell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>
            <v>0</v>
          </cell>
          <cell r="Q192">
            <v>0.27102884664004134</v>
          </cell>
          <cell r="R192" t="str">
            <v/>
          </cell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>
            <v/>
          </cell>
          <cell r="AT192">
            <v>0</v>
          </cell>
          <cell r="AU192" t="str">
            <v/>
          </cell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0.46309653323534627</v>
          </cell>
          <cell r="R193" t="str">
            <v/>
          </cell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>
            <v/>
          </cell>
          <cell r="AT193">
            <v>0</v>
          </cell>
          <cell r="AU193" t="str">
            <v/>
          </cell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>
            <v/>
          </cell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0.24840754132992765</v>
          </cell>
          <cell r="R195" t="str">
            <v/>
          </cell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>
            <v/>
          </cell>
          <cell r="AT195">
            <v>0</v>
          </cell>
          <cell r="AU195" t="str">
            <v/>
          </cell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6.4022562198434968E-2</v>
          </cell>
          <cell r="R196" t="str">
            <v/>
          </cell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>
            <v/>
          </cell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>
            <v>0</v>
          </cell>
          <cell r="Q197">
            <v>0.2795651882664994</v>
          </cell>
          <cell r="R197" t="str">
            <v/>
          </cell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>
            <v/>
          </cell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>
            <v>0</v>
          </cell>
          <cell r="Q198">
            <v>0.12932557564083863</v>
          </cell>
          <cell r="R198" t="str">
            <v/>
          </cell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>
            <v/>
          </cell>
          <cell r="AT198">
            <v>0</v>
          </cell>
          <cell r="AU198" t="str">
            <v/>
          </cell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>
            <v/>
          </cell>
          <cell r="AT199">
            <v>0</v>
          </cell>
          <cell r="AU199" t="str">
            <v/>
          </cell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0.26889476123342687</v>
          </cell>
          <cell r="R200" t="str">
            <v/>
          </cell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>
            <v/>
          </cell>
          <cell r="AT200">
            <v>0</v>
          </cell>
          <cell r="AU200" t="str">
            <v/>
          </cell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>
            <v>0</v>
          </cell>
          <cell r="Q201">
            <v>0.5138877659127713</v>
          </cell>
          <cell r="R201" t="str">
            <v/>
          </cell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>
            <v/>
          </cell>
          <cell r="AT201">
            <v>0</v>
          </cell>
          <cell r="AU201" t="str">
            <v/>
          </cell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0.12996580126282301</v>
          </cell>
          <cell r="R202" t="str">
            <v/>
          </cell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>
            <v/>
          </cell>
          <cell r="AT202">
            <v>0</v>
          </cell>
          <cell r="AU202" t="str">
            <v/>
          </cell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0.51858275380732322</v>
          </cell>
          <cell r="R203" t="str">
            <v/>
          </cell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>
            <v/>
          </cell>
          <cell r="AT203">
            <v>0</v>
          </cell>
          <cell r="AU203" t="str">
            <v/>
          </cell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0.25182207798051087</v>
          </cell>
          <cell r="R204" t="str">
            <v/>
          </cell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>
            <v/>
          </cell>
          <cell r="AT204">
            <v>0</v>
          </cell>
          <cell r="AU204" t="str">
            <v/>
          </cell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>
            <v>0</v>
          </cell>
          <cell r="Q205">
            <v>0.29322333486883212</v>
          </cell>
          <cell r="R205" t="str">
            <v/>
          </cell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>
            <v/>
          </cell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0.27743110285988487</v>
          </cell>
          <cell r="R206" t="str">
            <v/>
          </cell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>
            <v/>
          </cell>
          <cell r="AT206">
            <v>0</v>
          </cell>
          <cell r="AU206" t="str">
            <v/>
          </cell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0.15493460052021263</v>
          </cell>
          <cell r="R207" t="str">
            <v/>
          </cell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>
            <v/>
          </cell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0.13764850872663517</v>
          </cell>
          <cell r="R208" t="str">
            <v/>
          </cell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>
            <v/>
          </cell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>
            <v>0</v>
          </cell>
          <cell r="Q209">
            <v>0.25096844381786509</v>
          </cell>
          <cell r="R209" t="str">
            <v/>
          </cell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>
            <v/>
          </cell>
          <cell r="AT209">
            <v>0</v>
          </cell>
          <cell r="AU209" t="str">
            <v/>
          </cell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>
            <v>0</v>
          </cell>
          <cell r="Q210">
            <v>0.22194488228790787</v>
          </cell>
          <cell r="R210" t="str">
            <v/>
          </cell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>
            <v/>
          </cell>
          <cell r="AT210">
            <v>0</v>
          </cell>
          <cell r="AU210" t="str">
            <v/>
          </cell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>
            <v>0</v>
          </cell>
          <cell r="Q211">
            <v>0.70424818418278456</v>
          </cell>
          <cell r="R211" t="str">
            <v/>
          </cell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>
            <v/>
          </cell>
          <cell r="AT211">
            <v>0</v>
          </cell>
          <cell r="AU211" t="str">
            <v/>
          </cell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>
            <v>0</v>
          </cell>
          <cell r="Q212">
            <v>0.4110248493139525</v>
          </cell>
          <cell r="R212" t="str">
            <v/>
          </cell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>
            <v/>
          </cell>
          <cell r="AT212">
            <v>0</v>
          </cell>
          <cell r="AU212" t="str">
            <v/>
          </cell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>
            <v>0</v>
          </cell>
          <cell r="Q213">
            <v>0.29877195692602981</v>
          </cell>
          <cell r="R213" t="str">
            <v/>
          </cell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>
            <v/>
          </cell>
          <cell r="AT213">
            <v>0</v>
          </cell>
          <cell r="AU213" t="str">
            <v/>
          </cell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>
            <v>0</v>
          </cell>
          <cell r="Q214">
            <v>0.72985720906215867</v>
          </cell>
          <cell r="R214" t="str">
            <v/>
          </cell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>
            <v/>
          </cell>
          <cell r="AT214">
            <v>0</v>
          </cell>
          <cell r="AU214" t="str">
            <v/>
          </cell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0.20871355276689801</v>
          </cell>
          <cell r="R215" t="str">
            <v/>
          </cell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>
            <v/>
          </cell>
          <cell r="AT215">
            <v>0</v>
          </cell>
          <cell r="AU215" t="str">
            <v/>
          </cell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0.30474739606455048</v>
          </cell>
          <cell r="R216" t="str">
            <v/>
          </cell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>
            <v/>
          </cell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0.24584663884199029</v>
          </cell>
          <cell r="R217" t="str">
            <v/>
          </cell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>
            <v/>
          </cell>
          <cell r="AT217">
            <v>0</v>
          </cell>
          <cell r="AU217" t="str">
            <v/>
          </cell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>
            <v>0</v>
          </cell>
          <cell r="Q218">
            <v>0.36364815328711064</v>
          </cell>
          <cell r="R218" t="str">
            <v/>
          </cell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>
            <v/>
          </cell>
          <cell r="AT218">
            <v>0</v>
          </cell>
          <cell r="AU218" t="str">
            <v/>
          </cell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>
            <v>0</v>
          </cell>
          <cell r="Q219">
            <v>0.12804512439686994</v>
          </cell>
          <cell r="R219" t="str">
            <v/>
          </cell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>
            <v/>
          </cell>
          <cell r="AT219">
            <v>0</v>
          </cell>
          <cell r="AU219" t="str">
            <v/>
          </cell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>
            <v>0</v>
          </cell>
          <cell r="Q220">
            <v>0.14511780764978593</v>
          </cell>
          <cell r="R220" t="str">
            <v/>
          </cell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>
            <v/>
          </cell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>
            <v/>
          </cell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>
            <v/>
          </cell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0.1835313449688469</v>
          </cell>
          <cell r="R223" t="str">
            <v/>
          </cell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>
            <v/>
          </cell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>
            <v>0</v>
          </cell>
          <cell r="Q224">
            <v>0.1915555060977174</v>
          </cell>
          <cell r="R224" t="str">
            <v/>
          </cell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>
            <v/>
          </cell>
          <cell r="AT224">
            <v>0</v>
          </cell>
          <cell r="AU224" t="str">
            <v/>
          </cell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0.1963358574085339</v>
          </cell>
          <cell r="R225" t="str">
            <v/>
          </cell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>
            <v/>
          </cell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0.28169927367311387</v>
          </cell>
          <cell r="R226" t="str">
            <v/>
          </cell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>
            <v/>
          </cell>
          <cell r="AT226">
            <v>0</v>
          </cell>
          <cell r="AU226" t="str">
            <v/>
          </cell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0.10627745324940205</v>
          </cell>
          <cell r="R227" t="str">
            <v/>
          </cell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>
            <v/>
          </cell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0.1856654303754614</v>
          </cell>
          <cell r="R228" t="str">
            <v/>
          </cell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>
            <v/>
          </cell>
          <cell r="AT228">
            <v>0</v>
          </cell>
          <cell r="AU228" t="str">
            <v/>
          </cell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0.22279851645055368</v>
          </cell>
          <cell r="R229" t="str">
            <v/>
          </cell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>
            <v/>
          </cell>
          <cell r="AT229">
            <v>0</v>
          </cell>
          <cell r="AU229" t="str">
            <v/>
          </cell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0.15365414927624393</v>
          </cell>
          <cell r="R230" t="str">
            <v/>
          </cell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>
            <v/>
          </cell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>
            <v/>
          </cell>
          <cell r="AT231">
            <v>0</v>
          </cell>
          <cell r="AU231" t="str">
            <v/>
          </cell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>
            <v/>
          </cell>
          <cell r="AT232">
            <v>0</v>
          </cell>
          <cell r="AU232" t="str">
            <v/>
          </cell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>
            <v/>
          </cell>
          <cell r="AT233">
            <v>0</v>
          </cell>
          <cell r="AU233" t="str">
            <v/>
          </cell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>
            <v/>
          </cell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0.16645866171593093</v>
          </cell>
          <cell r="R235" t="str">
            <v/>
          </cell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>
            <v/>
          </cell>
          <cell r="AT235">
            <v>0</v>
          </cell>
          <cell r="AU235" t="str">
            <v/>
          </cell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6.9144367174309773E-2</v>
          </cell>
          <cell r="R236" t="str">
            <v/>
          </cell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>
            <v/>
          </cell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0.1856654303754614</v>
          </cell>
          <cell r="R237" t="str">
            <v/>
          </cell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>
            <v/>
          </cell>
          <cell r="AT237">
            <v>0</v>
          </cell>
          <cell r="AU237" t="str">
            <v/>
          </cell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0.36339206303831689</v>
          </cell>
          <cell r="R238" t="str">
            <v/>
          </cell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>
            <v/>
          </cell>
          <cell r="AT238">
            <v>0</v>
          </cell>
          <cell r="AU238" t="str">
            <v/>
          </cell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>
            <v>0</v>
          </cell>
          <cell r="Q239">
            <v>0.46907197237386683</v>
          </cell>
          <cell r="R239" t="str">
            <v/>
          </cell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>
            <v/>
          </cell>
          <cell r="AT239">
            <v>0</v>
          </cell>
          <cell r="AU239" t="str">
            <v/>
          </cell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0.39437898314235936</v>
          </cell>
          <cell r="R240" t="str">
            <v/>
          </cell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>
            <v/>
          </cell>
          <cell r="AT240">
            <v>0</v>
          </cell>
          <cell r="AU240" t="str">
            <v/>
          </cell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0.26121205376961465</v>
          </cell>
          <cell r="R241" t="str">
            <v/>
          </cell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>
            <v/>
          </cell>
          <cell r="AT241">
            <v>0</v>
          </cell>
          <cell r="AU241" t="str">
            <v/>
          </cell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>
            <v/>
          </cell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>
            <v/>
          </cell>
          <cell r="AT243">
            <v>0</v>
          </cell>
          <cell r="AU243" t="str">
            <v/>
          </cell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>
            <v/>
          </cell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>
            <v/>
          </cell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>
            <v/>
          </cell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>
            <v>0</v>
          </cell>
          <cell r="Q247">
            <v>0.26112669035335007</v>
          </cell>
          <cell r="R247" t="str">
            <v/>
          </cell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>
            <v/>
          </cell>
          <cell r="AT247">
            <v>0</v>
          </cell>
          <cell r="AU247" t="str">
            <v/>
          </cell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>
            <v/>
          </cell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>
            <v>0</v>
          </cell>
          <cell r="Q249">
            <v>0.13828873434861955</v>
          </cell>
          <cell r="R249" t="str">
            <v/>
          </cell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>
            <v/>
          </cell>
          <cell r="AT249">
            <v>0</v>
          </cell>
          <cell r="AU249" t="str">
            <v/>
          </cell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0.47632786275635619</v>
          </cell>
          <cell r="R250" t="str">
            <v/>
          </cell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>
            <v/>
          </cell>
          <cell r="AT250">
            <v>0</v>
          </cell>
          <cell r="AU250" t="str">
            <v/>
          </cell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>
            <v/>
          </cell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0.26377295625755209</v>
          </cell>
          <cell r="R252" t="str">
            <v/>
          </cell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>
            <v/>
          </cell>
          <cell r="AT252">
            <v>0</v>
          </cell>
          <cell r="AU252" t="str">
            <v/>
          </cell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>
            <v/>
          </cell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>
            <v/>
          </cell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>
            <v/>
          </cell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>
            <v/>
          </cell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>
            <v>0</v>
          </cell>
          <cell r="Q257">
            <v>0.1792631741556179</v>
          </cell>
          <cell r="R257" t="str">
            <v/>
          </cell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>
            <v/>
          </cell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>
            <v/>
          </cell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0.12377695358364095</v>
          </cell>
          <cell r="R259" t="str">
            <v/>
          </cell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>
            <v/>
          </cell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>
            <v/>
          </cell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>
            <v/>
          </cell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0.24413937051669868</v>
          </cell>
          <cell r="R262" t="str">
            <v/>
          </cell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>
            <v/>
          </cell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>
            <v/>
          </cell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0.31072283520307103</v>
          </cell>
          <cell r="R264" t="str">
            <v/>
          </cell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>
            <v/>
          </cell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>
            <v/>
          </cell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>
            <v/>
          </cell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>
            <v/>
          </cell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>
            <v/>
          </cell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>
            <v/>
          </cell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>
            <v/>
          </cell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>
            <v/>
          </cell>
          <cell r="AT271">
            <v>0</v>
          </cell>
          <cell r="AU271" t="str">
            <v/>
          </cell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>
            <v/>
          </cell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>
            <v/>
          </cell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>
            <v/>
          </cell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>
            <v/>
          </cell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>
            <v/>
          </cell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>
            <v/>
          </cell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>
            <v/>
          </cell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>
            <v/>
          </cell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>
            <v/>
          </cell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>
            <v/>
          </cell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>
            <v/>
          </cell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>
            <v/>
          </cell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>
            <v/>
          </cell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>
            <v/>
          </cell>
          <cell r="AT285">
            <v>0</v>
          </cell>
          <cell r="AU285" t="str">
            <v/>
          </cell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>
            <v/>
          </cell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>
            <v/>
          </cell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>
            <v/>
          </cell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>
            <v/>
          </cell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>
            <v/>
          </cell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>
            <v/>
          </cell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>
            <v/>
          </cell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>
            <v/>
          </cell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>
            <v/>
          </cell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>
            <v/>
          </cell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>
            <v/>
          </cell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>
            <v/>
          </cell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>
            <v/>
          </cell>
          <cell r="AT298">
            <v>0</v>
          </cell>
          <cell r="AU298" t="str">
            <v/>
          </cell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>
            <v/>
          </cell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>
            <v/>
          </cell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>
            <v/>
          </cell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>
            <v/>
          </cell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>
            <v/>
          </cell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>
            <v/>
          </cell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>
            <v/>
          </cell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>
            <v/>
          </cell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>
            <v/>
          </cell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>
            <v/>
          </cell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>
            <v/>
          </cell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>
            <v/>
          </cell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>
            <v/>
          </cell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>
            <v/>
          </cell>
          <cell r="AT312">
            <v>0</v>
          </cell>
          <cell r="AU312" t="str">
            <v/>
          </cell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>
            <v/>
          </cell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>
            <v/>
          </cell>
          <cell r="AT314">
            <v>0</v>
          </cell>
          <cell r="AU314" t="str">
            <v/>
          </cell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>
            <v/>
          </cell>
          <cell r="AT315">
            <v>0</v>
          </cell>
          <cell r="AU315" t="str">
            <v/>
          </cell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>
            <v/>
          </cell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>
            <v/>
          </cell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>
            <v/>
          </cell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>
            <v/>
          </cell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>
            <v>68.062252093807047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>
            <v/>
          </cell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>
            <v/>
          </cell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>
            <v/>
          </cell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>
            <v/>
          </cell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>
            <v/>
          </cell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>
            <v>73.07869804320228</v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>
            <v/>
          </cell>
          <cell r="AT326">
            <v>0</v>
          </cell>
          <cell r="AU326" t="str">
            <v/>
          </cell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>
            <v/>
          </cell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>
            <v/>
          </cell>
          <cell r="AT328">
            <v>0</v>
          </cell>
          <cell r="AU328" t="str">
            <v/>
          </cell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>
            <v/>
          </cell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>
            <v/>
          </cell>
          <cell r="AT330">
            <v>0</v>
          </cell>
          <cell r="AU330" t="str">
            <v/>
          </cell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>
            <v/>
          </cell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>
            <v/>
          </cell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>
            <v/>
          </cell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>
            <v/>
          </cell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>
            <v/>
          </cell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>
            <v/>
          </cell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>
            <v/>
          </cell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>
            <v/>
          </cell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>
            <v/>
          </cell>
          <cell r="AT339">
            <v>0</v>
          </cell>
          <cell r="AU339" t="str">
            <v/>
          </cell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>
            <v/>
          </cell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>
            <v/>
          </cell>
          <cell r="AT341">
            <v>0</v>
          </cell>
          <cell r="AU341" t="str">
            <v/>
          </cell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>
            <v/>
          </cell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>
            <v/>
          </cell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>
            <v/>
          </cell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 xml:space="preserve"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/>
      <sheetData sheetId="1"/>
      <sheetData sheetId="2"/>
      <sheetData sheetId="3">
        <row r="5">
          <cell r="D5">
            <v>42430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7">
          <cell r="T7">
            <v>-2.1999999999999997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zoomScale="70" zoomScaleNormal="70" workbookViewId="0">
      <pane xSplit="16" ySplit="3" topLeftCell="Q187" activePane="bottomRight" state="frozen"/>
      <selection activeCell="J1" sqref="J1"/>
      <selection pane="topRight" activeCell="Q1" sqref="Q1"/>
      <selection pane="bottomLeft" activeCell="J4" sqref="J4"/>
      <selection pane="bottomRight" activeCell="J33" sqref="J33"/>
    </sheetView>
  </sheetViews>
  <sheetFormatPr defaultColWidth="9.140625" defaultRowHeight="14.25" customHeight="1" outlineLevelRow="1" outlineLevelCol="2" x14ac:dyDescent="0.25"/>
  <cols>
    <col min="1" max="1" width="12.42578125" style="48" customWidth="1" outlineLevel="1"/>
    <col min="2" max="7" width="12.42578125" style="48" customWidth="1" outlineLevel="2"/>
    <col min="8" max="9" width="12.42578125" style="48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71" bestFit="1" customWidth="1"/>
    <col min="14" max="14" width="11.140625" style="71" customWidth="1" outlineLevel="1"/>
    <col min="15" max="15" width="12.42578125" style="1" customWidth="1" outlineLevel="1"/>
    <col min="16" max="16" width="14.28515625" style="71" customWidth="1"/>
    <col min="17" max="17" width="13.42578125" style="2" customWidth="1"/>
    <col min="18" max="18" width="13.42578125" style="71" customWidth="1"/>
    <col min="19" max="19" width="25.5703125" style="71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8" customWidth="1"/>
    <col min="27" max="27" width="14.85546875" style="1" customWidth="1"/>
    <col min="28" max="28" width="12.42578125" style="48" customWidth="1" outlineLevel="1"/>
    <col min="29" max="29" width="13.7109375" style="48" customWidth="1" outlineLevel="1"/>
    <col min="30" max="32" width="12.42578125" style="48" customWidth="1" outlineLevel="1"/>
    <col min="33" max="33" width="16.42578125" style="48" customWidth="1"/>
    <col min="34" max="34" width="16.42578125" style="48" customWidth="1" outlineLevel="1"/>
    <col min="35" max="35" width="18.5703125" style="1" bestFit="1" customWidth="1"/>
    <col min="36" max="36" width="22.28515625" style="1" customWidth="1"/>
    <col min="37" max="37" width="15.42578125" style="48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8" customWidth="1" outlineLevel="1"/>
    <col min="44" max="44" width="22.7109375" style="1" customWidth="1"/>
    <col min="45" max="45" width="19.42578125" style="220" customWidth="1"/>
    <col min="46" max="46" width="15.42578125" style="48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48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48" customWidth="1" outlineLevel="1"/>
    <col min="68" max="68" width="8.5703125" style="48" customWidth="1" outlineLevel="1"/>
    <col min="69" max="69" width="0.140625" style="203" customWidth="1"/>
    <col min="70" max="72" width="11.5703125" style="48" customWidth="1"/>
    <col min="73" max="73" width="9.5703125" style="383" customWidth="1"/>
    <col min="74" max="74" width="8.85546875" style="383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03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8" customWidth="1" outlineLevel="1" collapsed="1"/>
    <col min="92" max="92" width="17.7109375" style="48" customWidth="1" outlineLevel="1"/>
    <col min="93" max="93" width="20" style="48" customWidth="1"/>
    <col min="94" max="94" width="21.42578125" style="2" customWidth="1"/>
    <col min="95" max="95" width="17.28515625" style="2" customWidth="1" outlineLevel="1"/>
    <col min="96" max="96" width="14.140625" style="48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3" customWidth="1" outlineLevel="1"/>
    <col min="105" max="106" width="15.140625" style="79" customWidth="1" outlineLevel="1"/>
    <col min="107" max="107" width="10.7109375" style="79" customWidth="1" outlineLevel="1"/>
    <col min="108" max="108" width="13.140625" style="79" customWidth="1" outlineLevel="1"/>
    <col min="109" max="109" width="13" style="79" customWidth="1" outlineLevel="1"/>
    <col min="110" max="112" width="10.7109375" style="79" customWidth="1" outlineLevel="1"/>
    <col min="113" max="113" width="13.42578125" style="79" customWidth="1" outlineLevel="1"/>
    <col min="114" max="114" width="11.5703125" style="79" customWidth="1" outlineLevel="1"/>
    <col min="115" max="115" width="16.42578125" style="79" customWidth="1" outlineLevel="1"/>
    <col min="116" max="116" width="14.5703125" style="79" customWidth="1" outlineLevel="1"/>
    <col min="117" max="117" width="13.42578125" style="79" customWidth="1" outlineLevel="1"/>
    <col min="118" max="118" width="5.140625" style="1" bestFit="1" customWidth="1"/>
    <col min="119" max="119" width="15.85546875" style="25" customWidth="1"/>
    <col min="121" max="121" width="6.140625" style="1" bestFit="1" customWidth="1"/>
    <col min="122" max="16384" width="9.140625" style="1"/>
  </cols>
  <sheetData>
    <row r="1" spans="1:119" s="7" customFormat="1" ht="31.5" customHeight="1" x14ac:dyDescent="0.25">
      <c r="A1" s="1452" t="s">
        <v>40</v>
      </c>
      <c r="B1" s="1452"/>
      <c r="C1" s="1452"/>
      <c r="D1" s="1452"/>
      <c r="E1" s="1452"/>
      <c r="F1" s="1452"/>
      <c r="G1" s="1452"/>
      <c r="H1" s="1452"/>
      <c r="I1" s="1452"/>
      <c r="J1" s="1333" t="s">
        <v>0</v>
      </c>
      <c r="K1" s="1333" t="s">
        <v>1</v>
      </c>
      <c r="L1" s="1335" t="s">
        <v>2</v>
      </c>
      <c r="M1" s="1337" t="s">
        <v>79</v>
      </c>
      <c r="N1" s="1337" t="s">
        <v>3</v>
      </c>
      <c r="O1" s="1339" t="s">
        <v>4</v>
      </c>
      <c r="P1" s="1337" t="s">
        <v>90</v>
      </c>
      <c r="Q1" s="1341" t="s">
        <v>116</v>
      </c>
      <c r="R1" s="1337" t="s">
        <v>117</v>
      </c>
      <c r="S1" s="1337" t="s">
        <v>118</v>
      </c>
      <c r="T1" s="1341" t="s">
        <v>119</v>
      </c>
      <c r="U1" s="1341" t="s">
        <v>120</v>
      </c>
      <c r="V1" s="1341" t="s">
        <v>121</v>
      </c>
      <c r="W1" s="1341" t="s">
        <v>122</v>
      </c>
      <c r="X1" s="1339" t="s">
        <v>91</v>
      </c>
      <c r="Y1" s="1343" t="s">
        <v>98</v>
      </c>
      <c r="Z1" s="1345" t="s">
        <v>99</v>
      </c>
      <c r="AA1" s="1335" t="s">
        <v>92</v>
      </c>
      <c r="AB1" s="1445" t="s">
        <v>31</v>
      </c>
      <c r="AC1" s="1429" t="s">
        <v>42</v>
      </c>
      <c r="AD1" s="1429" t="s">
        <v>43</v>
      </c>
      <c r="AE1" s="1429" t="s">
        <v>34</v>
      </c>
      <c r="AF1" s="1431" t="s">
        <v>35</v>
      </c>
      <c r="AG1" s="1433" t="s">
        <v>38</v>
      </c>
      <c r="AH1" s="1333" t="s">
        <v>133</v>
      </c>
      <c r="AI1" s="1339" t="s">
        <v>81</v>
      </c>
      <c r="AJ1" s="1339" t="s">
        <v>80</v>
      </c>
      <c r="AK1" s="1427"/>
      <c r="AL1" s="1427"/>
      <c r="AM1" s="1427"/>
      <c r="AN1" s="1427"/>
      <c r="AO1" s="1427"/>
      <c r="AP1" s="1428"/>
      <c r="AQ1" s="1443" t="s">
        <v>39</v>
      </c>
      <c r="AR1" s="1339" t="s">
        <v>93</v>
      </c>
      <c r="AS1" s="1435" t="s">
        <v>78</v>
      </c>
      <c r="AT1" s="1427" t="s">
        <v>50</v>
      </c>
      <c r="AU1" s="1427"/>
      <c r="AV1" s="1427"/>
      <c r="AW1" s="1427"/>
      <c r="AX1" s="1427"/>
      <c r="AY1" s="1428"/>
      <c r="AZ1" s="5"/>
      <c r="BA1" s="272"/>
      <c r="BB1" s="272"/>
      <c r="BC1" s="1422" t="s">
        <v>60</v>
      </c>
      <c r="BD1" s="1422"/>
      <c r="BE1" s="1422"/>
      <c r="BF1" s="1422"/>
      <c r="BG1" s="74"/>
      <c r="BH1" s="272"/>
      <c r="BI1" s="272"/>
      <c r="BJ1" s="6"/>
      <c r="BK1" s="6"/>
      <c r="BL1" s="272"/>
      <c r="BM1" s="272"/>
      <c r="BN1" s="272"/>
      <c r="BO1" s="74"/>
      <c r="BP1" s="74"/>
      <c r="BQ1" s="370"/>
      <c r="BR1" s="1437" t="s">
        <v>102</v>
      </c>
      <c r="BS1" s="1439" t="s">
        <v>103</v>
      </c>
      <c r="BT1" s="1439" t="s">
        <v>104</v>
      </c>
      <c r="BU1" s="1441" t="s">
        <v>105</v>
      </c>
      <c r="BV1" s="1301" t="s">
        <v>106</v>
      </c>
      <c r="BW1" s="1303" t="s">
        <v>14</v>
      </c>
      <c r="BX1" s="1305" t="s">
        <v>107</v>
      </c>
      <c r="BY1" s="1305" t="s">
        <v>108</v>
      </c>
      <c r="BZ1" s="1269" t="s">
        <v>109</v>
      </c>
      <c r="CA1" s="370"/>
      <c r="CB1" s="1423" t="s">
        <v>61</v>
      </c>
      <c r="CC1" s="1424"/>
      <c r="CD1" s="1424"/>
      <c r="CE1" s="1424"/>
      <c r="CF1" s="1424"/>
      <c r="CG1" s="1424"/>
      <c r="CH1" s="1424"/>
      <c r="CI1" s="1424"/>
      <c r="CJ1" s="1424"/>
      <c r="CK1" s="1424"/>
      <c r="CL1" s="1424"/>
      <c r="CM1" s="1424"/>
      <c r="CN1" s="1424"/>
      <c r="CO1" s="1424"/>
      <c r="CP1" s="1425"/>
      <c r="CQ1" s="1271" t="s">
        <v>15</v>
      </c>
      <c r="CR1" s="1273" t="s">
        <v>5</v>
      </c>
      <c r="CS1" s="1275" t="s">
        <v>16</v>
      </c>
      <c r="CT1" s="1262" t="s">
        <v>73</v>
      </c>
      <c r="CU1" s="1267" t="s">
        <v>76</v>
      </c>
      <c r="CV1" s="1262" t="s">
        <v>113</v>
      </c>
      <c r="CW1" s="1262" t="s">
        <v>114</v>
      </c>
      <c r="CX1" s="1262" t="s">
        <v>72</v>
      </c>
      <c r="CY1" s="1288" t="s">
        <v>115</v>
      </c>
      <c r="CZ1" s="1290" t="s">
        <v>17</v>
      </c>
      <c r="DA1" s="1294" t="s">
        <v>74</v>
      </c>
      <c r="DB1" s="1295" t="s">
        <v>74</v>
      </c>
      <c r="DC1" s="1295"/>
      <c r="DD1" s="1295"/>
      <c r="DE1" s="1295"/>
      <c r="DF1" s="1295"/>
      <c r="DG1" s="1295"/>
      <c r="DH1" s="1295"/>
      <c r="DI1" s="1295"/>
      <c r="DJ1" s="1295"/>
      <c r="DK1" s="1295"/>
      <c r="DL1" s="1295"/>
      <c r="DM1" s="1296"/>
      <c r="DO1" s="509"/>
    </row>
    <row r="2" spans="1:119" s="705" customFormat="1" ht="120.75" customHeight="1" x14ac:dyDescent="0.25">
      <c r="A2" s="690" t="s">
        <v>53</v>
      </c>
      <c r="B2" s="690" t="s">
        <v>31</v>
      </c>
      <c r="C2" s="691" t="s">
        <v>32</v>
      </c>
      <c r="D2" s="691" t="s">
        <v>33</v>
      </c>
      <c r="E2" s="691" t="s">
        <v>34</v>
      </c>
      <c r="F2" s="691" t="s">
        <v>35</v>
      </c>
      <c r="G2" s="691" t="s">
        <v>49</v>
      </c>
      <c r="H2" s="690" t="s">
        <v>48</v>
      </c>
      <c r="I2" s="691" t="s">
        <v>47</v>
      </c>
      <c r="J2" s="1334"/>
      <c r="K2" s="1334"/>
      <c r="L2" s="1336"/>
      <c r="M2" s="1338"/>
      <c r="N2" s="1338"/>
      <c r="O2" s="1340"/>
      <c r="P2" s="1338"/>
      <c r="Q2" s="1342"/>
      <c r="R2" s="1338"/>
      <c r="S2" s="1338"/>
      <c r="T2" s="1342"/>
      <c r="U2" s="1342"/>
      <c r="V2" s="1342"/>
      <c r="W2" s="1342"/>
      <c r="X2" s="1340"/>
      <c r="Y2" s="1344"/>
      <c r="Z2" s="1346"/>
      <c r="AA2" s="1336"/>
      <c r="AB2" s="1446"/>
      <c r="AC2" s="1430"/>
      <c r="AD2" s="1430"/>
      <c r="AE2" s="1430"/>
      <c r="AF2" s="1432"/>
      <c r="AG2" s="1434"/>
      <c r="AH2" s="1334"/>
      <c r="AI2" s="1340"/>
      <c r="AJ2" s="1340"/>
      <c r="AK2" s="698" t="s">
        <v>36</v>
      </c>
      <c r="AL2" s="696" t="s">
        <v>44</v>
      </c>
      <c r="AM2" s="696" t="s">
        <v>123</v>
      </c>
      <c r="AN2" s="696" t="s">
        <v>46</v>
      </c>
      <c r="AO2" s="696" t="s">
        <v>37</v>
      </c>
      <c r="AP2" s="697" t="s">
        <v>124</v>
      </c>
      <c r="AQ2" s="1444"/>
      <c r="AR2" s="1340"/>
      <c r="AS2" s="1436"/>
      <c r="AT2" s="698" t="s">
        <v>36</v>
      </c>
      <c r="AU2" s="696" t="s">
        <v>44</v>
      </c>
      <c r="AV2" s="696" t="s">
        <v>45</v>
      </c>
      <c r="AW2" s="696" t="s">
        <v>46</v>
      </c>
      <c r="AX2" s="696" t="s">
        <v>37</v>
      </c>
      <c r="AY2" s="697" t="s">
        <v>41</v>
      </c>
      <c r="AZ2" s="692" t="s">
        <v>6</v>
      </c>
      <c r="BA2" s="696" t="s">
        <v>54</v>
      </c>
      <c r="BB2" s="696" t="s">
        <v>55</v>
      </c>
      <c r="BC2" s="699" t="s">
        <v>59</v>
      </c>
      <c r="BD2" s="699" t="s">
        <v>75</v>
      </c>
      <c r="BE2" s="699" t="s">
        <v>58</v>
      </c>
      <c r="BF2" s="699" t="s">
        <v>57</v>
      </c>
      <c r="BG2" s="694" t="s">
        <v>56</v>
      </c>
      <c r="BH2" s="696" t="s">
        <v>51</v>
      </c>
      <c r="BI2" s="696" t="s">
        <v>52</v>
      </c>
      <c r="BJ2" s="693" t="s">
        <v>7</v>
      </c>
      <c r="BK2" s="693" t="s">
        <v>8</v>
      </c>
      <c r="BL2" s="693" t="s">
        <v>9</v>
      </c>
      <c r="BM2" s="693" t="s">
        <v>10</v>
      </c>
      <c r="BN2" s="693" t="s">
        <v>11</v>
      </c>
      <c r="BO2" s="694" t="s">
        <v>12</v>
      </c>
      <c r="BP2" s="694" t="s">
        <v>13</v>
      </c>
      <c r="BQ2" s="700"/>
      <c r="BR2" s="1438"/>
      <c r="BS2" s="1440"/>
      <c r="BT2" s="1440"/>
      <c r="BU2" s="1442"/>
      <c r="BV2" s="1302"/>
      <c r="BW2" s="1304"/>
      <c r="BX2" s="1306"/>
      <c r="BY2" s="1306"/>
      <c r="BZ2" s="1270"/>
      <c r="CA2" s="700"/>
      <c r="CB2" s="701" t="s">
        <v>62</v>
      </c>
      <c r="CC2" s="696" t="s">
        <v>63</v>
      </c>
      <c r="CD2" s="702" t="s">
        <v>65</v>
      </c>
      <c r="CE2" s="702" t="s">
        <v>64</v>
      </c>
      <c r="CF2" s="702" t="s">
        <v>66</v>
      </c>
      <c r="CG2" s="702"/>
      <c r="CH2" s="702" t="s">
        <v>110</v>
      </c>
      <c r="CI2" s="702" t="s">
        <v>70</v>
      </c>
      <c r="CJ2" s="702" t="s">
        <v>67</v>
      </c>
      <c r="CK2" s="702" t="s">
        <v>68</v>
      </c>
      <c r="CL2" s="703" t="s">
        <v>69</v>
      </c>
      <c r="CM2" s="695" t="s">
        <v>100</v>
      </c>
      <c r="CN2" s="704" t="s">
        <v>101</v>
      </c>
      <c r="CO2" s="702" t="s">
        <v>111</v>
      </c>
      <c r="CP2" s="697" t="s">
        <v>112</v>
      </c>
      <c r="CQ2" s="1272"/>
      <c r="CR2" s="1274"/>
      <c r="CS2" s="1276"/>
      <c r="CT2" s="1263"/>
      <c r="CU2" s="1268"/>
      <c r="CV2" s="1263"/>
      <c r="CW2" s="1263"/>
      <c r="CX2" s="1263"/>
      <c r="CY2" s="1289"/>
      <c r="CZ2" s="1291"/>
      <c r="DA2" s="776" t="s">
        <v>134</v>
      </c>
      <c r="DB2" s="776" t="s">
        <v>135</v>
      </c>
      <c r="DC2" s="776" t="s">
        <v>125</v>
      </c>
      <c r="DD2" s="776" t="s">
        <v>126</v>
      </c>
      <c r="DE2" s="776" t="s">
        <v>127</v>
      </c>
      <c r="DF2" s="776" t="s">
        <v>123</v>
      </c>
      <c r="DG2" s="776" t="s">
        <v>128</v>
      </c>
      <c r="DH2" s="776" t="s">
        <v>129</v>
      </c>
      <c r="DI2" s="776" t="s">
        <v>130</v>
      </c>
      <c r="DJ2" s="776" t="s">
        <v>71</v>
      </c>
      <c r="DK2" s="776" t="s">
        <v>131</v>
      </c>
      <c r="DL2" s="776" t="s">
        <v>132</v>
      </c>
      <c r="DM2" s="777" t="s">
        <v>18</v>
      </c>
      <c r="DO2" s="706"/>
    </row>
    <row r="3" spans="1:119" s="152" customFormat="1" ht="20.100000000000001" customHeight="1" x14ac:dyDescent="0.25">
      <c r="A3" s="139"/>
      <c r="B3" s="139"/>
      <c r="C3" s="140"/>
      <c r="D3" s="140"/>
      <c r="E3" s="140"/>
      <c r="F3" s="140"/>
      <c r="G3" s="140"/>
      <c r="H3" s="139"/>
      <c r="I3" s="140"/>
      <c r="J3" s="141" t="s">
        <v>378</v>
      </c>
      <c r="K3" s="141"/>
      <c r="L3" s="191"/>
      <c r="M3" s="178"/>
      <c r="N3" s="143"/>
      <c r="O3" s="142"/>
      <c r="P3" s="179"/>
      <c r="Q3" s="449"/>
      <c r="R3" s="143"/>
      <c r="S3" s="143"/>
      <c r="T3" s="449"/>
      <c r="U3" s="449"/>
      <c r="V3" s="449"/>
      <c r="W3" s="449"/>
      <c r="X3" s="142"/>
      <c r="Y3" s="170"/>
      <c r="Z3" s="174"/>
      <c r="AA3" s="144"/>
      <c r="AB3" s="139"/>
      <c r="AC3" s="140"/>
      <c r="AD3" s="140"/>
      <c r="AE3" s="140"/>
      <c r="AF3" s="140"/>
      <c r="AG3" s="145"/>
      <c r="AH3" s="140"/>
      <c r="AI3" s="144"/>
      <c r="AJ3" s="144"/>
      <c r="AK3" s="139"/>
      <c r="AL3" s="144"/>
      <c r="AM3" s="144"/>
      <c r="AN3" s="144"/>
      <c r="AO3" s="144"/>
      <c r="AP3" s="146"/>
      <c r="AQ3" s="147"/>
      <c r="AR3" s="144"/>
      <c r="AS3" s="291"/>
      <c r="AT3" s="140"/>
      <c r="AU3" s="144"/>
      <c r="AV3" s="144"/>
      <c r="AW3" s="144"/>
      <c r="AX3" s="144"/>
      <c r="AY3" s="146"/>
      <c r="AZ3" s="148"/>
      <c r="BA3" s="144"/>
      <c r="BB3" s="144"/>
      <c r="BC3" s="149"/>
      <c r="BD3" s="149"/>
      <c r="BE3" s="149"/>
      <c r="BF3" s="149"/>
      <c r="BG3" s="140"/>
      <c r="BH3" s="144"/>
      <c r="BI3" s="144"/>
      <c r="BJ3" s="144"/>
      <c r="BK3" s="144"/>
      <c r="BL3" s="144"/>
      <c r="BM3" s="144"/>
      <c r="BN3" s="144"/>
      <c r="BO3" s="140"/>
      <c r="BP3" s="140"/>
      <c r="BQ3" s="371"/>
      <c r="BR3" s="139"/>
      <c r="BS3" s="140"/>
      <c r="BT3" s="512"/>
      <c r="BU3" s="512"/>
      <c r="BV3" s="377"/>
      <c r="BW3" s="144"/>
      <c r="BX3" s="144"/>
      <c r="BY3" s="144"/>
      <c r="BZ3" s="146"/>
      <c r="CA3" s="371"/>
      <c r="CB3" s="150"/>
      <c r="CC3" s="144"/>
      <c r="CD3" s="144"/>
      <c r="CE3" s="144"/>
      <c r="CF3" s="144"/>
      <c r="CG3" s="144"/>
      <c r="CH3" s="449"/>
      <c r="CI3" s="144"/>
      <c r="CJ3" s="144"/>
      <c r="CK3" s="144"/>
      <c r="CL3" s="146"/>
      <c r="CM3" s="139"/>
      <c r="CN3" s="140"/>
      <c r="CO3" s="140"/>
      <c r="CP3" s="146"/>
      <c r="CQ3" s="146"/>
      <c r="CR3" s="232"/>
      <c r="CS3" s="151"/>
      <c r="CT3" s="151"/>
      <c r="CU3" s="151"/>
      <c r="CV3" s="151"/>
      <c r="CW3" s="151"/>
      <c r="CX3" s="151"/>
      <c r="CY3" s="318"/>
      <c r="CZ3" s="510"/>
      <c r="DA3" s="760"/>
      <c r="DB3" s="760"/>
      <c r="DC3" s="760"/>
      <c r="DD3" s="760"/>
      <c r="DE3" s="760"/>
      <c r="DF3" s="760"/>
      <c r="DG3" s="760"/>
      <c r="DH3" s="760"/>
      <c r="DI3" s="760"/>
      <c r="DJ3" s="760"/>
      <c r="DK3" s="760"/>
      <c r="DL3" s="760"/>
      <c r="DM3" s="511"/>
    </row>
    <row r="4" spans="1:119" s="69" customFormat="1" ht="15.95" customHeight="1" x14ac:dyDescent="0.25">
      <c r="A4" s="44">
        <f>'[176]Для ФА'!$T$22</f>
        <v>71.960000000000008</v>
      </c>
      <c r="B4" s="44">
        <f>'[176]Для ФА'!$T$6</f>
        <v>71.082776146945434</v>
      </c>
      <c r="C4" s="10">
        <f>'[176]Для ФА'!$T$7</f>
        <v>-2.1999999999999997</v>
      </c>
      <c r="D4" s="10">
        <f>-'[176]Для ФА'!$T$11</f>
        <v>-1.1328166930378101</v>
      </c>
      <c r="E4" s="10">
        <f>[177]NB!$D$13</f>
        <v>0</v>
      </c>
      <c r="F4" s="10"/>
      <c r="G4" s="10">
        <f>SUM(B4:F4)</f>
        <v>67.749959453907621</v>
      </c>
      <c r="H4" s="44">
        <f>'[176]Для ФА'!$T$20</f>
        <v>41.699999999999996</v>
      </c>
      <c r="I4" s="10">
        <f>'[176]Для ФА'!$T$10</f>
        <v>5.8775921965782398</v>
      </c>
      <c r="J4" s="80" t="s">
        <v>381</v>
      </c>
      <c r="K4" s="58" t="s">
        <v>398</v>
      </c>
      <c r="L4" s="1218">
        <f>M4</f>
        <v>44571</v>
      </c>
      <c r="M4" s="180">
        <v>44571</v>
      </c>
      <c r="N4" s="81">
        <v>44607</v>
      </c>
      <c r="O4" s="1219">
        <f>P4</f>
        <v>44620</v>
      </c>
      <c r="P4" s="181">
        <v>44620</v>
      </c>
      <c r="Q4" s="43">
        <f>P4-M4</f>
        <v>49</v>
      </c>
      <c r="R4" s="678">
        <f>P4-N4</f>
        <v>13</v>
      </c>
      <c r="S4" s="680" t="s">
        <v>399</v>
      </c>
      <c r="T4" s="43"/>
      <c r="U4" s="43"/>
      <c r="V4" s="43"/>
      <c r="W4" s="43"/>
      <c r="X4" s="8" t="s">
        <v>400</v>
      </c>
      <c r="Y4" s="171">
        <v>75.14</v>
      </c>
      <c r="Z4" s="175">
        <v>74.65299473974278</v>
      </c>
      <c r="AA4" s="459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82">
        <f>SUM(AB4:AF4)</f>
        <v>174.63</v>
      </c>
      <c r="AH4" s="10"/>
      <c r="AI4" s="8">
        <f>AG4*AA4/0.1364</f>
        <v>42090439.002932556</v>
      </c>
      <c r="AJ4" s="8">
        <f>AI4*Y4</f>
        <v>3162675586.6803522</v>
      </c>
      <c r="AK4" s="58">
        <f t="shared" ref="AK4:AP5" si="0">AB4*$CZ4*$AA4*$Y4/1000/1000</f>
        <v>1471.0334984934971</v>
      </c>
      <c r="AL4" s="8">
        <f t="shared" si="0"/>
        <v>1646.8196068990269</v>
      </c>
      <c r="AM4" s="8">
        <f t="shared" si="0"/>
        <v>-32.99315455441824</v>
      </c>
      <c r="AN4" s="647">
        <f t="shared" si="0"/>
        <v>21.818053818244323</v>
      </c>
      <c r="AO4" s="1179">
        <f t="shared" si="0"/>
        <v>-9.0465101197598408</v>
      </c>
      <c r="AP4" s="59">
        <f t="shared" si="0"/>
        <v>3097.6314945365898</v>
      </c>
      <c r="AQ4" s="83">
        <f t="shared" ref="AQ4" si="1">AJ4/1000/1000-AP4</f>
        <v>65.044092143762555</v>
      </c>
      <c r="AR4" s="8">
        <f>AI4*Z4</f>
        <v>3142177321.4793882</v>
      </c>
      <c r="AS4" s="59">
        <f>AR4-AJ4</f>
        <v>-20498265.200963974</v>
      </c>
      <c r="AT4" s="8">
        <f t="shared" ref="AT4:AX4" si="2">(AB4-B4)*$CZ4*$AA4*$Y4/1000/1000</f>
        <v>210.14907936807518</v>
      </c>
      <c r="AU4" s="8">
        <f t="shared" si="2"/>
        <v>1685.8437681999517</v>
      </c>
      <c r="AV4" s="8">
        <f t="shared" si="2"/>
        <v>-12.898963030105643</v>
      </c>
      <c r="AW4" s="647">
        <f t="shared" si="2"/>
        <v>21.818053818244323</v>
      </c>
      <c r="AX4" s="1179">
        <f t="shared" si="2"/>
        <v>-9.0465101197598408</v>
      </c>
      <c r="AY4" s="59">
        <f>SUM(AT4:AX4)</f>
        <v>1895.8654282364057</v>
      </c>
      <c r="AZ4" s="58">
        <v>3876</v>
      </c>
      <c r="BA4" s="1179">
        <f t="shared" ref="BA4" si="3">(I4+D4)*AA4*CZ4*A4</f>
        <v>80602132.11017552</v>
      </c>
      <c r="BB4" s="1179">
        <f t="shared" ref="BB4" si="4">(BC4+BE4+BF4+BD4)*AA4+0.76*Y4*AA4</f>
        <v>102642370.0064</v>
      </c>
      <c r="BC4" s="1183">
        <v>9</v>
      </c>
      <c r="BD4" s="1183">
        <v>2876</v>
      </c>
      <c r="BE4" s="84">
        <v>152</v>
      </c>
      <c r="BF4" s="84">
        <v>28</v>
      </c>
      <c r="BG4" s="10">
        <v>24.87</v>
      </c>
      <c r="BH4" s="1179">
        <f t="shared" ref="BH4" si="5">$H4*$A4*$AA4</f>
        <v>98652065.231999993</v>
      </c>
      <c r="BI4" s="1179">
        <f t="shared" ref="BI4" si="6">BG4*AA4*Y4</f>
        <v>61436426.656800002</v>
      </c>
      <c r="BJ4" s="8">
        <f>AJ4/AA4-AZ4-BG4*Y4</f>
        <v>90455.401631085057</v>
      </c>
      <c r="BK4" s="8">
        <f t="shared" ref="BK4" si="7">AR4/AA4-AZ4-BG4</f>
        <v>91675.761022003542</v>
      </c>
      <c r="BL4" s="8">
        <v>27987</v>
      </c>
      <c r="BM4" s="8">
        <f t="shared" ref="BM4" si="8">BJ4-BL4</f>
        <v>62468.401631085057</v>
      </c>
      <c r="BN4" s="8">
        <f>BK4-BL4</f>
        <v>63688.761022003542</v>
      </c>
      <c r="BO4" s="10">
        <v>1.069</v>
      </c>
      <c r="BP4" s="85"/>
      <c r="BQ4" s="294"/>
      <c r="BR4" s="44">
        <f>AI4/AA4/7.1806</f>
        <v>178.29688220696971</v>
      </c>
      <c r="BS4" s="10">
        <f t="shared" ref="BS4:BS41" si="9">CN4-BO4</f>
        <v>81.780999999999992</v>
      </c>
      <c r="BT4" s="513">
        <f t="shared" ref="BT4:BT41" si="10">CM4-BO4</f>
        <v>91.450999999999993</v>
      </c>
      <c r="BU4" s="513">
        <f t="shared" ref="BU4:BU41" si="11">BR4-BS4</f>
        <v>96.515882206969721</v>
      </c>
      <c r="BV4" s="378">
        <f t="shared" ref="BV4:BV41" si="12">BR4-BT4</f>
        <v>86.845882206969719</v>
      </c>
      <c r="BW4" s="8"/>
      <c r="BX4" s="8"/>
      <c r="BY4" s="8"/>
      <c r="BZ4" s="59"/>
      <c r="CA4" s="294"/>
      <c r="CB4" s="58">
        <v>19274</v>
      </c>
      <c r="CC4" s="8">
        <v>27987</v>
      </c>
      <c r="CD4" s="8">
        <v>4987</v>
      </c>
      <c r="CE4" s="647">
        <v>-876</v>
      </c>
      <c r="CF4" s="1179">
        <f>CC4-(CB4+CD4+CE4)</f>
        <v>4602</v>
      </c>
      <c r="CG4" s="1179"/>
      <c r="CH4" s="1180">
        <v>897872641</v>
      </c>
      <c r="CI4" s="1180">
        <f t="shared" ref="CI4" si="13">(CB4-CC4)*AA4</f>
        <v>-286448588</v>
      </c>
      <c r="CJ4" s="1180">
        <f>CD4*$AA4</f>
        <v>163952612</v>
      </c>
      <c r="CK4" s="1180">
        <f>CE4*$AA4</f>
        <v>-28799376</v>
      </c>
      <c r="CL4" s="1181">
        <f>CF4*$AA4</f>
        <v>151295352</v>
      </c>
      <c r="CM4" s="44">
        <v>92.52</v>
      </c>
      <c r="CN4" s="10">
        <v>82.85</v>
      </c>
      <c r="CO4" s="1180">
        <v>987614815</v>
      </c>
      <c r="CP4" s="38">
        <f t="shared" ref="CP4" si="14">CO4-CH4</f>
        <v>89742174</v>
      </c>
      <c r="CQ4" s="1200"/>
      <c r="CR4" s="12">
        <v>74.33</v>
      </c>
      <c r="CS4" s="8">
        <f t="shared" ref="CS4" si="15">AA4*BK4/1000/1000</f>
        <v>3013.9323193593882</v>
      </c>
      <c r="CT4" s="8">
        <f t="shared" ref="CT4" si="16">BL4*AA4</f>
        <v>920100612</v>
      </c>
      <c r="CU4" s="8">
        <f>CS4-CT4</f>
        <v>-920097598.0676806</v>
      </c>
      <c r="CV4" s="43">
        <f t="shared" ref="CV4" si="17">BL4/CR4*Y4*AA4</f>
        <v>930127270.08852422</v>
      </c>
      <c r="CW4" s="43">
        <f t="shared" ref="CW4" si="18">BL4/CR4*Z4*AA4</f>
        <v>924098831.53060842</v>
      </c>
      <c r="CX4" s="8">
        <f>CV4-CT4</f>
        <v>10026658.088524222</v>
      </c>
      <c r="CY4" s="59">
        <f t="shared" ref="CY4" si="19">CW4-CH4</f>
        <v>26226190.530608416</v>
      </c>
      <c r="CZ4" s="304">
        <f t="shared" ref="CZ4" si="20">AI4/AA4/BR4</f>
        <v>7.1806000000000001</v>
      </c>
      <c r="DA4" s="1182">
        <f t="shared" ref="DA4" si="21">CR4*AA4*BU4*CZ4/1000000</f>
        <v>1693.5679413147373</v>
      </c>
      <c r="DB4" s="1182">
        <f t="shared" ref="DB4" si="22">CR4*AA4*BV4*CZ4/1000000</f>
        <v>1523.8880749752791</v>
      </c>
      <c r="DC4" s="1182">
        <f t="shared" ref="DC4" si="23">IFERROR((T4*W4)/1000/1000,0)</f>
        <v>0</v>
      </c>
      <c r="DD4" s="1182">
        <f t="shared" ref="DD4" si="24">SUM(AT4,AW4,AX4)</f>
        <v>222.92062306655967</v>
      </c>
      <c r="DE4" s="1182">
        <f t="shared" ref="DE4" si="25">AL4</f>
        <v>1646.8196068990269</v>
      </c>
      <c r="DF4" s="1182">
        <f t="shared" ref="DF4" si="26">AV4</f>
        <v>-12.898963030105643</v>
      </c>
      <c r="DG4" s="1182">
        <f t="shared" ref="DG4" si="27">(BA4-BB4)/1000/1000</f>
        <v>-22.040237896224482</v>
      </c>
      <c r="DH4" s="1182">
        <f t="shared" ref="DH4" si="28">(BH4-BI4)/1000/1000</f>
        <v>37.215638575199989</v>
      </c>
      <c r="DI4" s="1182">
        <f t="shared" ref="DI4" si="29">AS4/1000000</f>
        <v>-20.498265200963974</v>
      </c>
      <c r="DJ4" s="1182">
        <f t="shared" ref="DJ4" si="30">CI4/1000/1000</f>
        <v>-286.44858799999997</v>
      </c>
      <c r="DK4" s="1182">
        <f t="shared" ref="DK4" si="31">CY4/1000/1000</f>
        <v>26.226190530608417</v>
      </c>
      <c r="DL4" s="1182">
        <f t="shared" ref="DL4" si="32">CP4/1000/1000</f>
        <v>89.742174000000006</v>
      </c>
      <c r="DM4" s="1184">
        <f t="shared" ref="DM4" si="33">SUM(DA4:DL4)</f>
        <v>4898.494195234116</v>
      </c>
      <c r="DN4" s="190"/>
    </row>
    <row r="5" spans="1:119" s="69" customFormat="1" ht="15.95" customHeight="1" x14ac:dyDescent="0.25">
      <c r="A5" s="1206" cm="1">
        <f t="array" ref="A5">IFERROR(_xlfn.FILTERXML(Лист1!Q10,"//Value"),A4)</f>
        <v>76.165999999999997</v>
      </c>
      <c r="B5" s="18"/>
      <c r="G5" s="11"/>
      <c r="H5" s="18"/>
      <c r="I5" s="11"/>
      <c r="J5" s="80" t="s">
        <v>381</v>
      </c>
      <c r="K5" s="58" t="s">
        <v>398</v>
      </c>
      <c r="L5" s="1218">
        <f t="shared" ref="L5:L41" si="34">M5</f>
        <v>44572</v>
      </c>
      <c r="M5" s="180">
        <v>44572</v>
      </c>
      <c r="N5" s="81">
        <v>44608</v>
      </c>
      <c r="O5" s="1219">
        <f t="shared" ref="O5:O41" si="35">P5</f>
        <v>44621</v>
      </c>
      <c r="P5" s="181">
        <v>44621</v>
      </c>
      <c r="Q5" s="16">
        <f>P5-M5</f>
        <v>49</v>
      </c>
      <c r="R5" s="679">
        <f>P5-N5</f>
        <v>13</v>
      </c>
      <c r="S5" s="681"/>
      <c r="T5" s="16"/>
      <c r="U5" s="16"/>
      <c r="V5" s="16"/>
      <c r="W5" s="16"/>
      <c r="X5" s="8" t="s">
        <v>400</v>
      </c>
      <c r="Y5" s="172" cm="1">
        <f t="array" ref="Y5">_xlfn.FILTERXML(Лист1!J23,"//Value")</f>
        <v>75.131500000000003</v>
      </c>
      <c r="Z5" s="176" cm="1">
        <f t="array" ref="Z5">IFERROR(_xlfn.FILTERXML(Лист1!C34,"//Value"),Z4)</f>
        <v>93.558899999999994</v>
      </c>
      <c r="AA5" s="458">
        <f ca="1">RANDBETWEEN(10000,45000)</f>
        <v>40765</v>
      </c>
      <c r="AB5" s="11"/>
      <c r="AC5" s="11"/>
      <c r="AD5" s="11"/>
      <c r="AE5" s="11"/>
      <c r="AF5" s="11"/>
      <c r="AG5" s="75">
        <f t="shared" ref="AG5:AG14" si="36">SUM(AB5:AF5)</f>
        <v>0</v>
      </c>
      <c r="AH5" s="11"/>
      <c r="AI5" s="8">
        <f t="shared" ref="AI5:AI41" ca="1" si="37">AG5*AA5/0.1364</f>
        <v>0</v>
      </c>
      <c r="AJ5" s="8">
        <f t="shared" ref="AJ5:AJ41" ca="1" si="38">AI5*Y5</f>
        <v>0</v>
      </c>
      <c r="AK5" s="58" t="e">
        <f t="shared" ca="1" si="0"/>
        <v>#DIV/0!</v>
      </c>
      <c r="AL5" s="91" t="e">
        <f t="shared" ref="AL5:AL25" ca="1" si="39">AC5*$CZ5*$AA5*$Y5/1000/1000</f>
        <v>#DIV/0!</v>
      </c>
      <c r="AM5" s="91" t="e">
        <f t="shared" ref="AM5:AM25" ca="1" si="40">AD5*$CZ5*$AA5*$Y5/1000/1000</f>
        <v>#DIV/0!</v>
      </c>
      <c r="AN5" s="91" t="e">
        <f t="shared" ref="AN5:AN25" ca="1" si="41">AE5*$CZ5*$AA5*$Y5/1000/1000</f>
        <v>#DIV/0!</v>
      </c>
      <c r="AO5" s="91" t="e">
        <f t="shared" ref="AO5:AO25" ca="1" si="42">AF5*$CZ5*$AA5*$Y5/1000/1000</f>
        <v>#DIV/0!</v>
      </c>
      <c r="AP5" s="287" t="e">
        <f t="shared" ref="AP5:AP25" ca="1" si="43">AG5*$CZ5*$AA5*$Y5/1000/1000</f>
        <v>#DIV/0!</v>
      </c>
      <c r="AQ5" s="86" t="e">
        <f t="shared" ref="AQ5:AQ33" ca="1" si="44">AJ5/1000/1000-AP5</f>
        <v>#DIV/0!</v>
      </c>
      <c r="AR5" s="91">
        <f ca="1">AI5*Z5</f>
        <v>0</v>
      </c>
      <c r="AS5" s="287">
        <f ca="1">AR5-AJ5</f>
        <v>0</v>
      </c>
      <c r="AT5" s="91" t="e">
        <f t="shared" ref="AT5:AT16" ca="1" si="45">(AB5-B5)*$CZ5*$AA5*$Y5/1000/1000</f>
        <v>#DIV/0!</v>
      </c>
      <c r="AU5" s="91" t="e">
        <f t="shared" ref="AU5:AX6" ca="1" si="46">(AC5-C6)*$CZ5*$AA5*$Y5/1000/1000</f>
        <v>#DIV/0!</v>
      </c>
      <c r="AV5" s="91" t="e">
        <f t="shared" ca="1" si="46"/>
        <v>#DIV/0!</v>
      </c>
      <c r="AW5" s="91" t="e">
        <f t="shared" ca="1" si="46"/>
        <v>#DIV/0!</v>
      </c>
      <c r="AX5" s="91" t="e">
        <f t="shared" ca="1" si="46"/>
        <v>#DIV/0!</v>
      </c>
      <c r="AY5" s="287" t="e">
        <f t="shared" ref="AY5:AY33" ca="1" si="47">SUM(AT5:AX5)</f>
        <v>#DIV/0!</v>
      </c>
      <c r="AZ5" s="61"/>
      <c r="BA5" s="276" t="e">
        <f ca="1">(I5+D6)*AA5*CZ5*A5</f>
        <v>#DIV/0!</v>
      </c>
      <c r="BB5" s="276">
        <f t="shared" ref="BB5:BB32" ca="1" si="48">(BC5+BE5+BF5+BD5)*AA5+0.76*Y5*AA5</f>
        <v>2327679.0541000003</v>
      </c>
      <c r="BC5" s="87"/>
      <c r="BD5" s="87"/>
      <c r="BE5" s="87"/>
      <c r="BF5" s="87"/>
      <c r="BG5" s="11"/>
      <c r="BH5" s="91">
        <f t="shared" ref="BH5:BH40" ca="1" si="49">$H5*$A5*$AA5</f>
        <v>0</v>
      </c>
      <c r="BI5" s="91">
        <f t="shared" ref="BI5:BI33" ca="1" si="50">BG5*AA5*Y5</f>
        <v>0</v>
      </c>
      <c r="BJ5" s="275">
        <f t="shared" ref="BJ5:BJ32" ca="1" si="51">AJ5/AA5-AZ5-BG5*Y5</f>
        <v>0</v>
      </c>
      <c r="BK5" s="91">
        <f t="shared" ref="BK5:BK24" ca="1" si="52">AR5/AA5-AZ5-BG5</f>
        <v>0</v>
      </c>
      <c r="BL5" s="91"/>
      <c r="BM5" s="91">
        <f t="shared" ref="BM5:BM25" ca="1" si="53">BJ5-BL5</f>
        <v>0</v>
      </c>
      <c r="BN5" s="8">
        <f t="shared" ref="BN5:BN28" ca="1" si="54">BK5-BL5</f>
        <v>0</v>
      </c>
      <c r="BO5" s="11"/>
      <c r="BP5" s="88"/>
      <c r="BQ5" s="372"/>
      <c r="BR5" s="44">
        <f t="shared" ref="BR5:BR41" ca="1" si="55">AI5/AA5/7.1806</f>
        <v>0</v>
      </c>
      <c r="BS5" s="10">
        <f t="shared" si="9"/>
        <v>0</v>
      </c>
      <c r="BT5" s="513">
        <f t="shared" si="10"/>
        <v>0</v>
      </c>
      <c r="BU5" s="513">
        <f t="shared" ca="1" si="11"/>
        <v>0</v>
      </c>
      <c r="BV5" s="378">
        <f t="shared" ca="1" si="12"/>
        <v>0</v>
      </c>
      <c r="BW5" s="91"/>
      <c r="BX5" s="506"/>
      <c r="BY5" s="506"/>
      <c r="BZ5" s="508"/>
      <c r="CA5" s="507"/>
      <c r="CB5" s="61">
        <f>SUMPRODUCT(([178]БП!$C$245:$N$245=$L5)*([178]БП!$C$246:$N$246))</f>
        <v>0</v>
      </c>
      <c r="CC5" s="360">
        <f>SUMPRODUCT(('[178]факт+прогноз НДПИ'!$C$220:$N$220=$L5)*('[178]факт+прогноз НДПИ'!$C$221:$N$221))</f>
        <v>0</v>
      </c>
      <c r="CD5" s="360">
        <f>SUMPRODUCT(([178]БП_Urals!$C$245:$N$245=$L5)*([178]БП_Urals!$C$246:$N$246))-CB5</f>
        <v>0</v>
      </c>
      <c r="CE5" s="360">
        <f>SUMPRODUCT(([178]БП_курс!$C$245:$N$245=$L5)*([178]БП_курс!$C$246:$N$246))-CB5</f>
        <v>0</v>
      </c>
      <c r="CF5" s="360">
        <f t="shared" ref="CF5:CF33" si="56">CC5-(CB5+CD5+CE5)</f>
        <v>0</v>
      </c>
      <c r="CG5" s="360"/>
      <c r="CH5" s="16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ref="CI5:CI28" ca="1" si="57">(CB5-CC5)*AA5</f>
        <v>0</v>
      </c>
      <c r="CJ5" s="16">
        <f t="shared" ref="CJ5:CJ33" ca="1" si="58">CD5*$AA5</f>
        <v>0</v>
      </c>
      <c r="CK5" s="16">
        <f t="shared" ref="CK5:CK34" ca="1" si="59">CE5*$AA5</f>
        <v>0</v>
      </c>
      <c r="CL5" s="40">
        <f t="shared" ref="CL5:CL34" ca="1" si="60">CF5*$AA5</f>
        <v>0</v>
      </c>
      <c r="CM5" s="18"/>
      <c r="CN5" s="11"/>
      <c r="CO5" s="808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#VALUE!</v>
      </c>
      <c r="CP5" s="40" t="e">
        <f t="shared" ref="CP5:CP41" ca="1" si="61">CO5-CH5</f>
        <v>#VALUE!</v>
      </c>
      <c r="CQ5" s="274"/>
      <c r="CR5" s="14"/>
      <c r="CS5" s="91">
        <f t="shared" ref="CS5:CS25" ca="1" si="62">AA5*BK5/1000/1000</f>
        <v>0</v>
      </c>
      <c r="CT5" s="91">
        <f t="shared" ref="CT5:CT28" ca="1" si="63">BL5*AA5</f>
        <v>0</v>
      </c>
      <c r="CU5" s="91">
        <f t="shared" ref="CU5:CU33" ca="1" si="64">CS5-CT5</f>
        <v>0</v>
      </c>
      <c r="CV5" s="16" t="e">
        <f t="shared" ref="CV5:CV25" ca="1" si="65">BL5/CR5*Y5*AA5</f>
        <v>#DIV/0!</v>
      </c>
      <c r="CW5" s="16" t="e">
        <f ca="1">BL5/CR5*Z5*AA5</f>
        <v>#DIV/0!</v>
      </c>
      <c r="CX5" s="91" t="e">
        <f t="shared" ref="CX5:CX21" ca="1" si="66">CV5-CT5</f>
        <v>#DIV/0!</v>
      </c>
      <c r="CY5" s="287" t="e">
        <f t="shared" ref="CY5:CY25" ca="1" si="67">CW5-CH5</f>
        <v>#DIV/0!</v>
      </c>
      <c r="CZ5" s="305" t="e">
        <f t="shared" ref="CZ5:CZ16" ca="1" si="68">AI5/AA5/BR5</f>
        <v>#DIV/0!</v>
      </c>
      <c r="DA5" s="762" t="e">
        <f t="shared" ref="DA5:DA25" ca="1" si="69">CR5*AA5*BU5*CZ5/1000000</f>
        <v>#DIV/0!</v>
      </c>
      <c r="DB5" s="762" t="e">
        <f t="shared" ref="DB5:DB25" ca="1" si="70">CR5*AA5*BV5*CZ5/1000000</f>
        <v>#DIV/0!</v>
      </c>
      <c r="DC5" s="762">
        <f t="shared" ref="DC5:DC41" si="71">IFERROR((T5*W5)/1000/1000,0)</f>
        <v>0</v>
      </c>
      <c r="DD5" s="762" t="e">
        <f t="shared" ref="DD5:DD28" ca="1" si="72">SUM(AT5,AW5,AX5)</f>
        <v>#DIV/0!</v>
      </c>
      <c r="DE5" s="762" t="e">
        <f t="shared" ref="DE5:DE28" ca="1" si="73">AL5</f>
        <v>#DIV/0!</v>
      </c>
      <c r="DF5" s="762" t="e">
        <f t="shared" ref="DF5:DF30" ca="1" si="74">AV5</f>
        <v>#DIV/0!</v>
      </c>
      <c r="DG5" s="762" t="e">
        <f t="shared" ref="DG5:DG28" ca="1" si="75">(BA5-BB5)/1000/1000</f>
        <v>#DIV/0!</v>
      </c>
      <c r="DH5" s="762">
        <f t="shared" ref="DH5:DH30" ca="1" si="76">(BH5-BI5)/1000/1000</f>
        <v>0</v>
      </c>
      <c r="DI5" s="762">
        <f t="shared" ref="DI5:DI25" ca="1" si="77">AS5/1000000</f>
        <v>0</v>
      </c>
      <c r="DJ5" s="762">
        <f t="shared" ref="DJ5:DJ30" ca="1" si="78">CI5/1000/1000</f>
        <v>0</v>
      </c>
      <c r="DK5" s="762" t="e">
        <f t="shared" ref="DK5:DK30" ca="1" si="79">CY5/1000/1000</f>
        <v>#DIV/0!</v>
      </c>
      <c r="DL5" s="762" t="e">
        <f t="shared" ref="DL5:DL30" ca="1" si="80">CP5/1000/1000</f>
        <v>#VALUE!</v>
      </c>
      <c r="DM5" s="55" t="e">
        <f t="shared" ref="DM5:DM41" ca="1" si="81">SUM(DA5:DL5)</f>
        <v>#DIV/0!</v>
      </c>
      <c r="DN5" s="190"/>
    </row>
    <row r="6" spans="1:119" s="69" customFormat="1" ht="15.95" customHeight="1" x14ac:dyDescent="0.25">
      <c r="A6" s="1206" cm="1">
        <f t="array" ref="A6">IFERROR(_xlfn.FILTERXML(Лист1!Q11,"//Value"),A5)</f>
        <v>75.014099999999999</v>
      </c>
      <c r="B6" s="18"/>
      <c r="C6" s="11"/>
      <c r="D6" s="11"/>
      <c r="E6" s="11"/>
      <c r="F6" s="11"/>
      <c r="G6" s="11"/>
      <c r="H6" s="18"/>
      <c r="I6" s="11"/>
      <c r="J6" s="80" t="s">
        <v>381</v>
      </c>
      <c r="K6" s="58" t="s">
        <v>398</v>
      </c>
      <c r="L6" s="1218">
        <f t="shared" si="34"/>
        <v>44573</v>
      </c>
      <c r="M6" s="180">
        <v>44573</v>
      </c>
      <c r="N6" s="81">
        <v>44609</v>
      </c>
      <c r="O6" s="1219">
        <f t="shared" si="35"/>
        <v>44625</v>
      </c>
      <c r="P6" s="181">
        <v>44625</v>
      </c>
      <c r="Q6" s="16">
        <f t="shared" ref="Q6:Q25" si="82">P6-M6</f>
        <v>52</v>
      </c>
      <c r="R6" s="679">
        <f t="shared" ref="R6:R41" si="83">P6-N6</f>
        <v>16</v>
      </c>
      <c r="S6" s="681"/>
      <c r="T6" s="16"/>
      <c r="U6" s="16"/>
      <c r="V6" s="16"/>
      <c r="W6" s="16"/>
      <c r="X6" s="8" t="s">
        <v>400</v>
      </c>
      <c r="Y6" s="172" cm="1">
        <f t="array" ref="Y6">_xlfn.FILTERXML(Лист1!J24,"//Value")</f>
        <v>74.835499999999996</v>
      </c>
      <c r="Z6" s="176" cm="1">
        <f t="array" ref="Z6">IFERROR(_xlfn.FILTERXML(Лист1!C35,"//Value"),Z5)</f>
        <v>105.8124</v>
      </c>
      <c r="AA6" s="458">
        <f t="shared" ref="AA6:AA41" ca="1" si="84">RANDBETWEEN(10000,45000)</f>
        <v>29121</v>
      </c>
      <c r="AB6" s="11"/>
      <c r="AC6" s="11"/>
      <c r="AD6" s="11"/>
      <c r="AE6" s="11"/>
      <c r="AF6" s="11"/>
      <c r="AG6" s="75">
        <f t="shared" si="36"/>
        <v>0</v>
      </c>
      <c r="AH6" s="11"/>
      <c r="AI6" s="8">
        <f t="shared" ca="1" si="37"/>
        <v>0</v>
      </c>
      <c r="AJ6" s="8">
        <f t="shared" ca="1" si="38"/>
        <v>0</v>
      </c>
      <c r="AK6" s="61" t="e">
        <f t="shared" ref="AK6:AK25" ca="1" si="85">AB6*$CZ6*$AA6*$Y6/1000/1000</f>
        <v>#DIV/0!</v>
      </c>
      <c r="AL6" s="91" t="e">
        <f t="shared" ca="1" si="39"/>
        <v>#DIV/0!</v>
      </c>
      <c r="AM6" s="91" t="e">
        <f t="shared" ca="1" si="40"/>
        <v>#DIV/0!</v>
      </c>
      <c r="AN6" s="91" t="e">
        <f t="shared" ca="1" si="41"/>
        <v>#DIV/0!</v>
      </c>
      <c r="AO6" s="91" t="e">
        <f t="shared" ca="1" si="42"/>
        <v>#DIV/0!</v>
      </c>
      <c r="AP6" s="287" t="e">
        <f t="shared" ca="1" si="43"/>
        <v>#DIV/0!</v>
      </c>
      <c r="AQ6" s="86" t="e">
        <f t="shared" ca="1" si="44"/>
        <v>#DIV/0!</v>
      </c>
      <c r="AR6" s="91">
        <f t="shared" ref="AR6:AR28" ca="1" si="86">AI6*Z6</f>
        <v>0</v>
      </c>
      <c r="AS6" s="287">
        <f t="shared" ref="AS6:AS19" ca="1" si="87">AR6-AJ6</f>
        <v>0</v>
      </c>
      <c r="AT6" s="91" t="e">
        <f t="shared" ca="1" si="45"/>
        <v>#DIV/0!</v>
      </c>
      <c r="AU6" s="91" t="e">
        <f t="shared" ca="1" si="46"/>
        <v>#DIV/0!</v>
      </c>
      <c r="AV6" s="91" t="e">
        <f t="shared" ca="1" si="46"/>
        <v>#DIV/0!</v>
      </c>
      <c r="AW6" s="91" t="e">
        <f t="shared" ca="1" si="46"/>
        <v>#DIV/0!</v>
      </c>
      <c r="AX6" s="91" t="e">
        <f t="shared" ca="1" si="46"/>
        <v>#DIV/0!</v>
      </c>
      <c r="AY6" s="287" t="e">
        <f t="shared" ca="1" si="47"/>
        <v>#DIV/0!</v>
      </c>
      <c r="AZ6" s="61"/>
      <c r="BA6" s="276" t="e">
        <f ca="1">(I6+D7)*AA6*CZ6*A6</f>
        <v>#DIV/0!</v>
      </c>
      <c r="BB6" s="276">
        <f t="shared" ca="1" si="48"/>
        <v>1656256.2925800001</v>
      </c>
      <c r="BC6" s="87"/>
      <c r="BD6" s="87"/>
      <c r="BE6" s="87"/>
      <c r="BF6" s="87"/>
      <c r="BG6" s="11"/>
      <c r="BH6" s="91">
        <f t="shared" ca="1" si="49"/>
        <v>0</v>
      </c>
      <c r="BI6" s="91">
        <f t="shared" ca="1" si="50"/>
        <v>0</v>
      </c>
      <c r="BJ6" s="275">
        <f ca="1">AJ6/AA6-AZ6-BG6*Y6</f>
        <v>0</v>
      </c>
      <c r="BK6" s="91">
        <f t="shared" ca="1" si="52"/>
        <v>0</v>
      </c>
      <c r="BL6" s="91"/>
      <c r="BM6" s="91">
        <f t="shared" ca="1" si="53"/>
        <v>0</v>
      </c>
      <c r="BN6" s="8">
        <f t="shared" ca="1" si="54"/>
        <v>0</v>
      </c>
      <c r="BO6" s="11"/>
      <c r="BP6" s="88"/>
      <c r="BQ6" s="372"/>
      <c r="BR6" s="44">
        <f t="shared" ca="1" si="55"/>
        <v>0</v>
      </c>
      <c r="BS6" s="10">
        <f t="shared" si="9"/>
        <v>0</v>
      </c>
      <c r="BT6" s="513">
        <f t="shared" si="10"/>
        <v>0</v>
      </c>
      <c r="BU6" s="513">
        <f t="shared" ca="1" si="11"/>
        <v>0</v>
      </c>
      <c r="BV6" s="378">
        <f t="shared" ca="1" si="12"/>
        <v>0</v>
      </c>
      <c r="BW6" s="91"/>
      <c r="BX6" s="506"/>
      <c r="BY6" s="506"/>
      <c r="BZ6" s="508"/>
      <c r="CA6" s="507"/>
      <c r="CB6" s="61">
        <f>SUMPRODUCT(([178]БП!$C$245:$N$245=$L6)*([178]БП!$C$246:$N$246))</f>
        <v>0</v>
      </c>
      <c r="CC6" s="360">
        <f>SUMPRODUCT(('[178]факт+прогноз НДПИ'!$C$220:$N$220=$L6)*('[178]факт+прогноз НДПИ'!$C$221:$N$221))</f>
        <v>0</v>
      </c>
      <c r="CD6" s="360">
        <f>SUMPRODUCT(([178]БП_Urals!$C$245:$N$245=$L6)*([178]БП_Urals!$C$246:$N$246))-CB6</f>
        <v>0</v>
      </c>
      <c r="CE6" s="360">
        <f>SUMPRODUCT(([178]БП_курс!$C$245:$N$245=$L6)*([178]БП_курс!$C$246:$N$246))-CB6</f>
        <v>0</v>
      </c>
      <c r="CF6" s="360">
        <f t="shared" si="56"/>
        <v>0</v>
      </c>
      <c r="CG6" s="360"/>
      <c r="CH6" s="16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ca="1" si="57"/>
        <v>0</v>
      </c>
      <c r="CJ6" s="16">
        <f t="shared" ca="1" si="58"/>
        <v>0</v>
      </c>
      <c r="CK6" s="16">
        <f t="shared" ca="1" si="59"/>
        <v>0</v>
      </c>
      <c r="CL6" s="40">
        <f t="shared" ca="1" si="60"/>
        <v>0</v>
      </c>
      <c r="CM6" s="18"/>
      <c r="CN6" s="11"/>
      <c r="CO6" s="808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#VALUE!</v>
      </c>
      <c r="CP6" s="40" t="e">
        <f t="shared" ca="1" si="61"/>
        <v>#VALUE!</v>
      </c>
      <c r="CQ6" s="274"/>
      <c r="CR6" s="14"/>
      <c r="CS6" s="91">
        <f t="shared" ca="1" si="62"/>
        <v>0</v>
      </c>
      <c r="CT6" s="91">
        <f t="shared" ca="1" si="63"/>
        <v>0</v>
      </c>
      <c r="CU6" s="91">
        <f t="shared" ca="1" si="64"/>
        <v>0</v>
      </c>
      <c r="CV6" s="16" t="e">
        <f t="shared" ca="1" si="65"/>
        <v>#DIV/0!</v>
      </c>
      <c r="CW6" s="16" t="e">
        <f t="shared" ref="CW6:CW25" ca="1" si="88">BL6/CR6*Z6*AA6</f>
        <v>#DIV/0!</v>
      </c>
      <c r="CX6" s="91" t="e">
        <f t="shared" ca="1" si="66"/>
        <v>#DIV/0!</v>
      </c>
      <c r="CY6" s="287" t="e">
        <f t="shared" ca="1" si="67"/>
        <v>#DIV/0!</v>
      </c>
      <c r="CZ6" s="305" t="e">
        <f t="shared" ca="1" si="68"/>
        <v>#DIV/0!</v>
      </c>
      <c r="DA6" s="762" t="e">
        <f t="shared" ca="1" si="69"/>
        <v>#DIV/0!</v>
      </c>
      <c r="DB6" s="762" t="e">
        <f t="shared" ca="1" si="70"/>
        <v>#DIV/0!</v>
      </c>
      <c r="DC6" s="762">
        <f t="shared" si="71"/>
        <v>0</v>
      </c>
      <c r="DD6" s="762" t="e">
        <f t="shared" ca="1" si="72"/>
        <v>#DIV/0!</v>
      </c>
      <c r="DE6" s="762" t="e">
        <f t="shared" ca="1" si="73"/>
        <v>#DIV/0!</v>
      </c>
      <c r="DF6" s="762" t="e">
        <f t="shared" ca="1" si="74"/>
        <v>#DIV/0!</v>
      </c>
      <c r="DG6" s="762" t="e">
        <f t="shared" ca="1" si="75"/>
        <v>#DIV/0!</v>
      </c>
      <c r="DH6" s="762">
        <f t="shared" ca="1" si="76"/>
        <v>0</v>
      </c>
      <c r="DI6" s="762">
        <f t="shared" ca="1" si="77"/>
        <v>0</v>
      </c>
      <c r="DJ6" s="762">
        <f t="shared" ca="1" si="78"/>
        <v>0</v>
      </c>
      <c r="DK6" s="762" t="e">
        <f t="shared" ca="1" si="79"/>
        <v>#DIV/0!</v>
      </c>
      <c r="DL6" s="762" t="e">
        <f t="shared" ca="1" si="80"/>
        <v>#VALUE!</v>
      </c>
      <c r="DM6" s="55" t="e">
        <f t="shared" ca="1" si="81"/>
        <v>#DIV/0!</v>
      </c>
      <c r="DN6" s="190"/>
    </row>
    <row r="7" spans="1:119" s="69" customFormat="1" ht="15.95" customHeight="1" x14ac:dyDescent="0.25">
      <c r="A7" s="1206" cm="1">
        <f t="array" ref="A7">IFERROR(_xlfn.FILTERXML(Лист1!Q12,"//Value"),A6)</f>
        <v>75.752700000000004</v>
      </c>
      <c r="B7" s="18"/>
      <c r="C7" s="11"/>
      <c r="D7" s="11"/>
      <c r="E7" s="11"/>
      <c r="F7" s="11"/>
      <c r="G7" s="11"/>
      <c r="H7" s="18"/>
      <c r="I7" s="11"/>
      <c r="J7" s="80" t="s">
        <v>381</v>
      </c>
      <c r="K7" s="58" t="s">
        <v>398</v>
      </c>
      <c r="L7" s="1218">
        <f t="shared" si="34"/>
        <v>44574</v>
      </c>
      <c r="M7" s="180">
        <v>44574</v>
      </c>
      <c r="N7" s="81">
        <v>44610</v>
      </c>
      <c r="O7" s="1219">
        <f t="shared" si="35"/>
        <v>44623</v>
      </c>
      <c r="P7" s="181">
        <v>44623</v>
      </c>
      <c r="Q7" s="16">
        <f>P7-M7</f>
        <v>49</v>
      </c>
      <c r="R7" s="679">
        <f t="shared" si="83"/>
        <v>13</v>
      </c>
      <c r="S7" s="681"/>
      <c r="T7" s="16"/>
      <c r="U7" s="16"/>
      <c r="V7" s="16"/>
      <c r="W7" s="16"/>
      <c r="X7" s="8" t="s">
        <v>400</v>
      </c>
      <c r="Y7" s="172" cm="1">
        <f t="array" ref="Y7">_xlfn.FILTERXML(Лист1!J25,"//Value")</f>
        <v>74.527699999999996</v>
      </c>
      <c r="Z7" s="176" cm="1">
        <f t="array" ref="Z7">IFERROR(_xlfn.FILTERXML(Лист1!C36,"//Value"),Z6)</f>
        <v>103.2487</v>
      </c>
      <c r="AA7" s="458">
        <f t="shared" ca="1" si="84"/>
        <v>14175</v>
      </c>
      <c r="AB7" s="11"/>
      <c r="AC7" s="11"/>
      <c r="AD7" s="11"/>
      <c r="AE7" s="11"/>
      <c r="AF7" s="11"/>
      <c r="AG7" s="75">
        <f t="shared" si="36"/>
        <v>0</v>
      </c>
      <c r="AH7" s="11"/>
      <c r="AI7" s="8">
        <f t="shared" ca="1" si="37"/>
        <v>0</v>
      </c>
      <c r="AJ7" s="8">
        <f t="shared" ca="1" si="38"/>
        <v>0</v>
      </c>
      <c r="AK7" s="61" t="e">
        <f ca="1">AB7*$CZ7*$AA7*$Y7/1000/1000</f>
        <v>#DIV/0!</v>
      </c>
      <c r="AL7" s="91" t="e">
        <f t="shared" ca="1" si="39"/>
        <v>#DIV/0!</v>
      </c>
      <c r="AM7" s="91" t="e">
        <f t="shared" ca="1" si="40"/>
        <v>#DIV/0!</v>
      </c>
      <c r="AN7" s="91" t="e">
        <f t="shared" ca="1" si="41"/>
        <v>#DIV/0!</v>
      </c>
      <c r="AO7" s="91" t="e">
        <f t="shared" ca="1" si="42"/>
        <v>#DIV/0!</v>
      </c>
      <c r="AP7" s="287" t="e">
        <f t="shared" ca="1" si="43"/>
        <v>#DIV/0!</v>
      </c>
      <c r="AQ7" s="86" t="e">
        <f t="shared" ca="1" si="44"/>
        <v>#DIV/0!</v>
      </c>
      <c r="AR7" s="91">
        <f t="shared" ca="1" si="86"/>
        <v>0</v>
      </c>
      <c r="AS7" s="287">
        <f t="shared" ca="1" si="87"/>
        <v>0</v>
      </c>
      <c r="AT7" s="91" t="e">
        <f t="shared" ca="1" si="45"/>
        <v>#DIV/0!</v>
      </c>
      <c r="AU7" s="91" t="e">
        <f t="shared" ref="AU7:AU12" ca="1" si="89">(AC7-C8)*$CZ7*$AA7*$Y7/1000/1000</f>
        <v>#DIV/0!</v>
      </c>
      <c r="AV7" s="91" t="e">
        <f ca="1">(AD7-#REF!)*$CZ7*$AA7*$Y7/1000/1000</f>
        <v>#REF!</v>
      </c>
      <c r="AW7" s="91" t="e">
        <f t="shared" ref="AW7:AX12" ca="1" si="90">(AE7-E8)*$CZ7*$AA7*$Y7/1000/1000</f>
        <v>#DIV/0!</v>
      </c>
      <c r="AX7" s="91" t="e">
        <f t="shared" ca="1" si="90"/>
        <v>#DIV/0!</v>
      </c>
      <c r="AY7" s="287" t="e">
        <f t="shared" ca="1" si="47"/>
        <v>#DIV/0!</v>
      </c>
      <c r="AZ7" s="61"/>
      <c r="BA7" s="276" t="e">
        <f ca="1">(I7+#REF!)*AA7*CZ7*A7</f>
        <v>#REF!</v>
      </c>
      <c r="BB7" s="276">
        <f t="shared" ca="1" si="48"/>
        <v>802886.91209999996</v>
      </c>
      <c r="BC7" s="87"/>
      <c r="BD7" s="87"/>
      <c r="BE7" s="87"/>
      <c r="BF7" s="87"/>
      <c r="BG7" s="11"/>
      <c r="BH7" s="91">
        <f t="shared" ca="1" si="49"/>
        <v>0</v>
      </c>
      <c r="BI7" s="91">
        <f t="shared" ca="1" si="50"/>
        <v>0</v>
      </c>
      <c r="BJ7" s="275">
        <f t="shared" ca="1" si="51"/>
        <v>0</v>
      </c>
      <c r="BK7" s="91">
        <f t="shared" ca="1" si="52"/>
        <v>0</v>
      </c>
      <c r="BL7" s="91"/>
      <c r="BM7" s="91">
        <f t="shared" ca="1" si="53"/>
        <v>0</v>
      </c>
      <c r="BN7" s="8">
        <f t="shared" ca="1" si="54"/>
        <v>0</v>
      </c>
      <c r="BO7" s="11"/>
      <c r="BP7" s="88"/>
      <c r="BQ7" s="372"/>
      <c r="BR7" s="44">
        <f t="shared" ca="1" si="55"/>
        <v>0</v>
      </c>
      <c r="BS7" s="10">
        <f t="shared" si="9"/>
        <v>0</v>
      </c>
      <c r="BT7" s="513">
        <f t="shared" si="10"/>
        <v>0</v>
      </c>
      <c r="BU7" s="513">
        <f t="shared" ca="1" si="11"/>
        <v>0</v>
      </c>
      <c r="BV7" s="378">
        <f t="shared" ca="1" si="12"/>
        <v>0</v>
      </c>
      <c r="BW7" s="91"/>
      <c r="BX7" s="506"/>
      <c r="BY7" s="506"/>
      <c r="BZ7" s="508"/>
      <c r="CA7" s="507"/>
      <c r="CB7" s="61">
        <f>SUMPRODUCT(([178]БП!$C$245:$N$245=$L7)*([178]БП!$C$246:$N$246))</f>
        <v>0</v>
      </c>
      <c r="CC7" s="360">
        <f>SUMPRODUCT(('[178]факт+прогноз НДПИ'!$C$220:$N$220=$L7)*('[178]факт+прогноз НДПИ'!$C$221:$N$221))</f>
        <v>0</v>
      </c>
      <c r="CD7" s="360">
        <f>SUMPRODUCT(([178]БП_Urals!$C$245:$N$245=$L7)*([178]БП_Urals!$C$246:$N$246))-CB7</f>
        <v>0</v>
      </c>
      <c r="CE7" s="360">
        <f>SUMPRODUCT(([178]БП_курс!$C$245:$N$245=$L7)*([178]БП_курс!$C$246:$N$246))-CB7</f>
        <v>0</v>
      </c>
      <c r="CF7" s="360">
        <f t="shared" si="56"/>
        <v>0</v>
      </c>
      <c r="CG7" s="360"/>
      <c r="CH7" s="16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ca="1" si="57"/>
        <v>0</v>
      </c>
      <c r="CJ7" s="16">
        <f t="shared" ca="1" si="58"/>
        <v>0</v>
      </c>
      <c r="CK7" s="16">
        <f t="shared" ca="1" si="59"/>
        <v>0</v>
      </c>
      <c r="CL7" s="40">
        <f t="shared" ca="1" si="60"/>
        <v>0</v>
      </c>
      <c r="CM7" s="18"/>
      <c r="CN7" s="11"/>
      <c r="CO7" s="808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#VALUE!</v>
      </c>
      <c r="CP7" s="40" t="e">
        <f t="shared" ca="1" si="61"/>
        <v>#VALUE!</v>
      </c>
      <c r="CQ7" s="274"/>
      <c r="CR7" s="14"/>
      <c r="CS7" s="91">
        <f t="shared" ca="1" si="62"/>
        <v>0</v>
      </c>
      <c r="CT7" s="91">
        <f t="shared" ca="1" si="63"/>
        <v>0</v>
      </c>
      <c r="CU7" s="91">
        <f t="shared" ca="1" si="64"/>
        <v>0</v>
      </c>
      <c r="CV7" s="16" t="e">
        <f t="shared" ca="1" si="65"/>
        <v>#DIV/0!</v>
      </c>
      <c r="CW7" s="16" t="e">
        <f t="shared" ca="1" si="88"/>
        <v>#DIV/0!</v>
      </c>
      <c r="CX7" s="91" t="e">
        <f t="shared" ca="1" si="66"/>
        <v>#DIV/0!</v>
      </c>
      <c r="CY7" s="287" t="e">
        <f t="shared" ca="1" si="67"/>
        <v>#DIV/0!</v>
      </c>
      <c r="CZ7" s="305" t="e">
        <f t="shared" ca="1" si="68"/>
        <v>#DIV/0!</v>
      </c>
      <c r="DA7" s="762" t="e">
        <f t="shared" ca="1" si="69"/>
        <v>#DIV/0!</v>
      </c>
      <c r="DB7" s="762" t="e">
        <f t="shared" ca="1" si="70"/>
        <v>#DIV/0!</v>
      </c>
      <c r="DC7" s="762">
        <f t="shared" si="71"/>
        <v>0</v>
      </c>
      <c r="DD7" s="762" t="e">
        <f t="shared" ca="1" si="72"/>
        <v>#DIV/0!</v>
      </c>
      <c r="DE7" s="762" t="e">
        <f t="shared" ca="1" si="73"/>
        <v>#DIV/0!</v>
      </c>
      <c r="DF7" s="762" t="e">
        <f t="shared" ca="1" si="74"/>
        <v>#REF!</v>
      </c>
      <c r="DG7" s="762" t="e">
        <f t="shared" ca="1" si="75"/>
        <v>#REF!</v>
      </c>
      <c r="DH7" s="762">
        <f t="shared" ca="1" si="76"/>
        <v>0</v>
      </c>
      <c r="DI7" s="762">
        <f t="shared" ca="1" si="77"/>
        <v>0</v>
      </c>
      <c r="DJ7" s="762">
        <f t="shared" ca="1" si="78"/>
        <v>0</v>
      </c>
      <c r="DK7" s="762" t="e">
        <f t="shared" ca="1" si="79"/>
        <v>#DIV/0!</v>
      </c>
      <c r="DL7" s="762" t="e">
        <f t="shared" ca="1" si="80"/>
        <v>#VALUE!</v>
      </c>
      <c r="DM7" s="55" t="e">
        <f t="shared" ca="1" si="81"/>
        <v>#DIV/0!</v>
      </c>
      <c r="DN7" s="190"/>
    </row>
    <row r="8" spans="1:119" s="69" customFormat="1" ht="15.95" customHeight="1" x14ac:dyDescent="0.25">
      <c r="A8" s="1206" cm="1">
        <f t="array" ref="A8">IFERROR(_xlfn.FILTERXML(Лист1!Q13,"//Value"),A7)</f>
        <v>75.752700000000004</v>
      </c>
      <c r="B8" s="18"/>
      <c r="C8" s="11"/>
      <c r="E8" s="11"/>
      <c r="F8" s="11"/>
      <c r="G8" s="11"/>
      <c r="H8" s="18"/>
      <c r="I8" s="11"/>
      <c r="J8" s="80" t="s">
        <v>381</v>
      </c>
      <c r="K8" s="58" t="s">
        <v>398</v>
      </c>
      <c r="L8" s="1218">
        <f t="shared" si="34"/>
        <v>44575</v>
      </c>
      <c r="M8" s="180">
        <v>44575</v>
      </c>
      <c r="N8" s="81">
        <v>44613</v>
      </c>
      <c r="O8" s="1219">
        <f t="shared" si="35"/>
        <v>44624</v>
      </c>
      <c r="P8" s="181">
        <v>44624</v>
      </c>
      <c r="Q8" s="16">
        <f t="shared" si="82"/>
        <v>49</v>
      </c>
      <c r="R8" s="679">
        <f t="shared" si="83"/>
        <v>11</v>
      </c>
      <c r="S8" s="681"/>
      <c r="T8" s="16"/>
      <c r="U8" s="16"/>
      <c r="V8" s="16"/>
      <c r="W8" s="16"/>
      <c r="X8" s="8" t="s">
        <v>400</v>
      </c>
      <c r="Y8" s="172" cm="1">
        <f t="array" ref="Y8">_xlfn.FILTERXML(Лист1!J26,"//Value")</f>
        <v>74.568600000000004</v>
      </c>
      <c r="Z8" s="176" cm="1">
        <f t="array" ref="Z8">IFERROR(_xlfn.FILTERXML(Лист1!C37,"//Value"),Z7)</f>
        <v>111.7564</v>
      </c>
      <c r="AA8" s="458">
        <f t="shared" ca="1" si="84"/>
        <v>32474</v>
      </c>
      <c r="AB8" s="11"/>
      <c r="AC8" s="11"/>
      <c r="AD8" s="11"/>
      <c r="AE8" s="11"/>
      <c r="AF8" s="11"/>
      <c r="AG8" s="75">
        <f t="shared" si="36"/>
        <v>0</v>
      </c>
      <c r="AH8" s="11"/>
      <c r="AI8" s="8">
        <f t="shared" ca="1" si="37"/>
        <v>0</v>
      </c>
      <c r="AJ8" s="8">
        <f t="shared" ca="1" si="38"/>
        <v>0</v>
      </c>
      <c r="AK8" s="61" t="e">
        <f t="shared" ca="1" si="85"/>
        <v>#DIV/0!</v>
      </c>
      <c r="AL8" s="91" t="e">
        <f t="shared" ca="1" si="39"/>
        <v>#DIV/0!</v>
      </c>
      <c r="AM8" s="91" t="e">
        <f t="shared" ca="1" si="40"/>
        <v>#DIV/0!</v>
      </c>
      <c r="AN8" s="91" t="e">
        <f t="shared" ca="1" si="41"/>
        <v>#DIV/0!</v>
      </c>
      <c r="AO8" s="91" t="e">
        <f t="shared" ca="1" si="42"/>
        <v>#DIV/0!</v>
      </c>
      <c r="AP8" s="287" t="e">
        <f t="shared" ca="1" si="43"/>
        <v>#DIV/0!</v>
      </c>
      <c r="AQ8" s="86" t="e">
        <f t="shared" ca="1" si="44"/>
        <v>#DIV/0!</v>
      </c>
      <c r="AR8" s="91">
        <f t="shared" ca="1" si="86"/>
        <v>0</v>
      </c>
      <c r="AS8" s="287">
        <f t="shared" ca="1" si="87"/>
        <v>0</v>
      </c>
      <c r="AT8" s="91" t="e">
        <f t="shared" ca="1" si="45"/>
        <v>#DIV/0!</v>
      </c>
      <c r="AU8" s="91" t="e">
        <f t="shared" ca="1" si="89"/>
        <v>#DIV/0!</v>
      </c>
      <c r="AV8" s="91" t="e">
        <f ca="1">(AD8-D9)*$CZ8*$AA8*$Y8/1000/1000</f>
        <v>#DIV/0!</v>
      </c>
      <c r="AW8" s="91" t="e">
        <f t="shared" ca="1" si="90"/>
        <v>#DIV/0!</v>
      </c>
      <c r="AX8" s="91" t="e">
        <f t="shared" ca="1" si="90"/>
        <v>#DIV/0!</v>
      </c>
      <c r="AY8" s="287" t="e">
        <f t="shared" ca="1" si="47"/>
        <v>#DIV/0!</v>
      </c>
      <c r="AZ8" s="61"/>
      <c r="BA8" s="276" t="e">
        <f ca="1">(I8+D9)*AA8*CZ8*A8</f>
        <v>#DIV/0!</v>
      </c>
      <c r="BB8" s="276">
        <f t="shared" ca="1" si="48"/>
        <v>1840370.9444640002</v>
      </c>
      <c r="BC8" s="87"/>
      <c r="BD8" s="87"/>
      <c r="BE8" s="87"/>
      <c r="BF8" s="87"/>
      <c r="BG8" s="11"/>
      <c r="BH8" s="91">
        <f t="shared" ca="1" si="49"/>
        <v>0</v>
      </c>
      <c r="BI8" s="91">
        <f t="shared" ca="1" si="50"/>
        <v>0</v>
      </c>
      <c r="BJ8" s="275">
        <f t="shared" ca="1" si="51"/>
        <v>0</v>
      </c>
      <c r="BK8" s="91">
        <f t="shared" ca="1" si="52"/>
        <v>0</v>
      </c>
      <c r="BL8" s="91"/>
      <c r="BM8" s="91">
        <f t="shared" ca="1" si="53"/>
        <v>0</v>
      </c>
      <c r="BN8" s="8">
        <f t="shared" ca="1" si="54"/>
        <v>0</v>
      </c>
      <c r="BO8" s="11"/>
      <c r="BP8" s="88"/>
      <c r="BQ8" s="372"/>
      <c r="BR8" s="44">
        <f t="shared" ca="1" si="55"/>
        <v>0</v>
      </c>
      <c r="BS8" s="10">
        <f t="shared" si="9"/>
        <v>0</v>
      </c>
      <c r="BT8" s="513">
        <f t="shared" si="10"/>
        <v>0</v>
      </c>
      <c r="BU8" s="513">
        <f t="shared" ca="1" si="11"/>
        <v>0</v>
      </c>
      <c r="BV8" s="378">
        <f t="shared" ca="1" si="12"/>
        <v>0</v>
      </c>
      <c r="BW8" s="91"/>
      <c r="BX8" s="506"/>
      <c r="BY8" s="506"/>
      <c r="BZ8" s="508"/>
      <c r="CA8" s="507"/>
      <c r="CB8" s="61">
        <f>SUMPRODUCT(([178]БП!$C$245:$N$245=$L8)*([178]БП!$C$246:$N$246))</f>
        <v>0</v>
      </c>
      <c r="CC8" s="360">
        <f>SUMPRODUCT(('[178]факт+прогноз НДПИ'!$C$220:$N$220=$L8)*('[178]факт+прогноз НДПИ'!$C$221:$N$221))</f>
        <v>0</v>
      </c>
      <c r="CD8" s="360">
        <f>SUMPRODUCT(([178]БП_Urals!$C$245:$N$245=$L8)*([178]БП_Urals!$C$246:$N$246))-CB8</f>
        <v>0</v>
      </c>
      <c r="CE8" s="360">
        <f>SUMPRODUCT(([178]БП_курс!$C$245:$N$245=$L8)*([178]БП_курс!$C$246:$N$246))-CB8</f>
        <v>0</v>
      </c>
      <c r="CF8" s="360">
        <f t="shared" si="56"/>
        <v>0</v>
      </c>
      <c r="CG8" s="360"/>
      <c r="CH8" s="16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ca="1" si="57"/>
        <v>0</v>
      </c>
      <c r="CJ8" s="16">
        <f t="shared" ca="1" si="58"/>
        <v>0</v>
      </c>
      <c r="CK8" s="16">
        <f t="shared" ca="1" si="59"/>
        <v>0</v>
      </c>
      <c r="CL8" s="40">
        <f t="shared" ca="1" si="60"/>
        <v>0</v>
      </c>
      <c r="CM8" s="18"/>
      <c r="CN8" s="11"/>
      <c r="CO8" s="808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#VALUE!</v>
      </c>
      <c r="CP8" s="40" t="e">
        <f t="shared" ca="1" si="61"/>
        <v>#VALUE!</v>
      </c>
      <c r="CQ8" s="274"/>
      <c r="CR8" s="14"/>
      <c r="CS8" s="91">
        <f t="shared" ca="1" si="62"/>
        <v>0</v>
      </c>
      <c r="CT8" s="91">
        <f t="shared" ca="1" si="63"/>
        <v>0</v>
      </c>
      <c r="CU8" s="91">
        <f t="shared" ca="1" si="64"/>
        <v>0</v>
      </c>
      <c r="CV8" s="16" t="e">
        <f t="shared" ca="1" si="65"/>
        <v>#DIV/0!</v>
      </c>
      <c r="CW8" s="16" t="e">
        <f t="shared" ca="1" si="88"/>
        <v>#DIV/0!</v>
      </c>
      <c r="CX8" s="91" t="e">
        <f t="shared" ca="1" si="66"/>
        <v>#DIV/0!</v>
      </c>
      <c r="CY8" s="287" t="e">
        <f t="shared" ca="1" si="67"/>
        <v>#DIV/0!</v>
      </c>
      <c r="CZ8" s="305" t="e">
        <f t="shared" ca="1" si="68"/>
        <v>#DIV/0!</v>
      </c>
      <c r="DA8" s="762" t="e">
        <f t="shared" ca="1" si="69"/>
        <v>#DIV/0!</v>
      </c>
      <c r="DB8" s="762" t="e">
        <f t="shared" ca="1" si="70"/>
        <v>#DIV/0!</v>
      </c>
      <c r="DC8" s="762">
        <f t="shared" si="71"/>
        <v>0</v>
      </c>
      <c r="DD8" s="762" t="e">
        <f t="shared" ca="1" si="72"/>
        <v>#DIV/0!</v>
      </c>
      <c r="DE8" s="762" t="e">
        <f t="shared" ca="1" si="73"/>
        <v>#DIV/0!</v>
      </c>
      <c r="DF8" s="762" t="e">
        <f t="shared" ca="1" si="74"/>
        <v>#DIV/0!</v>
      </c>
      <c r="DG8" s="762" t="e">
        <f t="shared" ca="1" si="75"/>
        <v>#DIV/0!</v>
      </c>
      <c r="DH8" s="762">
        <f t="shared" ca="1" si="76"/>
        <v>0</v>
      </c>
      <c r="DI8" s="762">
        <f t="shared" ca="1" si="77"/>
        <v>0</v>
      </c>
      <c r="DJ8" s="762">
        <f t="shared" ca="1" si="78"/>
        <v>0</v>
      </c>
      <c r="DK8" s="762" t="e">
        <f t="shared" ca="1" si="79"/>
        <v>#DIV/0!</v>
      </c>
      <c r="DL8" s="762" t="e">
        <f t="shared" ca="1" si="80"/>
        <v>#VALUE!</v>
      </c>
      <c r="DM8" s="55" t="e">
        <f t="shared" ca="1" si="81"/>
        <v>#DIV/0!</v>
      </c>
      <c r="DN8" s="190"/>
    </row>
    <row r="9" spans="1:119" s="69" customFormat="1" ht="15.95" customHeight="1" x14ac:dyDescent="0.25">
      <c r="A9" s="1206" cm="1">
        <f t="array" ref="A9">IFERROR(_xlfn.FILTERXML(Лист1!Q14,"//Value"),A8)</f>
        <v>76.767099999999999</v>
      </c>
      <c r="B9" s="18"/>
      <c r="C9" s="11"/>
      <c r="D9" s="11"/>
      <c r="E9" s="11"/>
      <c r="F9" s="11"/>
      <c r="G9" s="11"/>
      <c r="H9" s="18"/>
      <c r="I9" s="11"/>
      <c r="J9" s="80" t="s">
        <v>381</v>
      </c>
      <c r="K9" s="58" t="s">
        <v>398</v>
      </c>
      <c r="L9" s="1218">
        <f t="shared" si="34"/>
        <v>44579</v>
      </c>
      <c r="M9" s="180">
        <v>44579</v>
      </c>
      <c r="N9" s="81">
        <v>44614</v>
      </c>
      <c r="O9" s="1219">
        <f t="shared" si="35"/>
        <v>44627</v>
      </c>
      <c r="P9" s="181">
        <v>44627</v>
      </c>
      <c r="Q9" s="16">
        <f t="shared" si="82"/>
        <v>48</v>
      </c>
      <c r="R9" s="679">
        <f t="shared" si="83"/>
        <v>13</v>
      </c>
      <c r="S9" s="681"/>
      <c r="T9" s="16"/>
      <c r="U9" s="16"/>
      <c r="V9" s="16"/>
      <c r="W9" s="16"/>
      <c r="X9" s="8" t="s">
        <v>400</v>
      </c>
      <c r="Y9" s="172" cm="1">
        <f t="array" ref="Y9">_xlfn.FILTERXML(Лист1!J27,"//Value")</f>
        <v>76.040400000000005</v>
      </c>
      <c r="Z9" s="176" cm="1">
        <f t="array" ref="Z9">IFERROR(_xlfn.FILTERXML(Лист1!C38,"//Value"),Z8)</f>
        <v>111.7564</v>
      </c>
      <c r="AA9" s="458">
        <f t="shared" ca="1" si="84"/>
        <v>44998</v>
      </c>
      <c r="AB9" s="11"/>
      <c r="AC9" s="11"/>
      <c r="AD9" s="11"/>
      <c r="AE9" s="11"/>
      <c r="AF9" s="11"/>
      <c r="AG9" s="75">
        <f t="shared" si="36"/>
        <v>0</v>
      </c>
      <c r="AH9" s="11"/>
      <c r="AI9" s="8">
        <f t="shared" ca="1" si="37"/>
        <v>0</v>
      </c>
      <c r="AJ9" s="8">
        <f t="shared" ca="1" si="38"/>
        <v>0</v>
      </c>
      <c r="AK9" s="61" t="e">
        <f t="shared" ca="1" si="85"/>
        <v>#DIV/0!</v>
      </c>
      <c r="AL9" s="91" t="e">
        <f t="shared" ca="1" si="39"/>
        <v>#DIV/0!</v>
      </c>
      <c r="AM9" s="91" t="e">
        <f t="shared" ca="1" si="40"/>
        <v>#DIV/0!</v>
      </c>
      <c r="AN9" s="91" t="e">
        <f t="shared" ca="1" si="41"/>
        <v>#DIV/0!</v>
      </c>
      <c r="AO9" s="91" t="e">
        <f t="shared" ca="1" si="42"/>
        <v>#DIV/0!</v>
      </c>
      <c r="AP9" s="287" t="e">
        <f t="shared" ca="1" si="43"/>
        <v>#DIV/0!</v>
      </c>
      <c r="AQ9" s="86" t="e">
        <f t="shared" ca="1" si="44"/>
        <v>#DIV/0!</v>
      </c>
      <c r="AR9" s="91">
        <f t="shared" ca="1" si="86"/>
        <v>0</v>
      </c>
      <c r="AS9" s="287">
        <f t="shared" ca="1" si="87"/>
        <v>0</v>
      </c>
      <c r="AT9" s="91" t="e">
        <f t="shared" ca="1" si="45"/>
        <v>#DIV/0!</v>
      </c>
      <c r="AU9" s="91" t="e">
        <f t="shared" ca="1" si="89"/>
        <v>#DIV/0!</v>
      </c>
      <c r="AV9" s="91" t="e">
        <f ca="1">(AD9-D10)*$CZ9*$AA9*$Y9/1000/1000</f>
        <v>#DIV/0!</v>
      </c>
      <c r="AW9" s="91" t="e">
        <f t="shared" ca="1" si="90"/>
        <v>#DIV/0!</v>
      </c>
      <c r="AX9" s="91" t="e">
        <f t="shared" ca="1" si="90"/>
        <v>#DIV/0!</v>
      </c>
      <c r="AY9" s="287" t="e">
        <f t="shared" ca="1" si="47"/>
        <v>#DIV/0!</v>
      </c>
      <c r="AZ9" s="61"/>
      <c r="BA9" s="276" t="e">
        <f ca="1">(I9+D10)*AA9*CZ9*A9</f>
        <v>#DIV/0!</v>
      </c>
      <c r="BB9" s="276">
        <f t="shared" ca="1" si="48"/>
        <v>2600466.0985920001</v>
      </c>
      <c r="BC9" s="87"/>
      <c r="BD9" s="87"/>
      <c r="BE9" s="87"/>
      <c r="BF9" s="87"/>
      <c r="BG9" s="11"/>
      <c r="BH9" s="91">
        <f t="shared" ca="1" si="49"/>
        <v>0</v>
      </c>
      <c r="BI9" s="91">
        <f t="shared" ca="1" si="50"/>
        <v>0</v>
      </c>
      <c r="BJ9" s="275">
        <f t="shared" ca="1" si="51"/>
        <v>0</v>
      </c>
      <c r="BK9" s="91">
        <f t="shared" ca="1" si="52"/>
        <v>0</v>
      </c>
      <c r="BL9" s="91"/>
      <c r="BM9" s="91">
        <f t="shared" ca="1" si="53"/>
        <v>0</v>
      </c>
      <c r="BN9" s="8">
        <f t="shared" ca="1" si="54"/>
        <v>0</v>
      </c>
      <c r="BO9" s="11"/>
      <c r="BP9" s="88"/>
      <c r="BQ9" s="372"/>
      <c r="BR9" s="44">
        <f t="shared" ca="1" si="55"/>
        <v>0</v>
      </c>
      <c r="BS9" s="10">
        <f t="shared" si="9"/>
        <v>0</v>
      </c>
      <c r="BT9" s="513">
        <f t="shared" si="10"/>
        <v>0</v>
      </c>
      <c r="BU9" s="513">
        <f t="shared" ca="1" si="11"/>
        <v>0</v>
      </c>
      <c r="BV9" s="378">
        <f t="shared" ca="1" si="12"/>
        <v>0</v>
      </c>
      <c r="BW9" s="91"/>
      <c r="BX9" s="506"/>
      <c r="BY9" s="506"/>
      <c r="BZ9" s="508"/>
      <c r="CA9" s="507"/>
      <c r="CB9" s="61">
        <f>SUMPRODUCT(([178]БП!$C$245:$N$245=$L9)*([178]БП!$C$246:$N$246))</f>
        <v>0</v>
      </c>
      <c r="CC9" s="360">
        <f>SUMPRODUCT(('[178]факт+прогноз НДПИ'!$C$220:$N$220=$L9)*('[178]факт+прогноз НДПИ'!$C$221:$N$221))</f>
        <v>0</v>
      </c>
      <c r="CD9" s="360">
        <f>SUMPRODUCT(([178]БП_Urals!$C$245:$N$245=$L9)*([178]БП_Urals!$C$246:$N$246))-CB9</f>
        <v>0</v>
      </c>
      <c r="CE9" s="360">
        <f>SUMPRODUCT(([178]БП_курс!$C$245:$N$245=$L9)*([178]БП_курс!$C$246:$N$246))-CB9</f>
        <v>0</v>
      </c>
      <c r="CF9" s="360">
        <f t="shared" si="56"/>
        <v>0</v>
      </c>
      <c r="CG9" s="360"/>
      <c r="CH9" s="16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ca="1" si="57"/>
        <v>0</v>
      </c>
      <c r="CJ9" s="16">
        <f t="shared" ca="1" si="58"/>
        <v>0</v>
      </c>
      <c r="CK9" s="16">
        <f t="shared" ca="1" si="59"/>
        <v>0</v>
      </c>
      <c r="CL9" s="40">
        <f t="shared" ca="1" si="60"/>
        <v>0</v>
      </c>
      <c r="CM9" s="18"/>
      <c r="CN9" s="11"/>
      <c r="CO9" s="808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#VALUE!</v>
      </c>
      <c r="CP9" s="40" t="e">
        <f t="shared" ca="1" si="61"/>
        <v>#VALUE!</v>
      </c>
      <c r="CQ9" s="274"/>
      <c r="CR9" s="14"/>
      <c r="CS9" s="91">
        <f t="shared" ca="1" si="62"/>
        <v>0</v>
      </c>
      <c r="CT9" s="91">
        <f t="shared" ca="1" si="63"/>
        <v>0</v>
      </c>
      <c r="CU9" s="91">
        <f t="shared" ca="1" si="64"/>
        <v>0</v>
      </c>
      <c r="CV9" s="16" t="e">
        <f t="shared" ca="1" si="65"/>
        <v>#DIV/0!</v>
      </c>
      <c r="CW9" s="16" t="e">
        <f t="shared" ca="1" si="88"/>
        <v>#DIV/0!</v>
      </c>
      <c r="CX9" s="91" t="e">
        <f t="shared" ca="1" si="66"/>
        <v>#DIV/0!</v>
      </c>
      <c r="CY9" s="287" t="e">
        <f t="shared" ca="1" si="67"/>
        <v>#DIV/0!</v>
      </c>
      <c r="CZ9" s="305" t="e">
        <f t="shared" ca="1" si="68"/>
        <v>#DIV/0!</v>
      </c>
      <c r="DA9" s="762" t="e">
        <f t="shared" ca="1" si="69"/>
        <v>#DIV/0!</v>
      </c>
      <c r="DB9" s="762" t="e">
        <f t="shared" ca="1" si="70"/>
        <v>#DIV/0!</v>
      </c>
      <c r="DC9" s="762">
        <f t="shared" si="71"/>
        <v>0</v>
      </c>
      <c r="DD9" s="762" t="e">
        <f t="shared" ca="1" si="72"/>
        <v>#DIV/0!</v>
      </c>
      <c r="DE9" s="762" t="e">
        <f t="shared" ca="1" si="73"/>
        <v>#DIV/0!</v>
      </c>
      <c r="DF9" s="762" t="e">
        <f t="shared" ca="1" si="74"/>
        <v>#DIV/0!</v>
      </c>
      <c r="DG9" s="762" t="e">
        <f t="shared" ca="1" si="75"/>
        <v>#DIV/0!</v>
      </c>
      <c r="DH9" s="762">
        <f t="shared" ca="1" si="76"/>
        <v>0</v>
      </c>
      <c r="DI9" s="762">
        <f t="shared" ca="1" si="77"/>
        <v>0</v>
      </c>
      <c r="DJ9" s="762">
        <f t="shared" ca="1" si="78"/>
        <v>0</v>
      </c>
      <c r="DK9" s="762" t="e">
        <f t="shared" ca="1" si="79"/>
        <v>#DIV/0!</v>
      </c>
      <c r="DL9" s="762" t="e">
        <f t="shared" ca="1" si="80"/>
        <v>#VALUE!</v>
      </c>
      <c r="DM9" s="55" t="e">
        <f t="shared" ca="1" si="81"/>
        <v>#DIV/0!</v>
      </c>
      <c r="DN9" s="190"/>
    </row>
    <row r="10" spans="1:119" s="69" customFormat="1" ht="15.95" customHeight="1" x14ac:dyDescent="0.25">
      <c r="A10" s="1206" cm="1">
        <f t="array" ref="A10">IFERROR(_xlfn.FILTERXML(Лист1!Q15,"//Value"),A9)</f>
        <v>80.419399999999996</v>
      </c>
      <c r="B10" s="18" t="s">
        <v>519</v>
      </c>
      <c r="C10" s="11"/>
      <c r="D10" s="11"/>
      <c r="E10" s="11"/>
      <c r="F10" s="11"/>
      <c r="G10" s="11"/>
      <c r="H10" s="18"/>
      <c r="I10" s="11"/>
      <c r="J10" s="80" t="s">
        <v>381</v>
      </c>
      <c r="K10" s="58" t="s">
        <v>398</v>
      </c>
      <c r="L10" s="1218">
        <f t="shared" si="34"/>
        <v>44579</v>
      </c>
      <c r="M10" s="180">
        <v>44579</v>
      </c>
      <c r="N10" s="81">
        <v>44615</v>
      </c>
      <c r="O10" s="1219">
        <f t="shared" si="35"/>
        <v>44628</v>
      </c>
      <c r="P10" s="181">
        <v>44628</v>
      </c>
      <c r="Q10" s="16">
        <f t="shared" si="82"/>
        <v>49</v>
      </c>
      <c r="R10" s="679">
        <f t="shared" si="83"/>
        <v>13</v>
      </c>
      <c r="S10" s="682"/>
      <c r="T10" s="16"/>
      <c r="U10" s="16"/>
      <c r="V10" s="16"/>
      <c r="W10" s="16"/>
      <c r="X10" s="8" t="s">
        <v>400</v>
      </c>
      <c r="Y10" s="172" cm="1">
        <f t="array" ref="Y10">_xlfn.FILTERXML(Лист1!J28,"//Value")</f>
        <v>76.040400000000005</v>
      </c>
      <c r="Z10" s="176" cm="1">
        <f t="array" ref="Z10">IFERROR(_xlfn.FILTERXML(Лист1!C39,"//Value"),Z9)</f>
        <v>111.7564</v>
      </c>
      <c r="AA10" s="458">
        <f t="shared" ca="1" si="84"/>
        <v>12263</v>
      </c>
      <c r="AB10" s="11"/>
      <c r="AC10" s="11"/>
      <c r="AD10" s="11"/>
      <c r="AE10" s="11"/>
      <c r="AF10" s="11"/>
      <c r="AG10" s="75">
        <f t="shared" si="36"/>
        <v>0</v>
      </c>
      <c r="AH10" s="11"/>
      <c r="AI10" s="8">
        <f t="shared" ca="1" si="37"/>
        <v>0</v>
      </c>
      <c r="AJ10" s="8">
        <f t="shared" ca="1" si="38"/>
        <v>0</v>
      </c>
      <c r="AK10" s="61" t="e">
        <f t="shared" ca="1" si="85"/>
        <v>#DIV/0!</v>
      </c>
      <c r="AL10" s="91" t="e">
        <f t="shared" ca="1" si="39"/>
        <v>#DIV/0!</v>
      </c>
      <c r="AM10" s="91" t="e">
        <f t="shared" ca="1" si="40"/>
        <v>#DIV/0!</v>
      </c>
      <c r="AN10" s="91" t="e">
        <f t="shared" ca="1" si="41"/>
        <v>#DIV/0!</v>
      </c>
      <c r="AO10" s="91" t="e">
        <f t="shared" ca="1" si="42"/>
        <v>#DIV/0!</v>
      </c>
      <c r="AP10" s="287" t="e">
        <f t="shared" ca="1" si="43"/>
        <v>#DIV/0!</v>
      </c>
      <c r="AQ10" s="86" t="e">
        <f t="shared" ca="1" si="44"/>
        <v>#DIV/0!</v>
      </c>
      <c r="AR10" s="91">
        <f t="shared" ca="1" si="86"/>
        <v>0</v>
      </c>
      <c r="AS10" s="287">
        <f t="shared" ca="1" si="87"/>
        <v>0</v>
      </c>
      <c r="AT10" s="91" t="e">
        <f t="shared" ca="1" si="45"/>
        <v>#VALUE!</v>
      </c>
      <c r="AU10" s="91" t="e">
        <f t="shared" ca="1" si="89"/>
        <v>#DIV/0!</v>
      </c>
      <c r="AV10" s="91" t="e">
        <f ca="1">(AD10-D11)*$CZ10*$AA10*$Y10/1000/1000</f>
        <v>#DIV/0!</v>
      </c>
      <c r="AW10" s="91" t="e">
        <f t="shared" ca="1" si="90"/>
        <v>#DIV/0!</v>
      </c>
      <c r="AX10" s="91" t="e">
        <f t="shared" ca="1" si="90"/>
        <v>#DIV/0!</v>
      </c>
      <c r="AY10" s="287" t="e">
        <f t="shared" ca="1" si="47"/>
        <v>#VALUE!</v>
      </c>
      <c r="AZ10" s="61"/>
      <c r="BA10" s="276" t="e">
        <f ca="1">(I10+D11)*AA10*CZ10*A10</f>
        <v>#DIV/0!</v>
      </c>
      <c r="BB10" s="276">
        <f t="shared" ca="1" si="48"/>
        <v>708687.40315200004</v>
      </c>
      <c r="BC10" s="87"/>
      <c r="BD10" s="87"/>
      <c r="BE10" s="87"/>
      <c r="BF10" s="87"/>
      <c r="BG10" s="11"/>
      <c r="BH10" s="91">
        <f t="shared" ca="1" si="49"/>
        <v>0</v>
      </c>
      <c r="BI10" s="91">
        <f t="shared" ca="1" si="50"/>
        <v>0</v>
      </c>
      <c r="BJ10" s="275">
        <f t="shared" ca="1" si="51"/>
        <v>0</v>
      </c>
      <c r="BK10" s="91">
        <f t="shared" ca="1" si="52"/>
        <v>0</v>
      </c>
      <c r="BL10" s="91"/>
      <c r="BM10" s="91">
        <f t="shared" ca="1" si="53"/>
        <v>0</v>
      </c>
      <c r="BN10" s="8">
        <f t="shared" ca="1" si="54"/>
        <v>0</v>
      </c>
      <c r="BO10" s="11"/>
      <c r="BP10" s="88"/>
      <c r="BQ10" s="372"/>
      <c r="BR10" s="44">
        <f t="shared" ca="1" si="55"/>
        <v>0</v>
      </c>
      <c r="BS10" s="10">
        <f t="shared" si="9"/>
        <v>0</v>
      </c>
      <c r="BT10" s="513">
        <f t="shared" si="10"/>
        <v>0</v>
      </c>
      <c r="BU10" s="513">
        <f t="shared" ca="1" si="11"/>
        <v>0</v>
      </c>
      <c r="BV10" s="378">
        <f t="shared" ca="1" si="12"/>
        <v>0</v>
      </c>
      <c r="BW10" s="91"/>
      <c r="BX10" s="506"/>
      <c r="BY10" s="506"/>
      <c r="BZ10" s="508"/>
      <c r="CA10" s="507"/>
      <c r="CB10" s="61">
        <f>SUMPRODUCT(([178]БП!$C$245:$N$245=$L10)*([178]БП!$C$246:$N$246))</f>
        <v>0</v>
      </c>
      <c r="CC10" s="360">
        <f>SUMPRODUCT(('[178]факт+прогноз НДПИ'!$C$220:$N$220=$L10)*('[178]факт+прогноз НДПИ'!$C$221:$N$221))</f>
        <v>0</v>
      </c>
      <c r="CD10" s="360">
        <f>SUMPRODUCT(([178]БП_Urals!$C$245:$N$245=$L10)*([178]БП_Urals!$C$246:$N$246))-CB10</f>
        <v>0</v>
      </c>
      <c r="CE10" s="360">
        <f>SUMPRODUCT(([178]БП_курс!$C$245:$N$245=$L10)*([178]БП_курс!$C$246:$N$246))-CB10</f>
        <v>0</v>
      </c>
      <c r="CF10" s="360">
        <f t="shared" si="56"/>
        <v>0</v>
      </c>
      <c r="CG10" s="360"/>
      <c r="CH10" s="16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 ca="1">(CB10-CC10)*AA10</f>
        <v>0</v>
      </c>
      <c r="CJ10" s="16">
        <f t="shared" ca="1" si="58"/>
        <v>0</v>
      </c>
      <c r="CK10" s="16">
        <f t="shared" ca="1" si="59"/>
        <v>0</v>
      </c>
      <c r="CL10" s="40">
        <f t="shared" ca="1" si="60"/>
        <v>0</v>
      </c>
      <c r="CM10" s="18"/>
      <c r="CN10" s="11"/>
      <c r="CO10" s="808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#VALUE!</v>
      </c>
      <c r="CP10" s="40" t="e">
        <f t="shared" ca="1" si="61"/>
        <v>#VALUE!</v>
      </c>
      <c r="CQ10" s="274"/>
      <c r="CR10" s="14"/>
      <c r="CS10" s="91">
        <f t="shared" ca="1" si="62"/>
        <v>0</v>
      </c>
      <c r="CT10" s="91">
        <f t="shared" ca="1" si="63"/>
        <v>0</v>
      </c>
      <c r="CU10" s="91">
        <f t="shared" ca="1" si="64"/>
        <v>0</v>
      </c>
      <c r="CV10" s="16" t="e">
        <f t="shared" ca="1" si="65"/>
        <v>#DIV/0!</v>
      </c>
      <c r="CW10" s="16" t="e">
        <f t="shared" ca="1" si="88"/>
        <v>#DIV/0!</v>
      </c>
      <c r="CX10" s="91" t="e">
        <f t="shared" ca="1" si="66"/>
        <v>#DIV/0!</v>
      </c>
      <c r="CY10" s="287" t="e">
        <f t="shared" ca="1" si="67"/>
        <v>#DIV/0!</v>
      </c>
      <c r="CZ10" s="305" t="e">
        <f t="shared" ca="1" si="68"/>
        <v>#DIV/0!</v>
      </c>
      <c r="DA10" s="762" t="e">
        <f t="shared" ca="1" si="69"/>
        <v>#DIV/0!</v>
      </c>
      <c r="DB10" s="762" t="e">
        <f t="shared" ca="1" si="70"/>
        <v>#DIV/0!</v>
      </c>
      <c r="DC10" s="762">
        <f t="shared" si="71"/>
        <v>0</v>
      </c>
      <c r="DD10" s="762" t="e">
        <f t="shared" ca="1" si="72"/>
        <v>#VALUE!</v>
      </c>
      <c r="DE10" s="762" t="e">
        <f t="shared" ca="1" si="73"/>
        <v>#DIV/0!</v>
      </c>
      <c r="DF10" s="762" t="e">
        <f t="shared" ca="1" si="74"/>
        <v>#DIV/0!</v>
      </c>
      <c r="DG10" s="762" t="e">
        <f t="shared" ca="1" si="75"/>
        <v>#DIV/0!</v>
      </c>
      <c r="DH10" s="762">
        <f t="shared" ca="1" si="76"/>
        <v>0</v>
      </c>
      <c r="DI10" s="762">
        <f t="shared" ca="1" si="77"/>
        <v>0</v>
      </c>
      <c r="DJ10" s="762">
        <f t="shared" ca="1" si="78"/>
        <v>0</v>
      </c>
      <c r="DK10" s="762" t="e">
        <f t="shared" ca="1" si="79"/>
        <v>#DIV/0!</v>
      </c>
      <c r="DL10" s="762" t="e">
        <f t="shared" ca="1" si="80"/>
        <v>#VALUE!</v>
      </c>
      <c r="DM10" s="55" t="e">
        <f t="shared" ca="1" si="81"/>
        <v>#DIV/0!</v>
      </c>
      <c r="DN10" s="190"/>
    </row>
    <row r="11" spans="1:119" s="69" customFormat="1" ht="15.95" customHeight="1" x14ac:dyDescent="0.25">
      <c r="A11" s="1206" cm="1">
        <f t="array" ref="A11">IFERROR(_xlfn.FILTERXML(Лист1!Q16,"//Value"),A10)</f>
        <v>80.419399999999996</v>
      </c>
      <c r="B11" s="18"/>
      <c r="C11" s="11"/>
      <c r="D11" s="11"/>
      <c r="E11" s="11"/>
      <c r="F11" s="11"/>
      <c r="G11" s="11"/>
      <c r="H11" s="18"/>
      <c r="I11" s="260"/>
      <c r="J11" s="80" t="s">
        <v>382</v>
      </c>
      <c r="K11" s="58" t="s">
        <v>398</v>
      </c>
      <c r="L11" s="1218">
        <f t="shared" si="34"/>
        <v>44580</v>
      </c>
      <c r="M11" s="180">
        <v>44580</v>
      </c>
      <c r="N11" s="81">
        <v>44616</v>
      </c>
      <c r="O11" s="1219">
        <f t="shared" si="35"/>
        <v>44623</v>
      </c>
      <c r="P11" s="181">
        <v>44623</v>
      </c>
      <c r="Q11" s="659">
        <f t="shared" ref="Q11:Q17" si="91">P11-M11</f>
        <v>43</v>
      </c>
      <c r="R11" s="679">
        <f t="shared" si="83"/>
        <v>7</v>
      </c>
      <c r="S11" s="683"/>
      <c r="T11" s="413"/>
      <c r="U11" s="652"/>
      <c r="V11" s="652"/>
      <c r="W11" s="652"/>
      <c r="X11" s="8" t="s">
        <v>400</v>
      </c>
      <c r="Y11" s="172" cm="1">
        <f t="array" ref="Y11">IFERROR(_xlfn.FILTERXML(Лист1!J29,"//Value"),Y10)</f>
        <v>76.334699999999998</v>
      </c>
      <c r="Z11" s="176" cm="1">
        <f t="array" ref="Z11">IFERROR(_xlfn.FILTERXML(Лист1!C40,"//Value"),Z10)</f>
        <v>103.2487</v>
      </c>
      <c r="AA11" s="458">
        <f t="shared" ca="1" si="84"/>
        <v>42387</v>
      </c>
      <c r="AB11" s="11"/>
      <c r="AC11" s="11"/>
      <c r="AD11" s="11"/>
      <c r="AE11" s="11"/>
      <c r="AF11" s="11"/>
      <c r="AG11" s="75">
        <f t="shared" si="36"/>
        <v>0</v>
      </c>
      <c r="AH11" s="629"/>
      <c r="AI11" s="8">
        <f t="shared" ca="1" si="37"/>
        <v>0</v>
      </c>
      <c r="AJ11" s="8">
        <f t="shared" ca="1" si="38"/>
        <v>0</v>
      </c>
      <c r="AK11" s="61" t="e">
        <f t="shared" ca="1" si="85"/>
        <v>#DIV/0!</v>
      </c>
      <c r="AL11" s="275" t="e">
        <f t="shared" ca="1" si="39"/>
        <v>#DIV/0!</v>
      </c>
      <c r="AM11" s="275" t="e">
        <f t="shared" ca="1" si="40"/>
        <v>#DIV/0!</v>
      </c>
      <c r="AN11" s="275" t="e">
        <f t="shared" ca="1" si="41"/>
        <v>#DIV/0!</v>
      </c>
      <c r="AO11" s="275" t="e">
        <f t="shared" ca="1" si="42"/>
        <v>#DIV/0!</v>
      </c>
      <c r="AP11" s="278" t="e">
        <f t="shared" ca="1" si="43"/>
        <v>#DIV/0!</v>
      </c>
      <c r="AQ11" s="90" t="e">
        <f t="shared" ca="1" si="44"/>
        <v>#DIV/0!</v>
      </c>
      <c r="AR11" s="275">
        <f ca="1">AI11*Z11</f>
        <v>0</v>
      </c>
      <c r="AS11" s="278">
        <f t="shared" ca="1" si="87"/>
        <v>0</v>
      </c>
      <c r="AT11" s="91" t="e">
        <f t="shared" ca="1" si="45"/>
        <v>#DIV/0!</v>
      </c>
      <c r="AU11" s="275" t="e">
        <f t="shared" ca="1" si="89"/>
        <v>#DIV/0!</v>
      </c>
      <c r="AV11" s="275" t="e">
        <f ca="1">(AD11-D12)*$CZ11*$AA11*$Y11/1000/1000</f>
        <v>#DIV/0!</v>
      </c>
      <c r="AW11" s="275" t="e">
        <f t="shared" ca="1" si="90"/>
        <v>#DIV/0!</v>
      </c>
      <c r="AX11" s="275" t="e">
        <f t="shared" ca="1" si="90"/>
        <v>#DIV/0!</v>
      </c>
      <c r="AY11" s="278" t="e">
        <f t="shared" ca="1" si="47"/>
        <v>#DIV/0!</v>
      </c>
      <c r="AZ11" s="61"/>
      <c r="BA11" s="276" t="e">
        <f ca="1">(I11+D12)*AA11*CZ11*A11</f>
        <v>#DIV/0!</v>
      </c>
      <c r="BB11" s="276">
        <f t="shared" ca="1" si="48"/>
        <v>2459055.1859639999</v>
      </c>
      <c r="BC11" s="264"/>
      <c r="BD11" s="264"/>
      <c r="BE11" s="264"/>
      <c r="BF11" s="264"/>
      <c r="BG11" s="11"/>
      <c r="BH11" s="275">
        <f t="shared" ca="1" si="49"/>
        <v>0</v>
      </c>
      <c r="BI11" s="275">
        <f t="shared" ca="1" si="50"/>
        <v>0</v>
      </c>
      <c r="BJ11" s="275">
        <f t="shared" ca="1" si="51"/>
        <v>0</v>
      </c>
      <c r="BK11" s="275">
        <f t="shared" ca="1" si="52"/>
        <v>0</v>
      </c>
      <c r="BL11" s="275"/>
      <c r="BM11" s="275">
        <f t="shared" ca="1" si="53"/>
        <v>0</v>
      </c>
      <c r="BN11" s="8">
        <f t="shared" ca="1" si="54"/>
        <v>0</v>
      </c>
      <c r="BO11" s="11"/>
      <c r="BP11" s="78"/>
      <c r="BQ11" s="372"/>
      <c r="BR11" s="44">
        <f t="shared" ca="1" si="55"/>
        <v>0</v>
      </c>
      <c r="BS11" s="10">
        <f t="shared" si="9"/>
        <v>0</v>
      </c>
      <c r="BT11" s="513">
        <f t="shared" si="10"/>
        <v>0</v>
      </c>
      <c r="BU11" s="513">
        <f t="shared" ca="1" si="11"/>
        <v>0</v>
      </c>
      <c r="BV11" s="378">
        <f t="shared" ca="1" si="12"/>
        <v>0</v>
      </c>
      <c r="BW11" s="275"/>
      <c r="BX11" s="505"/>
      <c r="BY11" s="505"/>
      <c r="BZ11" s="504"/>
      <c r="CA11" s="507"/>
      <c r="CB11" s="61">
        <f>SUMPRODUCT(([178]БП!$C$245:$N$245=$L11)*([178]БП!$C$246:$N$246))</f>
        <v>0</v>
      </c>
      <c r="CC11" s="353">
        <f>SUMPRODUCT(('[178]факт+прогноз НДПИ'!$C$220:$N$220=$L11)*('[178]факт+прогноз НДПИ'!$C$221:$N$221))</f>
        <v>0</v>
      </c>
      <c r="CD11" s="353">
        <f>SUMPRODUCT(([178]БП_Urals!$C$245:$N$245=$L11)*([178]БП_Urals!$C$246:$N$246))-CB11</f>
        <v>0</v>
      </c>
      <c r="CE11" s="353">
        <f>SUMPRODUCT(([178]БП_курс!$C$245:$N$245=$L11)*([178]БП_курс!$C$246:$N$246))-CB11</f>
        <v>0</v>
      </c>
      <c r="CF11" s="353">
        <f t="shared" si="56"/>
        <v>0</v>
      </c>
      <c r="CG11" s="353"/>
      <c r="CH11" s="28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8">
        <f t="shared" ca="1" si="57"/>
        <v>0</v>
      </c>
      <c r="CJ11" s="28">
        <f t="shared" ca="1" si="58"/>
        <v>0</v>
      </c>
      <c r="CK11" s="28">
        <f t="shared" ca="1" si="59"/>
        <v>0</v>
      </c>
      <c r="CL11" s="41">
        <f t="shared" ca="1" si="60"/>
        <v>0</v>
      </c>
      <c r="CM11" s="18"/>
      <c r="CN11" s="11"/>
      <c r="CO11" s="808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#VALUE!</v>
      </c>
      <c r="CP11" s="41" t="e">
        <f t="shared" ca="1" si="61"/>
        <v>#VALUE!</v>
      </c>
      <c r="CQ11" s="274"/>
      <c r="CR11" s="282"/>
      <c r="CS11" s="275">
        <f t="shared" ca="1" si="62"/>
        <v>0</v>
      </c>
      <c r="CT11" s="275">
        <f t="shared" ca="1" si="63"/>
        <v>0</v>
      </c>
      <c r="CU11" s="275">
        <f t="shared" ca="1" si="64"/>
        <v>0</v>
      </c>
      <c r="CV11" s="551" t="e">
        <f t="shared" ca="1" si="65"/>
        <v>#DIV/0!</v>
      </c>
      <c r="CW11" s="551" t="e">
        <f ca="1">BL11/CR11*Z11*AA11</f>
        <v>#DIV/0!</v>
      </c>
      <c r="CX11" s="275" t="e">
        <f t="shared" ca="1" si="66"/>
        <v>#DIV/0!</v>
      </c>
      <c r="CY11" s="278" t="e">
        <f t="shared" ca="1" si="67"/>
        <v>#DIV/0!</v>
      </c>
      <c r="CZ11" s="305" t="e">
        <f t="shared" ca="1" si="68"/>
        <v>#DIV/0!</v>
      </c>
      <c r="DA11" s="762" t="e">
        <f t="shared" ca="1" si="69"/>
        <v>#DIV/0!</v>
      </c>
      <c r="DB11" s="762" t="e">
        <f t="shared" ca="1" si="70"/>
        <v>#DIV/0!</v>
      </c>
      <c r="DC11" s="762">
        <f t="shared" si="71"/>
        <v>0</v>
      </c>
      <c r="DD11" s="762" t="e">
        <f t="shared" ca="1" si="72"/>
        <v>#DIV/0!</v>
      </c>
      <c r="DE11" s="762" t="e">
        <f t="shared" ca="1" si="73"/>
        <v>#DIV/0!</v>
      </c>
      <c r="DF11" s="762" t="e">
        <f t="shared" ca="1" si="74"/>
        <v>#DIV/0!</v>
      </c>
      <c r="DG11" s="762" t="e">
        <f t="shared" ca="1" si="75"/>
        <v>#DIV/0!</v>
      </c>
      <c r="DH11" s="762">
        <f t="shared" ca="1" si="76"/>
        <v>0</v>
      </c>
      <c r="DI11" s="762">
        <f t="shared" ca="1" si="77"/>
        <v>0</v>
      </c>
      <c r="DJ11" s="762">
        <f t="shared" ca="1" si="78"/>
        <v>0</v>
      </c>
      <c r="DK11" s="762" t="e">
        <f t="shared" ca="1" si="79"/>
        <v>#DIV/0!</v>
      </c>
      <c r="DL11" s="762" t="e">
        <f t="shared" ca="1" si="80"/>
        <v>#VALUE!</v>
      </c>
      <c r="DM11" s="55" t="e">
        <f t="shared" ca="1" si="81"/>
        <v>#DIV/0!</v>
      </c>
      <c r="DN11" s="190"/>
    </row>
    <row r="12" spans="1:119" s="69" customFormat="1" ht="15.95" customHeight="1" x14ac:dyDescent="0.25">
      <c r="A12" s="1206" cm="1">
        <f t="array" ref="A12">IFERROR(_xlfn.FILTERXML(Лист1!Q17,"//Value"),A11)</f>
        <v>86.928799999999995</v>
      </c>
      <c r="B12" s="18"/>
      <c r="C12" s="11"/>
      <c r="D12" s="11"/>
      <c r="E12" s="11"/>
      <c r="F12" s="11"/>
      <c r="G12" s="11"/>
      <c r="H12" s="18"/>
      <c r="I12" s="11"/>
      <c r="J12" s="286" t="s">
        <v>381</v>
      </c>
      <c r="K12" s="58" t="s">
        <v>398</v>
      </c>
      <c r="L12" s="1218">
        <f t="shared" si="34"/>
        <v>44581</v>
      </c>
      <c r="M12" s="180">
        <v>44581</v>
      </c>
      <c r="N12" s="81">
        <v>44617</v>
      </c>
      <c r="O12" s="1219">
        <f t="shared" si="35"/>
        <v>44630</v>
      </c>
      <c r="P12" s="181">
        <v>44630</v>
      </c>
      <c r="Q12" s="16">
        <f t="shared" si="91"/>
        <v>49</v>
      </c>
      <c r="R12" s="679">
        <f t="shared" si="83"/>
        <v>13</v>
      </c>
      <c r="S12" s="682"/>
      <c r="T12" s="16"/>
      <c r="U12" s="16"/>
      <c r="V12" s="16"/>
      <c r="W12" s="16"/>
      <c r="X12" s="8" t="s">
        <v>400</v>
      </c>
      <c r="Y12" s="172" cm="1">
        <f t="array" ref="Y12">IFERROR(_xlfn.FILTERXML(Лист1!J30,"//Value"),Y11)</f>
        <v>76.869699999999995</v>
      </c>
      <c r="Z12" s="176" cm="1">
        <f t="array" ref="Z12">IFERROR(_xlfn.FILTERXML(Лист1!C41,"//Value"),Z11)</f>
        <v>116.0847</v>
      </c>
      <c r="AA12" s="458">
        <f t="shared" ca="1" si="84"/>
        <v>32571</v>
      </c>
      <c r="AB12" s="11"/>
      <c r="AC12" s="11"/>
      <c r="AD12" s="11"/>
      <c r="AE12" s="11"/>
      <c r="AF12" s="11"/>
      <c r="AG12" s="75">
        <f t="shared" si="36"/>
        <v>0</v>
      </c>
      <c r="AH12" s="11"/>
      <c r="AI12" s="8">
        <f t="shared" ca="1" si="37"/>
        <v>0</v>
      </c>
      <c r="AJ12" s="8">
        <f t="shared" ca="1" si="38"/>
        <v>0</v>
      </c>
      <c r="AK12" s="61" t="e">
        <f t="shared" ca="1" si="85"/>
        <v>#DIV/0!</v>
      </c>
      <c r="AL12" s="91" t="e">
        <f t="shared" ca="1" si="39"/>
        <v>#DIV/0!</v>
      </c>
      <c r="AM12" s="91" t="e">
        <f t="shared" ca="1" si="40"/>
        <v>#DIV/0!</v>
      </c>
      <c r="AN12" s="91" t="e">
        <f t="shared" ca="1" si="41"/>
        <v>#DIV/0!</v>
      </c>
      <c r="AO12" s="91" t="e">
        <f t="shared" ca="1" si="42"/>
        <v>#DIV/0!</v>
      </c>
      <c r="AP12" s="287" t="e">
        <f t="shared" ca="1" si="43"/>
        <v>#DIV/0!</v>
      </c>
      <c r="AQ12" s="86" t="e">
        <f t="shared" ca="1" si="44"/>
        <v>#DIV/0!</v>
      </c>
      <c r="AR12" s="91">
        <f t="shared" ca="1" si="86"/>
        <v>0</v>
      </c>
      <c r="AS12" s="287">
        <f t="shared" ca="1" si="87"/>
        <v>0</v>
      </c>
      <c r="AT12" s="91" t="e">
        <f t="shared" ca="1" si="45"/>
        <v>#DIV/0!</v>
      </c>
      <c r="AU12" s="91" t="e">
        <f t="shared" ca="1" si="89"/>
        <v>#DIV/0!</v>
      </c>
      <c r="AV12" s="91" t="e">
        <f ca="1">(AD12-D13)*$CZ12*$AA12*$Y12/1000/1000</f>
        <v>#DIV/0!</v>
      </c>
      <c r="AW12" s="91" t="e">
        <f t="shared" ca="1" si="90"/>
        <v>#DIV/0!</v>
      </c>
      <c r="AX12" s="91" t="e">
        <f t="shared" ca="1" si="90"/>
        <v>#DIV/0!</v>
      </c>
      <c r="AY12" s="287" t="e">
        <f t="shared" ca="1" si="47"/>
        <v>#DIV/0!</v>
      </c>
      <c r="AZ12" s="61"/>
      <c r="BA12" s="276" t="e">
        <f ca="1">(I12+D13)*AA12*CZ12*A12</f>
        <v>#DIV/0!</v>
      </c>
      <c r="BB12" s="276">
        <f t="shared" ca="1" si="48"/>
        <v>1902829.4790119999</v>
      </c>
      <c r="BC12" s="87"/>
      <c r="BD12" s="87"/>
      <c r="BE12" s="87"/>
      <c r="BF12" s="87"/>
      <c r="BG12" s="11"/>
      <c r="BH12" s="91">
        <f t="shared" ca="1" si="49"/>
        <v>0</v>
      </c>
      <c r="BI12" s="91">
        <f t="shared" ca="1" si="50"/>
        <v>0</v>
      </c>
      <c r="BJ12" s="275">
        <f t="shared" ca="1" si="51"/>
        <v>0</v>
      </c>
      <c r="BK12" s="91">
        <f t="shared" ca="1" si="52"/>
        <v>0</v>
      </c>
      <c r="BL12" s="91"/>
      <c r="BM12" s="91">
        <f t="shared" ca="1" si="53"/>
        <v>0</v>
      </c>
      <c r="BN12" s="8">
        <f t="shared" ca="1" si="54"/>
        <v>0</v>
      </c>
      <c r="BO12" s="11"/>
      <c r="BP12" s="88"/>
      <c r="BQ12" s="372"/>
      <c r="BR12" s="44">
        <f t="shared" ca="1" si="55"/>
        <v>0</v>
      </c>
      <c r="BS12" s="10">
        <f t="shared" si="9"/>
        <v>0</v>
      </c>
      <c r="BT12" s="513">
        <f t="shared" si="10"/>
        <v>0</v>
      </c>
      <c r="BU12" s="513">
        <f t="shared" ca="1" si="11"/>
        <v>0</v>
      </c>
      <c r="BV12" s="378">
        <f t="shared" ca="1" si="12"/>
        <v>0</v>
      </c>
      <c r="BW12" s="91"/>
      <c r="BX12" s="506"/>
      <c r="BY12" s="506"/>
      <c r="BZ12" s="508"/>
      <c r="CA12" s="507"/>
      <c r="CB12" s="61">
        <f>SUMPRODUCT(([178]БП!$C$245:$N$245=$L12)*([178]БП!$C$246:$N$246))</f>
        <v>0</v>
      </c>
      <c r="CC12" s="360">
        <f>SUMPRODUCT(('[178]факт+прогноз НДПИ'!$C$220:$N$220=$L12)*('[178]факт+прогноз НДПИ'!$C$221:$N$221))</f>
        <v>0</v>
      </c>
      <c r="CD12" s="360">
        <f>SUMPRODUCT(([178]БП_Urals!$C$245:$N$245=$L12)*([178]БП_Urals!$C$246:$N$246))-CB12</f>
        <v>0</v>
      </c>
      <c r="CE12" s="360">
        <f>SUMPRODUCT(([178]БП_курс!$C$245:$N$245=$L12)*([178]БП_курс!$C$246:$N$246))-CB12</f>
        <v>0</v>
      </c>
      <c r="CF12" s="360">
        <f t="shared" si="56"/>
        <v>0</v>
      </c>
      <c r="CG12" s="360"/>
      <c r="CH12" s="16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ca="1" si="57"/>
        <v>0</v>
      </c>
      <c r="CJ12" s="16">
        <f t="shared" ca="1" si="58"/>
        <v>0</v>
      </c>
      <c r="CK12" s="16">
        <f t="shared" ca="1" si="59"/>
        <v>0</v>
      </c>
      <c r="CL12" s="40">
        <f t="shared" ca="1" si="60"/>
        <v>0</v>
      </c>
      <c r="CM12" s="18"/>
      <c r="CN12" s="11"/>
      <c r="CO12" s="808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#VALUE!</v>
      </c>
      <c r="CP12" s="40" t="e">
        <f t="shared" ca="1" si="61"/>
        <v>#VALUE!</v>
      </c>
      <c r="CQ12" s="274"/>
      <c r="CR12" s="14"/>
      <c r="CS12" s="91">
        <f t="shared" ca="1" si="62"/>
        <v>0</v>
      </c>
      <c r="CT12" s="91">
        <f t="shared" ca="1" si="63"/>
        <v>0</v>
      </c>
      <c r="CU12" s="91">
        <f t="shared" ca="1" si="64"/>
        <v>0</v>
      </c>
      <c r="CV12" s="16" t="e">
        <f t="shared" ca="1" si="65"/>
        <v>#DIV/0!</v>
      </c>
      <c r="CW12" s="16" t="e">
        <f t="shared" ca="1" si="88"/>
        <v>#DIV/0!</v>
      </c>
      <c r="CX12" s="91" t="e">
        <f t="shared" ca="1" si="66"/>
        <v>#DIV/0!</v>
      </c>
      <c r="CY12" s="287" t="e">
        <f t="shared" ca="1" si="67"/>
        <v>#DIV/0!</v>
      </c>
      <c r="CZ12" s="305" t="e">
        <f t="shared" ca="1" si="68"/>
        <v>#DIV/0!</v>
      </c>
      <c r="DA12" s="762" t="e">
        <f t="shared" ca="1" si="69"/>
        <v>#DIV/0!</v>
      </c>
      <c r="DB12" s="762" t="e">
        <f t="shared" ca="1" si="70"/>
        <v>#DIV/0!</v>
      </c>
      <c r="DC12" s="762">
        <f t="shared" si="71"/>
        <v>0</v>
      </c>
      <c r="DD12" s="762" t="e">
        <f t="shared" ca="1" si="72"/>
        <v>#DIV/0!</v>
      </c>
      <c r="DE12" s="762" t="e">
        <f t="shared" ca="1" si="73"/>
        <v>#DIV/0!</v>
      </c>
      <c r="DF12" s="762" t="e">
        <f t="shared" ca="1" si="74"/>
        <v>#DIV/0!</v>
      </c>
      <c r="DG12" s="762" t="e">
        <f t="shared" ca="1" si="75"/>
        <v>#DIV/0!</v>
      </c>
      <c r="DH12" s="762">
        <f t="shared" ca="1" si="76"/>
        <v>0</v>
      </c>
      <c r="DI12" s="762">
        <f t="shared" ca="1" si="77"/>
        <v>0</v>
      </c>
      <c r="DJ12" s="762">
        <f t="shared" ca="1" si="78"/>
        <v>0</v>
      </c>
      <c r="DK12" s="762" t="e">
        <f t="shared" ca="1" si="79"/>
        <v>#DIV/0!</v>
      </c>
      <c r="DL12" s="762" t="e">
        <f t="shared" ca="1" si="80"/>
        <v>#VALUE!</v>
      </c>
      <c r="DM12" s="55" t="e">
        <f t="shared" ca="1" si="81"/>
        <v>#DIV/0!</v>
      </c>
      <c r="DN12" s="190"/>
    </row>
    <row r="13" spans="1:119" s="69" customFormat="1" ht="21" customHeight="1" x14ac:dyDescent="0.25">
      <c r="A13" s="1206" cm="1">
        <f t="array" ref="A13">IFERROR(_xlfn.FILTERXML(Лист1!Q18,"//Value"),A12)</f>
        <v>86.928799999999995</v>
      </c>
      <c r="B13" s="18"/>
      <c r="C13" s="11"/>
      <c r="D13" s="11"/>
      <c r="E13" s="11"/>
      <c r="F13" s="11"/>
      <c r="G13" s="11"/>
      <c r="H13" s="18"/>
      <c r="I13" s="11"/>
      <c r="J13" s="1177" t="s">
        <v>383</v>
      </c>
      <c r="K13" s="58" t="s">
        <v>398</v>
      </c>
      <c r="L13" s="1218">
        <f t="shared" si="34"/>
        <v>44582</v>
      </c>
      <c r="M13" s="180">
        <v>44582</v>
      </c>
      <c r="N13" s="81">
        <v>44620</v>
      </c>
      <c r="O13" s="1219">
        <f t="shared" si="35"/>
        <v>44631</v>
      </c>
      <c r="P13" s="181">
        <v>44631</v>
      </c>
      <c r="Q13" s="16">
        <f t="shared" si="91"/>
        <v>49</v>
      </c>
      <c r="R13" s="679">
        <f t="shared" si="83"/>
        <v>11</v>
      </c>
      <c r="S13" s="682"/>
      <c r="T13" s="16"/>
      <c r="U13" s="16"/>
      <c r="V13" s="16"/>
      <c r="W13" s="16"/>
      <c r="X13" s="8" t="s">
        <v>400</v>
      </c>
      <c r="Y13" s="172" cm="1">
        <f t="array" ref="Y13">IFERROR(_xlfn.FILTERXML(Лист1!J31,"//Value"),Y12)</f>
        <v>76.440799999999996</v>
      </c>
      <c r="Z13" s="176" cm="1">
        <f t="array" ref="Z13">IFERROR(_xlfn.FILTERXML(Лист1!C42,"//Value"),Z12)</f>
        <v>120.3785</v>
      </c>
      <c r="AA13" s="458">
        <f t="shared" ca="1" si="84"/>
        <v>32348</v>
      </c>
      <c r="AB13" s="11"/>
      <c r="AC13" s="11"/>
      <c r="AD13" s="11"/>
      <c r="AE13" s="11"/>
      <c r="AF13" s="11"/>
      <c r="AG13" s="75">
        <f t="shared" si="36"/>
        <v>0</v>
      </c>
      <c r="AH13" s="11"/>
      <c r="AI13" s="8">
        <f t="shared" ca="1" si="37"/>
        <v>0</v>
      </c>
      <c r="AJ13" s="8">
        <f t="shared" ca="1" si="38"/>
        <v>0</v>
      </c>
      <c r="AK13" s="61" t="e">
        <f t="shared" ca="1" si="85"/>
        <v>#DIV/0!</v>
      </c>
      <c r="AL13" s="91" t="e">
        <f t="shared" ca="1" si="39"/>
        <v>#DIV/0!</v>
      </c>
      <c r="AM13" s="91" t="e">
        <f t="shared" ca="1" si="40"/>
        <v>#DIV/0!</v>
      </c>
      <c r="AN13" s="91" t="e">
        <f t="shared" ca="1" si="41"/>
        <v>#DIV/0!</v>
      </c>
      <c r="AO13" s="91" t="e">
        <f t="shared" ca="1" si="42"/>
        <v>#DIV/0!</v>
      </c>
      <c r="AP13" s="287" t="e">
        <f t="shared" ca="1" si="43"/>
        <v>#DIV/0!</v>
      </c>
      <c r="AQ13" s="86" t="e">
        <f t="shared" ca="1" si="44"/>
        <v>#DIV/0!</v>
      </c>
      <c r="AR13" s="91">
        <f t="shared" ca="1" si="86"/>
        <v>0</v>
      </c>
      <c r="AS13" s="287">
        <f t="shared" ca="1" si="87"/>
        <v>0</v>
      </c>
      <c r="AT13" s="91" t="e">
        <f t="shared" ca="1" si="45"/>
        <v>#DIV/0!</v>
      </c>
      <c r="AU13" s="91" t="e">
        <f ca="1">(AC13-#REF!)*$CZ13*$AA13*$Y13/1000/1000</f>
        <v>#REF!</v>
      </c>
      <c r="AV13" s="91" t="e">
        <f ca="1">(AD13-#REF!)*$CZ13*$AA13*$Y13/1000/1000</f>
        <v>#REF!</v>
      </c>
      <c r="AW13" s="91" t="e">
        <f ca="1">(AE13-#REF!)*$CZ13*$AA13*$Y13/1000/1000</f>
        <v>#REF!</v>
      </c>
      <c r="AX13" s="91" t="e">
        <f ca="1">(AF13-#REF!)*$CZ13*$AA13*$Y13/1000/1000</f>
        <v>#REF!</v>
      </c>
      <c r="AY13" s="287" t="e">
        <f t="shared" ca="1" si="47"/>
        <v>#DIV/0!</v>
      </c>
      <c r="AZ13" s="61"/>
      <c r="BA13" s="276" t="e">
        <f ca="1">(I13+#REF!)*AA13*CZ13*A13</f>
        <v>#REF!</v>
      </c>
      <c r="BB13" s="276">
        <f t="shared" ca="1" si="48"/>
        <v>1879257.3187839999</v>
      </c>
      <c r="BC13" s="87"/>
      <c r="BD13" s="87"/>
      <c r="BE13" s="87"/>
      <c r="BF13" s="87"/>
      <c r="BG13" s="11"/>
      <c r="BH13" s="91">
        <f t="shared" ca="1" si="49"/>
        <v>0</v>
      </c>
      <c r="BI13" s="91">
        <f t="shared" ca="1" si="50"/>
        <v>0</v>
      </c>
      <c r="BJ13" s="275">
        <f ca="1">AJ13/AA13-AZ13-BG13*Y13</f>
        <v>0</v>
      </c>
      <c r="BK13" s="91">
        <f t="shared" ca="1" si="52"/>
        <v>0</v>
      </c>
      <c r="BL13" s="91"/>
      <c r="BM13" s="91">
        <f t="shared" ca="1" si="53"/>
        <v>0</v>
      </c>
      <c r="BN13" s="8">
        <f t="shared" ca="1" si="54"/>
        <v>0</v>
      </c>
      <c r="BO13" s="11"/>
      <c r="BP13" s="88"/>
      <c r="BQ13" s="372"/>
      <c r="BR13" s="44">
        <f t="shared" ca="1" si="55"/>
        <v>0</v>
      </c>
      <c r="BS13" s="10">
        <f t="shared" si="9"/>
        <v>0</v>
      </c>
      <c r="BT13" s="513">
        <f t="shared" si="10"/>
        <v>0</v>
      </c>
      <c r="BU13" s="513">
        <f t="shared" ca="1" si="11"/>
        <v>0</v>
      </c>
      <c r="BV13" s="378">
        <f t="shared" ca="1" si="12"/>
        <v>0</v>
      </c>
      <c r="BW13" s="91"/>
      <c r="BX13" s="506"/>
      <c r="BY13" s="506"/>
      <c r="BZ13" s="508"/>
      <c r="CA13" s="507"/>
      <c r="CB13" s="61">
        <f>SUMPRODUCT(([178]БП!$C$245:$N$245=$L13)*([178]БП!$C$246:$N$246))</f>
        <v>0</v>
      </c>
      <c r="CC13" s="360">
        <f>SUMPRODUCT(('[178]факт+прогноз НДПИ'!$C$220:$N$220=$L13)*('[178]факт+прогноз НДПИ'!$C$221:$N$221))</f>
        <v>0</v>
      </c>
      <c r="CD13" s="360">
        <f>SUMPRODUCT(([178]БП_Urals!$C$245:$N$245=$L13)*([178]БП_Urals!$C$246:$N$246))-CB13</f>
        <v>0</v>
      </c>
      <c r="CE13" s="360">
        <f>SUMPRODUCT(([178]БП_курс!$C$245:$N$245=$L13)*([178]БП_курс!$C$246:$N$246))-CB13</f>
        <v>0</v>
      </c>
      <c r="CF13" s="360">
        <f t="shared" si="56"/>
        <v>0</v>
      </c>
      <c r="CG13" s="360"/>
      <c r="CH13" s="16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ca="1" si="57"/>
        <v>0</v>
      </c>
      <c r="CJ13" s="16">
        <f t="shared" ca="1" si="58"/>
        <v>0</v>
      </c>
      <c r="CK13" s="16">
        <f t="shared" ca="1" si="59"/>
        <v>0</v>
      </c>
      <c r="CL13" s="40">
        <f t="shared" ca="1" si="60"/>
        <v>0</v>
      </c>
      <c r="CM13" s="18"/>
      <c r="CN13" s="11"/>
      <c r="CO13" s="16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#VALUE!</v>
      </c>
      <c r="CP13" s="40" t="e">
        <f t="shared" ca="1" si="61"/>
        <v>#VALUE!</v>
      </c>
      <c r="CQ13" s="274"/>
      <c r="CR13" s="14"/>
      <c r="CS13" s="91">
        <f t="shared" ca="1" si="62"/>
        <v>0</v>
      </c>
      <c r="CT13" s="91">
        <f t="shared" ca="1" si="63"/>
        <v>0</v>
      </c>
      <c r="CU13" s="91">
        <f t="shared" ca="1" si="64"/>
        <v>0</v>
      </c>
      <c r="CV13" s="16" t="e">
        <f t="shared" ca="1" si="65"/>
        <v>#DIV/0!</v>
      </c>
      <c r="CW13" s="16" t="e">
        <f t="shared" ca="1" si="88"/>
        <v>#DIV/0!</v>
      </c>
      <c r="CX13" s="91" t="e">
        <f t="shared" ca="1" si="66"/>
        <v>#DIV/0!</v>
      </c>
      <c r="CY13" s="287" t="e">
        <f t="shared" ca="1" si="67"/>
        <v>#DIV/0!</v>
      </c>
      <c r="CZ13" s="305" t="e">
        <f t="shared" ca="1" si="68"/>
        <v>#DIV/0!</v>
      </c>
      <c r="DA13" s="762" t="e">
        <f t="shared" ca="1" si="69"/>
        <v>#DIV/0!</v>
      </c>
      <c r="DB13" s="762" t="e">
        <f t="shared" ca="1" si="70"/>
        <v>#DIV/0!</v>
      </c>
      <c r="DC13" s="762">
        <f t="shared" si="71"/>
        <v>0</v>
      </c>
      <c r="DD13" s="762" t="e">
        <f t="shared" ca="1" si="72"/>
        <v>#DIV/0!</v>
      </c>
      <c r="DE13" s="762" t="e">
        <f t="shared" ca="1" si="73"/>
        <v>#DIV/0!</v>
      </c>
      <c r="DF13" s="762" t="e">
        <f t="shared" ca="1" si="74"/>
        <v>#REF!</v>
      </c>
      <c r="DG13" s="762" t="e">
        <f t="shared" ca="1" si="75"/>
        <v>#REF!</v>
      </c>
      <c r="DH13" s="762">
        <f t="shared" ca="1" si="76"/>
        <v>0</v>
      </c>
      <c r="DI13" s="762">
        <f t="shared" ca="1" si="77"/>
        <v>0</v>
      </c>
      <c r="DJ13" s="762">
        <f t="shared" ca="1" si="78"/>
        <v>0</v>
      </c>
      <c r="DK13" s="762" t="e">
        <f t="shared" ca="1" si="79"/>
        <v>#DIV/0!</v>
      </c>
      <c r="DL13" s="762" t="e">
        <f t="shared" ca="1" si="80"/>
        <v>#VALUE!</v>
      </c>
      <c r="DM13" s="55" t="e">
        <f t="shared" ca="1" si="81"/>
        <v>#DIV/0!</v>
      </c>
      <c r="DN13" s="190"/>
    </row>
    <row r="14" spans="1:119" s="69" customFormat="1" ht="15.95" customHeight="1" x14ac:dyDescent="0.25">
      <c r="A14" s="1206" cm="1">
        <f t="array" ref="A14">IFERROR(_xlfn.FILTERXML(Лист1!Q19,"//Value"),A13)</f>
        <v>93.558899999999994</v>
      </c>
      <c r="B14" s="18"/>
      <c r="C14" s="11"/>
      <c r="D14" s="11"/>
      <c r="E14" s="11"/>
      <c r="F14" s="11"/>
      <c r="G14" s="11"/>
      <c r="H14" s="18"/>
      <c r="I14" s="260"/>
      <c r="J14" s="89" t="s">
        <v>384</v>
      </c>
      <c r="K14" s="58" t="s">
        <v>398</v>
      </c>
      <c r="L14" s="1218">
        <f t="shared" si="34"/>
        <v>44586</v>
      </c>
      <c r="M14" s="180">
        <v>44586</v>
      </c>
      <c r="N14" s="81">
        <v>44621</v>
      </c>
      <c r="O14" s="1219">
        <f t="shared" si="35"/>
        <v>44634</v>
      </c>
      <c r="P14" s="181">
        <v>44634</v>
      </c>
      <c r="Q14" s="659">
        <f t="shared" si="91"/>
        <v>48</v>
      </c>
      <c r="R14" s="679">
        <f t="shared" si="83"/>
        <v>13</v>
      </c>
      <c r="S14" s="683"/>
      <c r="T14" s="707"/>
      <c r="U14" s="652"/>
      <c r="V14" s="652"/>
      <c r="W14" s="652"/>
      <c r="X14" s="8" t="s">
        <v>400</v>
      </c>
      <c r="Y14" s="172" cm="1">
        <f t="array" ref="Y14">IFERROR(_xlfn.FILTERXML(Лист1!J32,"//Value"),Y13)</f>
        <v>77.364900000000006</v>
      </c>
      <c r="Z14" s="176" cm="1">
        <f t="array" ref="Z14">IFERROR(_xlfn.FILTERXML(Лист1!C43,"//Value"),Z13)</f>
        <v>120.3785</v>
      </c>
      <c r="AA14" s="458">
        <f t="shared" ca="1" si="84"/>
        <v>21555</v>
      </c>
      <c r="AB14" s="11"/>
      <c r="AC14" s="11"/>
      <c r="AD14" s="11"/>
      <c r="AE14" s="11"/>
      <c r="AF14" s="11"/>
      <c r="AG14" s="75">
        <f t="shared" si="36"/>
        <v>0</v>
      </c>
      <c r="AH14" s="629"/>
      <c r="AI14" s="8">
        <f t="shared" ca="1" si="37"/>
        <v>0</v>
      </c>
      <c r="AJ14" s="8">
        <f t="shared" ca="1" si="38"/>
        <v>0</v>
      </c>
      <c r="AK14" s="61" t="e">
        <f t="shared" ca="1" si="85"/>
        <v>#DIV/0!</v>
      </c>
      <c r="AL14" s="275" t="e">
        <f t="shared" ca="1" si="39"/>
        <v>#DIV/0!</v>
      </c>
      <c r="AM14" s="275" t="e">
        <f t="shared" ca="1" si="40"/>
        <v>#DIV/0!</v>
      </c>
      <c r="AN14" s="275" t="e">
        <f t="shared" ca="1" si="41"/>
        <v>#DIV/0!</v>
      </c>
      <c r="AO14" s="275" t="e">
        <f t="shared" ca="1" si="42"/>
        <v>#DIV/0!</v>
      </c>
      <c r="AP14" s="278" t="e">
        <f t="shared" ca="1" si="43"/>
        <v>#DIV/0!</v>
      </c>
      <c r="AQ14" s="90" t="e">
        <f t="shared" ca="1" si="44"/>
        <v>#DIV/0!</v>
      </c>
      <c r="AR14" s="275">
        <f t="shared" ca="1" si="86"/>
        <v>0</v>
      </c>
      <c r="AS14" s="278">
        <f t="shared" ca="1" si="87"/>
        <v>0</v>
      </c>
      <c r="AT14" s="91" t="e">
        <f t="shared" ca="1" si="45"/>
        <v>#DIV/0!</v>
      </c>
      <c r="AU14" s="275" t="e">
        <f t="shared" ref="AU14:AU16" ca="1" si="92">(AC14-C14)*$CZ14*$AA14*$Y14/1000/1000</f>
        <v>#DIV/0!</v>
      </c>
      <c r="AV14" s="275" t="e">
        <f t="shared" ref="AV14:AV16" ca="1" si="93">(AD14-D14)*$CZ14*$AA14*$Y14/1000/1000</f>
        <v>#DIV/0!</v>
      </c>
      <c r="AW14" s="275" t="e">
        <f t="shared" ref="AW14:AW16" ca="1" si="94">(AE14-E14)*$CZ14*$AA14*$Y14/1000/1000</f>
        <v>#DIV/0!</v>
      </c>
      <c r="AX14" s="275" t="e">
        <f t="shared" ref="AX14:AX16" ca="1" si="95">(AF14-F14)*$CZ14*$AA14*$Y14/1000/1000</f>
        <v>#DIV/0!</v>
      </c>
      <c r="AY14" s="278" t="e">
        <f t="shared" ca="1" si="47"/>
        <v>#DIV/0!</v>
      </c>
      <c r="AZ14" s="61"/>
      <c r="BA14" s="276" t="e">
        <f t="shared" ref="BA14:BA28" ca="1" si="96">(I14+D14)*AA14*CZ14*A14</f>
        <v>#DIV/0!</v>
      </c>
      <c r="BB14" s="276">
        <f t="shared" ca="1" si="48"/>
        <v>1267376.3188200002</v>
      </c>
      <c r="BC14" s="264"/>
      <c r="BD14" s="264"/>
      <c r="BE14" s="264"/>
      <c r="BF14" s="264"/>
      <c r="BG14" s="11"/>
      <c r="BH14" s="275">
        <f t="shared" ca="1" si="49"/>
        <v>0</v>
      </c>
      <c r="BI14" s="275">
        <f t="shared" ca="1" si="50"/>
        <v>0</v>
      </c>
      <c r="BJ14" s="275">
        <f t="shared" ca="1" si="51"/>
        <v>0</v>
      </c>
      <c r="BK14" s="275">
        <f t="shared" ca="1" si="52"/>
        <v>0</v>
      </c>
      <c r="BL14" s="275"/>
      <c r="BM14" s="275">
        <f t="shared" ca="1" si="53"/>
        <v>0</v>
      </c>
      <c r="BN14" s="8">
        <f t="shared" ca="1" si="54"/>
        <v>0</v>
      </c>
      <c r="BO14" s="11"/>
      <c r="BP14" s="78"/>
      <c r="BQ14" s="372"/>
      <c r="BR14" s="44">
        <f t="shared" ca="1" si="55"/>
        <v>0</v>
      </c>
      <c r="BS14" s="10">
        <f t="shared" si="9"/>
        <v>0</v>
      </c>
      <c r="BT14" s="513">
        <f t="shared" si="10"/>
        <v>0</v>
      </c>
      <c r="BU14" s="513">
        <f t="shared" ca="1" si="11"/>
        <v>0</v>
      </c>
      <c r="BV14" s="378">
        <f t="shared" ca="1" si="12"/>
        <v>0</v>
      </c>
      <c r="BW14" s="275"/>
      <c r="BX14" s="505"/>
      <c r="BY14" s="505"/>
      <c r="BZ14" s="504"/>
      <c r="CA14" s="507"/>
      <c r="CB14" s="61">
        <f>SUMPRODUCT(([178]БП!$C$245:$N$245=$L14)*([178]БП!$C$246:$N$246))</f>
        <v>0</v>
      </c>
      <c r="CC14" s="353">
        <f>SUMPRODUCT(('[178]факт+прогноз НДПИ'!$C$220:$N$220=$L14)*('[178]факт+прогноз НДПИ'!$C$221:$N$221))</f>
        <v>0</v>
      </c>
      <c r="CD14" s="353">
        <f>SUMPRODUCT(([178]БП_Urals!$C$245:$N$245=$L14)*([178]БП_Urals!$C$246:$N$246))-CB14</f>
        <v>0</v>
      </c>
      <c r="CE14" s="353">
        <f>SUMPRODUCT(([178]БП_курс!$C$245:$N$245=$L14)*([178]БП_курс!$C$246:$N$246))-CB14</f>
        <v>0</v>
      </c>
      <c r="CF14" s="353">
        <f t="shared" si="56"/>
        <v>0</v>
      </c>
      <c r="CG14" s="353"/>
      <c r="CH14" s="28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8">
        <f t="shared" ca="1" si="57"/>
        <v>0</v>
      </c>
      <c r="CJ14" s="28">
        <f t="shared" ca="1" si="58"/>
        <v>0</v>
      </c>
      <c r="CK14" s="28">
        <f t="shared" ca="1" si="59"/>
        <v>0</v>
      </c>
      <c r="CL14" s="41">
        <f t="shared" ca="1" si="60"/>
        <v>0</v>
      </c>
      <c r="CM14" s="18"/>
      <c r="CN14" s="11"/>
      <c r="CO14" s="807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#VALUE!</v>
      </c>
      <c r="CP14" s="41" t="e">
        <f t="shared" ca="1" si="61"/>
        <v>#VALUE!</v>
      </c>
      <c r="CQ14" s="274"/>
      <c r="CR14" s="282"/>
      <c r="CS14" s="275">
        <f t="shared" ca="1" si="62"/>
        <v>0</v>
      </c>
      <c r="CT14" s="275">
        <f t="shared" ca="1" si="63"/>
        <v>0</v>
      </c>
      <c r="CU14" s="275">
        <f t="shared" ca="1" si="64"/>
        <v>0</v>
      </c>
      <c r="CV14" s="551" t="e">
        <f t="shared" ca="1" si="65"/>
        <v>#DIV/0!</v>
      </c>
      <c r="CW14" s="551" t="e">
        <f t="shared" ca="1" si="88"/>
        <v>#DIV/0!</v>
      </c>
      <c r="CX14" s="275" t="e">
        <f t="shared" ca="1" si="66"/>
        <v>#DIV/0!</v>
      </c>
      <c r="CY14" s="278" t="e">
        <f t="shared" ca="1" si="67"/>
        <v>#DIV/0!</v>
      </c>
      <c r="CZ14" s="305" t="e">
        <f t="shared" ca="1" si="68"/>
        <v>#DIV/0!</v>
      </c>
      <c r="DA14" s="762" t="e">
        <f t="shared" ca="1" si="69"/>
        <v>#DIV/0!</v>
      </c>
      <c r="DB14" s="762" t="e">
        <f t="shared" ca="1" si="70"/>
        <v>#DIV/0!</v>
      </c>
      <c r="DC14" s="762">
        <f t="shared" si="71"/>
        <v>0</v>
      </c>
      <c r="DD14" s="762" t="e">
        <f t="shared" ca="1" si="72"/>
        <v>#DIV/0!</v>
      </c>
      <c r="DE14" s="762" t="e">
        <f t="shared" ca="1" si="73"/>
        <v>#DIV/0!</v>
      </c>
      <c r="DF14" s="762" t="e">
        <f t="shared" ca="1" si="74"/>
        <v>#DIV/0!</v>
      </c>
      <c r="DG14" s="762" t="e">
        <f t="shared" ca="1" si="75"/>
        <v>#DIV/0!</v>
      </c>
      <c r="DH14" s="762">
        <f t="shared" ca="1" si="76"/>
        <v>0</v>
      </c>
      <c r="DI14" s="762">
        <f t="shared" ca="1" si="77"/>
        <v>0</v>
      </c>
      <c r="DJ14" s="762">
        <f t="shared" ca="1" si="78"/>
        <v>0</v>
      </c>
      <c r="DK14" s="762" t="e">
        <f t="shared" ca="1" si="79"/>
        <v>#DIV/0!</v>
      </c>
      <c r="DL14" s="762" t="e">
        <f t="shared" ca="1" si="80"/>
        <v>#VALUE!</v>
      </c>
      <c r="DM14" s="55" t="e">
        <f t="shared" ca="1" si="81"/>
        <v>#DIV/0!</v>
      </c>
      <c r="DN14" s="190"/>
    </row>
    <row r="15" spans="1:119" s="69" customFormat="1" ht="15.95" customHeight="1" x14ac:dyDescent="0.25">
      <c r="A15" s="1206" cm="1">
        <f t="array" ref="A15">IFERROR(_xlfn.FILTERXML(Лист1!Q20,"//Value"),A14)</f>
        <v>91.745699999999999</v>
      </c>
      <c r="B15" s="18"/>
      <c r="C15" s="11"/>
      <c r="D15" s="11"/>
      <c r="E15" s="11"/>
      <c r="F15" s="11"/>
      <c r="G15" s="11"/>
      <c r="H15" s="18"/>
      <c r="I15" s="11"/>
      <c r="J15" s="1081" t="s">
        <v>384</v>
      </c>
      <c r="K15" s="61"/>
      <c r="L15" s="1218">
        <f t="shared" si="34"/>
        <v>44586</v>
      </c>
      <c r="M15" s="180">
        <v>44586</v>
      </c>
      <c r="N15" s="81">
        <v>44622</v>
      </c>
      <c r="O15" s="1219">
        <f t="shared" si="35"/>
        <v>44635</v>
      </c>
      <c r="P15" s="181">
        <v>44635</v>
      </c>
      <c r="Q15" s="16">
        <f t="shared" si="91"/>
        <v>49</v>
      </c>
      <c r="R15" s="679">
        <f t="shared" si="83"/>
        <v>13</v>
      </c>
      <c r="S15" s="682"/>
      <c r="T15" s="709"/>
      <c r="U15" s="709"/>
      <c r="V15" s="710"/>
      <c r="W15" s="711"/>
      <c r="X15" s="8" t="s">
        <v>400</v>
      </c>
      <c r="Y15" s="172" cm="1">
        <f t="array" ref="Y15">IFERROR(_xlfn.FILTERXML(Лист1!J33,"//Value"),Y14)</f>
        <v>77.364900000000006</v>
      </c>
      <c r="Z15" s="176" cm="1">
        <f t="array" ref="Z15">IFERROR(_xlfn.FILTERXML(Лист1!C44,"//Value"),Z14)</f>
        <v>115.19629999999999</v>
      </c>
      <c r="AA15" s="458">
        <f t="shared" ca="1" si="84"/>
        <v>40173</v>
      </c>
      <c r="AB15" s="11"/>
      <c r="AC15" s="11"/>
      <c r="AD15" s="11"/>
      <c r="AE15" s="11"/>
      <c r="AF15" s="11"/>
      <c r="AG15" s="75">
        <f>SUM(AB15:AF15)</f>
        <v>0</v>
      </c>
      <c r="AH15" s="11"/>
      <c r="AI15" s="8">
        <f t="shared" ca="1" si="37"/>
        <v>0</v>
      </c>
      <c r="AJ15" s="8">
        <f t="shared" ca="1" si="38"/>
        <v>0</v>
      </c>
      <c r="AK15" s="61" t="e">
        <f t="shared" ca="1" si="85"/>
        <v>#DIV/0!</v>
      </c>
      <c r="AL15" s="91" t="e">
        <f t="shared" ca="1" si="39"/>
        <v>#DIV/0!</v>
      </c>
      <c r="AM15" s="91" t="e">
        <f t="shared" ca="1" si="40"/>
        <v>#DIV/0!</v>
      </c>
      <c r="AN15" s="91" t="e">
        <f t="shared" ca="1" si="41"/>
        <v>#DIV/0!</v>
      </c>
      <c r="AO15" s="91" t="e">
        <f t="shared" ca="1" si="42"/>
        <v>#DIV/0!</v>
      </c>
      <c r="AP15" s="287" t="e">
        <f t="shared" ca="1" si="43"/>
        <v>#DIV/0!</v>
      </c>
      <c r="AQ15" s="86" t="e">
        <f t="shared" ca="1" si="44"/>
        <v>#DIV/0!</v>
      </c>
      <c r="AR15" s="91">
        <f t="shared" ca="1" si="86"/>
        <v>0</v>
      </c>
      <c r="AS15" s="287">
        <f t="shared" ca="1" si="87"/>
        <v>0</v>
      </c>
      <c r="AT15" s="91" t="e">
        <f t="shared" ca="1" si="45"/>
        <v>#DIV/0!</v>
      </c>
      <c r="AU15" s="91" t="e">
        <f t="shared" ca="1" si="92"/>
        <v>#DIV/0!</v>
      </c>
      <c r="AV15" s="91" t="e">
        <f t="shared" ca="1" si="93"/>
        <v>#DIV/0!</v>
      </c>
      <c r="AW15" s="91" t="e">
        <f t="shared" ca="1" si="94"/>
        <v>#DIV/0!</v>
      </c>
      <c r="AX15" s="91" t="e">
        <f t="shared" ca="1" si="95"/>
        <v>#DIV/0!</v>
      </c>
      <c r="AY15" s="287" t="e">
        <f t="shared" ca="1" si="47"/>
        <v>#DIV/0!</v>
      </c>
      <c r="AZ15" s="61"/>
      <c r="BA15" s="276" t="e">
        <f t="shared" ca="1" si="96"/>
        <v>#DIV/0!</v>
      </c>
      <c r="BB15" s="276">
        <f t="shared" ca="1" si="48"/>
        <v>2362064.8970520003</v>
      </c>
      <c r="BC15" s="87"/>
      <c r="BD15" s="87"/>
      <c r="BE15" s="87"/>
      <c r="BF15" s="87"/>
      <c r="BG15" s="11"/>
      <c r="BH15" s="91">
        <f t="shared" ca="1" si="49"/>
        <v>0</v>
      </c>
      <c r="BI15" s="91">
        <f t="shared" ca="1" si="50"/>
        <v>0</v>
      </c>
      <c r="BJ15" s="275">
        <f t="shared" ca="1" si="51"/>
        <v>0</v>
      </c>
      <c r="BK15" s="91">
        <f t="shared" ca="1" si="52"/>
        <v>0</v>
      </c>
      <c r="BL15" s="91"/>
      <c r="BM15" s="91">
        <f t="shared" ca="1" si="53"/>
        <v>0</v>
      </c>
      <c r="BN15" s="8">
        <f t="shared" ca="1" si="54"/>
        <v>0</v>
      </c>
      <c r="BO15" s="11"/>
      <c r="BP15" s="88"/>
      <c r="BQ15" s="372"/>
      <c r="BR15" s="44">
        <f t="shared" ca="1" si="55"/>
        <v>0</v>
      </c>
      <c r="BS15" s="10">
        <f t="shared" si="9"/>
        <v>0</v>
      </c>
      <c r="BT15" s="513">
        <f t="shared" si="10"/>
        <v>0</v>
      </c>
      <c r="BU15" s="513">
        <f t="shared" ca="1" si="11"/>
        <v>0</v>
      </c>
      <c r="BV15" s="378">
        <f t="shared" ca="1" si="12"/>
        <v>0</v>
      </c>
      <c r="BW15" s="91"/>
      <c r="BX15" s="506"/>
      <c r="BY15" s="506"/>
      <c r="BZ15" s="508"/>
      <c r="CA15" s="507"/>
      <c r="CB15" s="61">
        <f>SUMPRODUCT(([178]БП!$C$245:$N$245=$L15)*([178]БП!$C$246:$N$246))</f>
        <v>0</v>
      </c>
      <c r="CC15" s="360">
        <f>SUMPRODUCT(('[178]факт+прогноз НДПИ'!$C$220:$N$220=$L15)*('[178]факт+прогноз НДПИ'!$C$221:$N$221))</f>
        <v>0</v>
      </c>
      <c r="CD15" s="360">
        <f>SUMPRODUCT(([178]БП_Urals!$C$245:$N$245=$L15)*([178]БП_Urals!$C$246:$N$246))-CB15</f>
        <v>0</v>
      </c>
      <c r="CE15" s="360">
        <f>SUMPRODUCT(([178]БП_курс!$C$245:$N$245=$L15)*([178]БП_курс!$C$246:$N$246))-CB15</f>
        <v>0</v>
      </c>
      <c r="CF15" s="360">
        <f t="shared" si="56"/>
        <v>0</v>
      </c>
      <c r="CG15" s="360"/>
      <c r="CH15" s="16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ca="1" si="57"/>
        <v>0</v>
      </c>
      <c r="CJ15" s="16">
        <f t="shared" ca="1" si="58"/>
        <v>0</v>
      </c>
      <c r="CK15" s="16">
        <f t="shared" ca="1" si="59"/>
        <v>0</v>
      </c>
      <c r="CL15" s="40">
        <f t="shared" ca="1" si="60"/>
        <v>0</v>
      </c>
      <c r="CM15" s="18"/>
      <c r="CN15" s="11"/>
      <c r="CO15" s="16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#VALUE!</v>
      </c>
      <c r="CP15" s="40" t="e">
        <f t="shared" ca="1" si="61"/>
        <v>#VALUE!</v>
      </c>
      <c r="CQ15" s="274"/>
      <c r="CR15" s="14"/>
      <c r="CS15" s="91">
        <f t="shared" ca="1" si="62"/>
        <v>0</v>
      </c>
      <c r="CT15" s="91">
        <f t="shared" ca="1" si="63"/>
        <v>0</v>
      </c>
      <c r="CU15" s="91">
        <f t="shared" ca="1" si="64"/>
        <v>0</v>
      </c>
      <c r="CV15" s="16" t="e">
        <f t="shared" ca="1" si="65"/>
        <v>#DIV/0!</v>
      </c>
      <c r="CW15" s="16" t="e">
        <f t="shared" ca="1" si="88"/>
        <v>#DIV/0!</v>
      </c>
      <c r="CX15" s="91" t="e">
        <f t="shared" ca="1" si="66"/>
        <v>#DIV/0!</v>
      </c>
      <c r="CY15" s="287" t="e">
        <f t="shared" ca="1" si="67"/>
        <v>#DIV/0!</v>
      </c>
      <c r="CZ15" s="305" t="e">
        <f t="shared" ca="1" si="68"/>
        <v>#DIV/0!</v>
      </c>
      <c r="DA15" s="762" t="e">
        <f t="shared" ca="1" si="69"/>
        <v>#DIV/0!</v>
      </c>
      <c r="DB15" s="762" t="e">
        <f t="shared" ca="1" si="70"/>
        <v>#DIV/0!</v>
      </c>
      <c r="DC15" s="762">
        <f t="shared" si="71"/>
        <v>0</v>
      </c>
      <c r="DD15" s="762" t="e">
        <f t="shared" ca="1" si="72"/>
        <v>#DIV/0!</v>
      </c>
      <c r="DE15" s="762" t="e">
        <f t="shared" ca="1" si="73"/>
        <v>#DIV/0!</v>
      </c>
      <c r="DF15" s="762" t="e">
        <f t="shared" ca="1" si="74"/>
        <v>#DIV/0!</v>
      </c>
      <c r="DG15" s="762" t="e">
        <f t="shared" ca="1" si="75"/>
        <v>#DIV/0!</v>
      </c>
      <c r="DH15" s="762">
        <f t="shared" ca="1" si="76"/>
        <v>0</v>
      </c>
      <c r="DI15" s="762">
        <f t="shared" ca="1" si="77"/>
        <v>0</v>
      </c>
      <c r="DJ15" s="762">
        <f t="shared" ca="1" si="78"/>
        <v>0</v>
      </c>
      <c r="DK15" s="762" t="e">
        <f t="shared" ca="1" si="79"/>
        <v>#DIV/0!</v>
      </c>
      <c r="DL15" s="762" t="e">
        <f t="shared" ca="1" si="80"/>
        <v>#VALUE!</v>
      </c>
      <c r="DM15" s="55" t="e">
        <f t="shared" ca="1" si="81"/>
        <v>#DIV/0!</v>
      </c>
      <c r="DN15" s="190"/>
    </row>
    <row r="16" spans="1:119" s="69" customFormat="1" ht="15.95" customHeight="1" x14ac:dyDescent="0.25">
      <c r="A16" s="1206" cm="1">
        <f t="array" ref="A16">IFERROR(_xlfn.FILTERXML(Лист1!Q21,"//Value"),A15)</f>
        <v>103.2487</v>
      </c>
      <c r="B16" s="18"/>
      <c r="C16" s="11"/>
      <c r="D16" s="11"/>
      <c r="E16" s="11"/>
      <c r="F16" s="11"/>
      <c r="G16" s="11"/>
      <c r="H16" s="18"/>
      <c r="I16" s="260"/>
      <c r="J16" s="89" t="s">
        <v>382</v>
      </c>
      <c r="K16" s="631"/>
      <c r="L16" s="1218">
        <f t="shared" si="34"/>
        <v>44587</v>
      </c>
      <c r="M16" s="180">
        <v>44587</v>
      </c>
      <c r="N16" s="81">
        <v>44623</v>
      </c>
      <c r="O16" s="1219">
        <f t="shared" si="35"/>
        <v>44636</v>
      </c>
      <c r="P16" s="181">
        <v>44636</v>
      </c>
      <c r="Q16" s="659">
        <f t="shared" si="91"/>
        <v>49</v>
      </c>
      <c r="R16" s="679">
        <f t="shared" si="83"/>
        <v>13</v>
      </c>
      <c r="S16" s="683"/>
      <c r="T16" s="652"/>
      <c r="U16" s="652"/>
      <c r="V16" s="652"/>
      <c r="W16" s="652"/>
      <c r="X16" s="8" t="s">
        <v>400</v>
      </c>
      <c r="Y16" s="172" cm="1">
        <f t="array" ref="Y16">IFERROR(_xlfn.FILTERXML(Лист1!J34,"//Value"),Y15)</f>
        <v>78.642200000000003</v>
      </c>
      <c r="Z16" s="176" cm="1">
        <f t="array" ref="Z16">IFERROR(_xlfn.FILTERXML(Лист1!C45,"//Value"),Z15)</f>
        <v>111.4823</v>
      </c>
      <c r="AA16" s="458">
        <f t="shared" ca="1" si="84"/>
        <v>33013</v>
      </c>
      <c r="AB16" s="11"/>
      <c r="AC16" s="11"/>
      <c r="AD16" s="11"/>
      <c r="AE16" s="11"/>
      <c r="AF16" s="11"/>
      <c r="AG16" s="75">
        <f>SUM(AB16:AF16)</f>
        <v>0</v>
      </c>
      <c r="AH16" s="629"/>
      <c r="AI16" s="8">
        <f t="shared" ca="1" si="37"/>
        <v>0</v>
      </c>
      <c r="AJ16" s="8">
        <f t="shared" ca="1" si="38"/>
        <v>0</v>
      </c>
      <c r="AK16" s="280" t="e">
        <f t="shared" ca="1" si="85"/>
        <v>#DIV/0!</v>
      </c>
      <c r="AL16" s="275" t="e">
        <f t="shared" ca="1" si="39"/>
        <v>#DIV/0!</v>
      </c>
      <c r="AM16" s="275" t="e">
        <f t="shared" ca="1" si="40"/>
        <v>#DIV/0!</v>
      </c>
      <c r="AN16" s="275" t="e">
        <f t="shared" ca="1" si="41"/>
        <v>#DIV/0!</v>
      </c>
      <c r="AO16" s="275" t="e">
        <f t="shared" ca="1" si="42"/>
        <v>#DIV/0!</v>
      </c>
      <c r="AP16" s="278" t="e">
        <f t="shared" ca="1" si="43"/>
        <v>#DIV/0!</v>
      </c>
      <c r="AQ16" s="90" t="e">
        <f t="shared" ca="1" si="44"/>
        <v>#DIV/0!</v>
      </c>
      <c r="AR16" s="275">
        <f t="shared" ca="1" si="86"/>
        <v>0</v>
      </c>
      <c r="AS16" s="278">
        <f t="shared" ca="1" si="87"/>
        <v>0</v>
      </c>
      <c r="AT16" s="275" t="e">
        <f t="shared" ca="1" si="45"/>
        <v>#DIV/0!</v>
      </c>
      <c r="AU16" s="275" t="e">
        <f t="shared" ca="1" si="92"/>
        <v>#DIV/0!</v>
      </c>
      <c r="AV16" s="275" t="e">
        <f t="shared" ca="1" si="93"/>
        <v>#DIV/0!</v>
      </c>
      <c r="AW16" s="275" t="e">
        <f t="shared" ca="1" si="94"/>
        <v>#DIV/0!</v>
      </c>
      <c r="AX16" s="275" t="e">
        <f t="shared" ca="1" si="95"/>
        <v>#DIV/0!</v>
      </c>
      <c r="AY16" s="278" t="e">
        <f t="shared" ca="1" si="47"/>
        <v>#DIV/0!</v>
      </c>
      <c r="AZ16" s="61"/>
      <c r="BA16" s="276" t="e">
        <f t="shared" ca="1" si="96"/>
        <v>#DIV/0!</v>
      </c>
      <c r="BB16" s="276">
        <f t="shared" ca="1" si="48"/>
        <v>1973123.360936</v>
      </c>
      <c r="BC16" s="264"/>
      <c r="BD16" s="264"/>
      <c r="BE16" s="264"/>
      <c r="BF16" s="264"/>
      <c r="BG16" s="11"/>
      <c r="BH16" s="275">
        <f t="shared" ca="1" si="49"/>
        <v>0</v>
      </c>
      <c r="BI16" s="275">
        <f t="shared" ca="1" si="50"/>
        <v>0</v>
      </c>
      <c r="BJ16" s="275">
        <f t="shared" ca="1" si="51"/>
        <v>0</v>
      </c>
      <c r="BK16" s="275">
        <f t="shared" ca="1" si="52"/>
        <v>0</v>
      </c>
      <c r="BL16" s="275"/>
      <c r="BM16" s="275">
        <f t="shared" ca="1" si="53"/>
        <v>0</v>
      </c>
      <c r="BN16" s="8">
        <f t="shared" ca="1" si="54"/>
        <v>0</v>
      </c>
      <c r="BO16" s="11"/>
      <c r="BP16" s="78"/>
      <c r="BQ16" s="372"/>
      <c r="BR16" s="44">
        <f t="shared" ca="1" si="55"/>
        <v>0</v>
      </c>
      <c r="BS16" s="10">
        <f t="shared" si="9"/>
        <v>0</v>
      </c>
      <c r="BT16" s="513">
        <f t="shared" si="10"/>
        <v>0</v>
      </c>
      <c r="BU16" s="513">
        <f t="shared" ca="1" si="11"/>
        <v>0</v>
      </c>
      <c r="BV16" s="378">
        <f t="shared" ca="1" si="12"/>
        <v>0</v>
      </c>
      <c r="BW16" s="275"/>
      <c r="BX16" s="505"/>
      <c r="BY16" s="505"/>
      <c r="BZ16" s="504"/>
      <c r="CA16" s="507"/>
      <c r="CB16" s="356">
        <f>SUMPRODUCT(([178]БП!$C$245:$N$245=$L16)*([178]БП!$C$246:$N$246))</f>
        <v>0</v>
      </c>
      <c r="CC16" s="353">
        <f>SUMPRODUCT(('[178]факт+прогноз НДПИ'!$C$220:$N$220=$L16)*('[178]факт+прогноз НДПИ'!$C$221:$N$221))</f>
        <v>0</v>
      </c>
      <c r="CD16" s="353">
        <f>SUMPRODUCT(([178]БП_Urals!$C$245:$N$245=$L16)*([178]БП_Urals!$C$246:$N$246))-CB16</f>
        <v>0</v>
      </c>
      <c r="CE16" s="353">
        <f>SUMPRODUCT(([178]БП_курс!$C$245:$N$245=$L16)*([178]БП_курс!$C$246:$N$246))-CB16</f>
        <v>0</v>
      </c>
      <c r="CF16" s="353">
        <f t="shared" si="56"/>
        <v>0</v>
      </c>
      <c r="CG16" s="353"/>
      <c r="CH16" s="28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8">
        <f t="shared" ca="1" si="57"/>
        <v>0</v>
      </c>
      <c r="CJ16" s="28">
        <f t="shared" ca="1" si="58"/>
        <v>0</v>
      </c>
      <c r="CK16" s="28">
        <f t="shared" ca="1" si="59"/>
        <v>0</v>
      </c>
      <c r="CL16" s="41">
        <f t="shared" ca="1" si="60"/>
        <v>0</v>
      </c>
      <c r="CM16" s="809"/>
      <c r="CN16" s="11"/>
      <c r="CO16" s="807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#VALUE!</v>
      </c>
      <c r="CP16" s="41" t="e">
        <f t="shared" ca="1" si="61"/>
        <v>#VALUE!</v>
      </c>
      <c r="CQ16" s="274"/>
      <c r="CR16" s="282"/>
      <c r="CS16" s="275">
        <f t="shared" ca="1" si="62"/>
        <v>0</v>
      </c>
      <c r="CT16" s="275">
        <f t="shared" ca="1" si="63"/>
        <v>0</v>
      </c>
      <c r="CU16" s="275">
        <f t="shared" ca="1" si="64"/>
        <v>0</v>
      </c>
      <c r="CV16" s="551" t="e">
        <f t="shared" ca="1" si="65"/>
        <v>#DIV/0!</v>
      </c>
      <c r="CW16" s="551" t="e">
        <f t="shared" ca="1" si="88"/>
        <v>#DIV/0!</v>
      </c>
      <c r="CX16" s="275" t="e">
        <f t="shared" ca="1" si="66"/>
        <v>#DIV/0!</v>
      </c>
      <c r="CY16" s="278" t="e">
        <f t="shared" ca="1" si="67"/>
        <v>#DIV/0!</v>
      </c>
      <c r="CZ16" s="305" t="e">
        <f t="shared" ca="1" si="68"/>
        <v>#DIV/0!</v>
      </c>
      <c r="DA16" s="762" t="e">
        <f t="shared" ca="1" si="69"/>
        <v>#DIV/0!</v>
      </c>
      <c r="DB16" s="762" t="e">
        <f t="shared" ca="1" si="70"/>
        <v>#DIV/0!</v>
      </c>
      <c r="DC16" s="762">
        <f t="shared" si="71"/>
        <v>0</v>
      </c>
      <c r="DD16" s="762" t="e">
        <f t="shared" ca="1" si="72"/>
        <v>#DIV/0!</v>
      </c>
      <c r="DE16" s="762" t="e">
        <f t="shared" ca="1" si="73"/>
        <v>#DIV/0!</v>
      </c>
      <c r="DF16" s="762" t="e">
        <f t="shared" ca="1" si="74"/>
        <v>#DIV/0!</v>
      </c>
      <c r="DG16" s="762" t="e">
        <f t="shared" ca="1" si="75"/>
        <v>#DIV/0!</v>
      </c>
      <c r="DH16" s="762">
        <f t="shared" ca="1" si="76"/>
        <v>0</v>
      </c>
      <c r="DI16" s="762">
        <f t="shared" ca="1" si="77"/>
        <v>0</v>
      </c>
      <c r="DJ16" s="762">
        <f t="shared" ca="1" si="78"/>
        <v>0</v>
      </c>
      <c r="DK16" s="762" t="e">
        <f t="shared" ca="1" si="79"/>
        <v>#DIV/0!</v>
      </c>
      <c r="DL16" s="762" t="e">
        <f t="shared" ca="1" si="80"/>
        <v>#VALUE!</v>
      </c>
      <c r="DM16" s="55" t="e">
        <f t="shared" ca="1" si="81"/>
        <v>#DIV/0!</v>
      </c>
      <c r="DN16" s="190"/>
    </row>
    <row r="17" spans="1:119" s="69" customFormat="1" ht="15.95" customHeight="1" x14ac:dyDescent="0.25">
      <c r="A17" s="1206" cm="1">
        <f t="array" ref="A17">IFERROR(_xlfn.FILTERXML(Лист1!Q22,"//Value"),A16)</f>
        <v>111.7564</v>
      </c>
      <c r="B17" s="18"/>
      <c r="C17" s="11"/>
      <c r="D17" s="11"/>
      <c r="E17" s="11"/>
      <c r="F17" s="11"/>
      <c r="G17" s="11"/>
      <c r="H17" s="18"/>
      <c r="I17" s="260"/>
      <c r="J17" s="89" t="s">
        <v>384</v>
      </c>
      <c r="K17" s="631"/>
      <c r="L17" s="1218">
        <f t="shared" si="34"/>
        <v>44588</v>
      </c>
      <c r="M17" s="180">
        <v>44588</v>
      </c>
      <c r="N17" s="81">
        <v>44624</v>
      </c>
      <c r="O17" s="1219">
        <f t="shared" si="35"/>
        <v>44637</v>
      </c>
      <c r="P17" s="181">
        <v>44637</v>
      </c>
      <c r="Q17" s="659">
        <f t="shared" si="91"/>
        <v>49</v>
      </c>
      <c r="R17" s="679">
        <f t="shared" si="83"/>
        <v>13</v>
      </c>
      <c r="S17" s="683"/>
      <c r="T17" s="707"/>
      <c r="U17" s="652"/>
      <c r="V17" s="652"/>
      <c r="W17" s="652"/>
      <c r="X17" s="8" t="s">
        <v>400</v>
      </c>
      <c r="Y17" s="172" cm="1">
        <f t="array" ref="Y17">IFERROR(_xlfn.FILTERXML(Лист1!J35,"//Value"),Y16)</f>
        <v>78.943700000000007</v>
      </c>
      <c r="Z17" s="176" cm="1">
        <f t="array" ref="Z17">IFERROR(_xlfn.FILTERXML(Лист1!C46,"//Value"),Z16)</f>
        <v>108.0521</v>
      </c>
      <c r="AA17" s="458">
        <f t="shared" ca="1" si="84"/>
        <v>37976</v>
      </c>
      <c r="AB17" s="11"/>
      <c r="AC17" s="11"/>
      <c r="AD17" s="11"/>
      <c r="AE17" s="11"/>
      <c r="AF17" s="11"/>
      <c r="AG17" s="75">
        <f>SUM(AB17:AF17)-AD17</f>
        <v>0</v>
      </c>
      <c r="AH17" s="629"/>
      <c r="AI17" s="8">
        <f t="shared" ca="1" si="37"/>
        <v>0</v>
      </c>
      <c r="AJ17" s="8">
        <f t="shared" ca="1" si="38"/>
        <v>0</v>
      </c>
      <c r="AK17" s="280" t="e">
        <f t="shared" ca="1" si="85"/>
        <v>#DIV/0!</v>
      </c>
      <c r="AL17" s="275" t="e">
        <f t="shared" ca="1" si="39"/>
        <v>#DIV/0!</v>
      </c>
      <c r="AM17" s="275" t="e">
        <f t="shared" ca="1" si="40"/>
        <v>#DIV/0!</v>
      </c>
      <c r="AN17" s="275" t="e">
        <f t="shared" ca="1" si="41"/>
        <v>#DIV/0!</v>
      </c>
      <c r="AO17" s="275" t="e">
        <f t="shared" ca="1" si="42"/>
        <v>#DIV/0!</v>
      </c>
      <c r="AP17" s="278" t="e">
        <f t="shared" ca="1" si="43"/>
        <v>#DIV/0!</v>
      </c>
      <c r="AQ17" s="90" t="e">
        <f t="shared" ca="1" si="44"/>
        <v>#DIV/0!</v>
      </c>
      <c r="AR17" s="275">
        <f t="shared" ca="1" si="86"/>
        <v>0</v>
      </c>
      <c r="AS17" s="278">
        <f t="shared" ca="1" si="87"/>
        <v>0</v>
      </c>
      <c r="AT17" s="275" t="e">
        <f t="shared" ref="AT17:AT30" ca="1" si="97">(AB17-B17)*$CZ17*$AA17*$Y17/1000/1000</f>
        <v>#DIV/0!</v>
      </c>
      <c r="AU17" s="275"/>
      <c r="AV17" s="275" t="e">
        <f t="shared" ref="AV17:AV34" ca="1" si="98">(AD17-D17)*$CZ17*$AA17*$Y17/1000/1000</f>
        <v>#DIV/0!</v>
      </c>
      <c r="AW17" s="275" t="e">
        <f t="shared" ref="AW17:AW34" ca="1" si="99">(AE17-E17)*$CZ17*$AA17*$Y17/1000/1000</f>
        <v>#DIV/0!</v>
      </c>
      <c r="AX17" s="275" t="e">
        <f t="shared" ref="AX17:AX34" ca="1" si="100">(AF17-F17)*$CZ17*$AA17*$Y17/1000/1000</f>
        <v>#DIV/0!</v>
      </c>
      <c r="AY17" s="278" t="e">
        <f t="shared" ca="1" si="47"/>
        <v>#DIV/0!</v>
      </c>
      <c r="AZ17" s="61"/>
      <c r="BA17" s="276" t="e">
        <f t="shared" ca="1" si="96"/>
        <v>#DIV/0!</v>
      </c>
      <c r="BB17" s="276">
        <f t="shared" ca="1" si="48"/>
        <v>2278454.1229120004</v>
      </c>
      <c r="BC17" s="264"/>
      <c r="BD17" s="264"/>
      <c r="BE17" s="264"/>
      <c r="BF17" s="264"/>
      <c r="BG17" s="11"/>
      <c r="BH17" s="275">
        <f t="shared" ca="1" si="49"/>
        <v>0</v>
      </c>
      <c r="BI17" s="275">
        <f t="shared" ca="1" si="50"/>
        <v>0</v>
      </c>
      <c r="BJ17" s="275">
        <f t="shared" ca="1" si="51"/>
        <v>0</v>
      </c>
      <c r="BK17" s="275">
        <f t="shared" ca="1" si="52"/>
        <v>0</v>
      </c>
      <c r="BL17" s="275"/>
      <c r="BM17" s="275">
        <f t="shared" ca="1" si="53"/>
        <v>0</v>
      </c>
      <c r="BN17" s="8">
        <f t="shared" ca="1" si="54"/>
        <v>0</v>
      </c>
      <c r="BO17" s="11"/>
      <c r="BP17" s="78"/>
      <c r="BQ17" s="372"/>
      <c r="BR17" s="44">
        <f t="shared" ca="1" si="55"/>
        <v>0</v>
      </c>
      <c r="BS17" s="10">
        <f t="shared" si="9"/>
        <v>0</v>
      </c>
      <c r="BT17" s="513">
        <f t="shared" si="10"/>
        <v>0</v>
      </c>
      <c r="BU17" s="513">
        <f t="shared" ca="1" si="11"/>
        <v>0</v>
      </c>
      <c r="BV17" s="378">
        <f t="shared" ca="1" si="12"/>
        <v>0</v>
      </c>
      <c r="BW17" s="275"/>
      <c r="BX17" s="505"/>
      <c r="BY17" s="505"/>
      <c r="BZ17" s="504"/>
      <c r="CA17" s="507"/>
      <c r="CB17" s="356">
        <f>SUMPRODUCT(([178]БП!$C$245:$N$245=$L17)*([178]БП!$C$246:$N$246))</f>
        <v>0</v>
      </c>
      <c r="CC17" s="353">
        <f>SUMPRODUCT(('[178]факт+прогноз НДПИ'!$C$220:$N$220=$L17)*('[178]факт+прогноз НДПИ'!$C$221:$N$221))</f>
        <v>0</v>
      </c>
      <c r="CD17" s="353">
        <f>SUMPRODUCT(([178]БП_Urals!$C$245:$N$245=$L17)*([178]БП_Urals!$C$246:$N$246))-CB17</f>
        <v>0</v>
      </c>
      <c r="CE17" s="353">
        <f>SUMPRODUCT(([178]БП_курс!$C$245:$N$245=$L17)*([178]БП_курс!$C$246:$N$246))-CB17</f>
        <v>0</v>
      </c>
      <c r="CF17" s="353">
        <f t="shared" si="56"/>
        <v>0</v>
      </c>
      <c r="CG17" s="353"/>
      <c r="CH17" s="28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8">
        <f t="shared" ca="1" si="57"/>
        <v>0</v>
      </c>
      <c r="CJ17" s="28">
        <f t="shared" ca="1" si="58"/>
        <v>0</v>
      </c>
      <c r="CK17" s="28">
        <f t="shared" ca="1" si="59"/>
        <v>0</v>
      </c>
      <c r="CL17" s="41">
        <f t="shared" ca="1" si="60"/>
        <v>0</v>
      </c>
      <c r="CM17" s="809"/>
      <c r="CN17" s="11"/>
      <c r="CO17" s="807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#VALUE!</v>
      </c>
      <c r="CP17" s="41" t="e">
        <f t="shared" ca="1" si="61"/>
        <v>#VALUE!</v>
      </c>
      <c r="CQ17" s="274"/>
      <c r="CR17" s="282"/>
      <c r="CS17" s="275">
        <f t="shared" ca="1" si="62"/>
        <v>0</v>
      </c>
      <c r="CT17" s="275">
        <f t="shared" ca="1" si="63"/>
        <v>0</v>
      </c>
      <c r="CU17" s="275">
        <f t="shared" ca="1" si="64"/>
        <v>0</v>
      </c>
      <c r="CV17" s="551" t="e">
        <f t="shared" ca="1" si="65"/>
        <v>#DIV/0!</v>
      </c>
      <c r="CW17" s="551" t="e">
        <f t="shared" ca="1" si="88"/>
        <v>#DIV/0!</v>
      </c>
      <c r="CX17" s="275" t="e">
        <f t="shared" ca="1" si="66"/>
        <v>#DIV/0!</v>
      </c>
      <c r="CY17" s="278" t="e">
        <f t="shared" ca="1" si="67"/>
        <v>#DIV/0!</v>
      </c>
      <c r="CZ17" s="305" t="e">
        <f ca="1">AI17/AA17/(BR17+BP17)</f>
        <v>#DIV/0!</v>
      </c>
      <c r="DA17" s="762" t="e">
        <f t="shared" ca="1" si="69"/>
        <v>#DIV/0!</v>
      </c>
      <c r="DB17" s="762" t="e">
        <f t="shared" ca="1" si="70"/>
        <v>#DIV/0!</v>
      </c>
      <c r="DC17" s="762">
        <f t="shared" si="71"/>
        <v>0</v>
      </c>
      <c r="DD17" s="762" t="e">
        <f t="shared" ca="1" si="72"/>
        <v>#DIV/0!</v>
      </c>
      <c r="DE17" s="762" t="e">
        <f t="shared" ca="1" si="73"/>
        <v>#DIV/0!</v>
      </c>
      <c r="DF17" s="762" t="e">
        <f t="shared" ca="1" si="74"/>
        <v>#DIV/0!</v>
      </c>
      <c r="DG17" s="762" t="e">
        <f t="shared" ca="1" si="75"/>
        <v>#DIV/0!</v>
      </c>
      <c r="DH17" s="762">
        <f t="shared" ca="1" si="76"/>
        <v>0</v>
      </c>
      <c r="DI17" s="762">
        <f t="shared" ca="1" si="77"/>
        <v>0</v>
      </c>
      <c r="DJ17" s="762">
        <f t="shared" ca="1" si="78"/>
        <v>0</v>
      </c>
      <c r="DK17" s="762" t="e">
        <f t="shared" ca="1" si="79"/>
        <v>#DIV/0!</v>
      </c>
      <c r="DL17" s="762" t="e">
        <f t="shared" ca="1" si="80"/>
        <v>#VALUE!</v>
      </c>
      <c r="DM17" s="55" t="e">
        <f t="shared" ca="1" si="81"/>
        <v>#DIV/0!</v>
      </c>
      <c r="DN17" s="190"/>
    </row>
    <row r="18" spans="1:119" s="69" customFormat="1" ht="15.95" customHeight="1" x14ac:dyDescent="0.25">
      <c r="A18" s="1206" cm="1">
        <f t="array" ref="A18">IFERROR(_xlfn.FILTERXML(Лист1!Q23,"//Value"),A17)</f>
        <v>111.7564</v>
      </c>
      <c r="B18" s="18"/>
      <c r="C18" s="11"/>
      <c r="D18" s="11"/>
      <c r="E18" s="11"/>
      <c r="F18" s="11"/>
      <c r="G18" s="11"/>
      <c r="H18" s="18"/>
      <c r="I18" s="260"/>
      <c r="J18" s="89" t="s">
        <v>385</v>
      </c>
      <c r="K18" s="631"/>
      <c r="L18" s="1218">
        <f t="shared" si="34"/>
        <v>44589</v>
      </c>
      <c r="M18" s="180">
        <v>44589</v>
      </c>
      <c r="N18" s="81">
        <v>44627</v>
      </c>
      <c r="O18" s="1219">
        <f t="shared" si="35"/>
        <v>44627</v>
      </c>
      <c r="P18" s="181">
        <v>44627</v>
      </c>
      <c r="Q18" s="659">
        <f t="shared" si="82"/>
        <v>38</v>
      </c>
      <c r="R18" s="679">
        <f t="shared" si="83"/>
        <v>0</v>
      </c>
      <c r="S18" s="683"/>
      <c r="T18" s="707"/>
      <c r="U18" s="652"/>
      <c r="V18" s="652"/>
      <c r="W18" s="652"/>
      <c r="X18" s="8" t="s">
        <v>400</v>
      </c>
      <c r="Y18" s="172" cm="1">
        <f t="array" ref="Y18">IFERROR(_xlfn.FILTERXML(Лист1!J36,"//Value"),Y17)</f>
        <v>78.947000000000003</v>
      </c>
      <c r="Z18" s="176" cm="1">
        <f t="array" ref="Z18">IFERROR(_xlfn.FILTERXML(Лист1!C47,"//Value"),Z17)</f>
        <v>108.0521</v>
      </c>
      <c r="AA18" s="458">
        <f t="shared" ca="1" si="84"/>
        <v>42502</v>
      </c>
      <c r="AB18" s="11"/>
      <c r="AC18" s="11"/>
      <c r="AD18" s="11"/>
      <c r="AE18" s="11"/>
      <c r="AF18" s="11"/>
      <c r="AG18" s="75">
        <f>SUM(AB18:AF18)</f>
        <v>0</v>
      </c>
      <c r="AH18" s="629"/>
      <c r="AI18" s="8">
        <f t="shared" ca="1" si="37"/>
        <v>0</v>
      </c>
      <c r="AJ18" s="8">
        <f t="shared" ca="1" si="38"/>
        <v>0</v>
      </c>
      <c r="AK18" s="280" t="e">
        <f t="shared" ca="1" si="85"/>
        <v>#DIV/0!</v>
      </c>
      <c r="AL18" s="275" t="e">
        <f t="shared" ca="1" si="39"/>
        <v>#DIV/0!</v>
      </c>
      <c r="AM18" s="275" t="e">
        <f t="shared" ca="1" si="40"/>
        <v>#DIV/0!</v>
      </c>
      <c r="AN18" s="275" t="e">
        <f t="shared" ca="1" si="41"/>
        <v>#DIV/0!</v>
      </c>
      <c r="AO18" s="275" t="e">
        <f t="shared" ca="1" si="42"/>
        <v>#DIV/0!</v>
      </c>
      <c r="AP18" s="278" t="e">
        <f t="shared" ca="1" si="43"/>
        <v>#DIV/0!</v>
      </c>
      <c r="AQ18" s="90" t="e">
        <f t="shared" ca="1" si="44"/>
        <v>#DIV/0!</v>
      </c>
      <c r="AR18" s="275">
        <f t="shared" ca="1" si="86"/>
        <v>0</v>
      </c>
      <c r="AS18" s="278">
        <f ca="1">AR18-AJ18</f>
        <v>0</v>
      </c>
      <c r="AT18" s="275" t="e">
        <f t="shared" ca="1" si="97"/>
        <v>#DIV/0!</v>
      </c>
      <c r="AU18" s="275" t="e">
        <f ca="1">(AC18-C18)*$CZ18*$AA18*$Y18/1000/1000</f>
        <v>#DIV/0!</v>
      </c>
      <c r="AV18" s="275" t="e">
        <f t="shared" ca="1" si="98"/>
        <v>#DIV/0!</v>
      </c>
      <c r="AW18" s="275" t="e">
        <f t="shared" ca="1" si="99"/>
        <v>#DIV/0!</v>
      </c>
      <c r="AX18" s="275" t="e">
        <f t="shared" ca="1" si="100"/>
        <v>#DIV/0!</v>
      </c>
      <c r="AY18" s="278" t="e">
        <f t="shared" ca="1" si="47"/>
        <v>#DIV/0!</v>
      </c>
      <c r="AZ18" s="61"/>
      <c r="BA18" s="276" t="e">
        <f t="shared" ca="1" si="96"/>
        <v>#DIV/0!</v>
      </c>
      <c r="BB18" s="276">
        <f t="shared" ca="1" si="48"/>
        <v>2550108.09944</v>
      </c>
      <c r="BC18" s="264"/>
      <c r="BD18" s="264"/>
      <c r="BE18" s="264"/>
      <c r="BF18" s="264"/>
      <c r="BG18" s="11"/>
      <c r="BH18" s="275">
        <f t="shared" ca="1" si="49"/>
        <v>0</v>
      </c>
      <c r="BI18" s="275">
        <f t="shared" ca="1" si="50"/>
        <v>0</v>
      </c>
      <c r="BJ18" s="275">
        <f t="shared" ca="1" si="51"/>
        <v>0</v>
      </c>
      <c r="BK18" s="275">
        <f t="shared" ca="1" si="52"/>
        <v>0</v>
      </c>
      <c r="BL18" s="275"/>
      <c r="BM18" s="275">
        <f t="shared" ca="1" si="53"/>
        <v>0</v>
      </c>
      <c r="BN18" s="8">
        <f t="shared" ca="1" si="54"/>
        <v>0</v>
      </c>
      <c r="BO18" s="11"/>
      <c r="BP18" s="78"/>
      <c r="BQ18" s="372"/>
      <c r="BR18" s="44">
        <f t="shared" ca="1" si="55"/>
        <v>0</v>
      </c>
      <c r="BS18" s="10">
        <f t="shared" si="9"/>
        <v>0</v>
      </c>
      <c r="BT18" s="513">
        <f t="shared" si="10"/>
        <v>0</v>
      </c>
      <c r="BU18" s="513">
        <f t="shared" ca="1" si="11"/>
        <v>0</v>
      </c>
      <c r="BV18" s="378">
        <f t="shared" ca="1" si="12"/>
        <v>0</v>
      </c>
      <c r="BW18" s="275"/>
      <c r="BX18" s="505"/>
      <c r="BY18" s="505"/>
      <c r="BZ18" s="504"/>
      <c r="CA18" s="507"/>
      <c r="CB18" s="356">
        <f>SUMPRODUCT(([178]БП!$C$245:$N$245=$L18)*([178]БП!$C$246:$N$246))</f>
        <v>0</v>
      </c>
      <c r="CC18" s="353">
        <f>SUMPRODUCT(('[178]факт+прогноз НДПИ'!$C$220:$N$220=$L18)*('[178]факт+прогноз НДПИ'!$C$221:$N$221))</f>
        <v>0</v>
      </c>
      <c r="CD18" s="353">
        <f>SUMPRODUCT(([178]БП_Urals!$C$245:$N$245=$L18)*([178]БП_Urals!$C$246:$N$246))-CB18</f>
        <v>0</v>
      </c>
      <c r="CE18" s="353">
        <f>SUMPRODUCT(([178]БП_курс!$C$245:$N$245=$L18)*([178]БП_курс!$C$246:$N$246))-CB18</f>
        <v>0</v>
      </c>
      <c r="CF18" s="353">
        <f t="shared" si="56"/>
        <v>0</v>
      </c>
      <c r="CG18" s="353"/>
      <c r="CH18" s="28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8">
        <f t="shared" ca="1" si="57"/>
        <v>0</v>
      </c>
      <c r="CJ18" s="28">
        <f t="shared" ca="1" si="58"/>
        <v>0</v>
      </c>
      <c r="CK18" s="28">
        <f t="shared" ca="1" si="59"/>
        <v>0</v>
      </c>
      <c r="CL18" s="41">
        <f t="shared" ca="1" si="60"/>
        <v>0</v>
      </c>
      <c r="CM18" s="809"/>
      <c r="CN18" s="11"/>
      <c r="CO18" s="807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#VALUE!</v>
      </c>
      <c r="CP18" s="41" t="e">
        <f t="shared" ca="1" si="61"/>
        <v>#VALUE!</v>
      </c>
      <c r="CQ18" s="274"/>
      <c r="CR18" s="282"/>
      <c r="CS18" s="275">
        <f t="shared" ca="1" si="62"/>
        <v>0</v>
      </c>
      <c r="CT18" s="275">
        <f t="shared" ca="1" si="63"/>
        <v>0</v>
      </c>
      <c r="CU18" s="275">
        <f t="shared" ca="1" si="64"/>
        <v>0</v>
      </c>
      <c r="CV18" s="551" t="e">
        <f t="shared" ca="1" si="65"/>
        <v>#DIV/0!</v>
      </c>
      <c r="CW18" s="551" t="e">
        <f t="shared" ca="1" si="88"/>
        <v>#DIV/0!</v>
      </c>
      <c r="CX18" s="275" t="e">
        <f t="shared" ca="1" si="66"/>
        <v>#DIV/0!</v>
      </c>
      <c r="CY18" s="278" t="e">
        <f t="shared" ca="1" si="67"/>
        <v>#DIV/0!</v>
      </c>
      <c r="CZ18" s="305" t="e">
        <f ca="1">AI18/AA18/BR18</f>
        <v>#DIV/0!</v>
      </c>
      <c r="DA18" s="762" t="e">
        <f t="shared" ca="1" si="69"/>
        <v>#DIV/0!</v>
      </c>
      <c r="DB18" s="762" t="e">
        <f t="shared" ca="1" si="70"/>
        <v>#DIV/0!</v>
      </c>
      <c r="DC18" s="762">
        <f t="shared" si="71"/>
        <v>0</v>
      </c>
      <c r="DD18" s="762" t="e">
        <f t="shared" ca="1" si="72"/>
        <v>#DIV/0!</v>
      </c>
      <c r="DE18" s="762" t="e">
        <f t="shared" ca="1" si="73"/>
        <v>#DIV/0!</v>
      </c>
      <c r="DF18" s="762" t="e">
        <f t="shared" ca="1" si="74"/>
        <v>#DIV/0!</v>
      </c>
      <c r="DG18" s="762" t="e">
        <f t="shared" ca="1" si="75"/>
        <v>#DIV/0!</v>
      </c>
      <c r="DH18" s="762">
        <f t="shared" ca="1" si="76"/>
        <v>0</v>
      </c>
      <c r="DI18" s="762">
        <f t="shared" ca="1" si="77"/>
        <v>0</v>
      </c>
      <c r="DJ18" s="762">
        <f t="shared" ca="1" si="78"/>
        <v>0</v>
      </c>
      <c r="DK18" s="762" t="e">
        <f t="shared" ca="1" si="79"/>
        <v>#DIV/0!</v>
      </c>
      <c r="DL18" s="762" t="e">
        <f t="shared" ca="1" si="80"/>
        <v>#VALUE!</v>
      </c>
      <c r="DM18" s="55" t="e">
        <f t="shared" ca="1" si="81"/>
        <v>#DIV/0!</v>
      </c>
      <c r="DN18" s="190"/>
    </row>
    <row r="19" spans="1:119" s="69" customFormat="1" ht="15.95" customHeight="1" x14ac:dyDescent="0.25">
      <c r="A19" s="1206" cm="1">
        <f t="array" ref="A19">IFERROR(_xlfn.FILTERXML(Лист1!Q24,"//Value"),A18)</f>
        <v>111.7564</v>
      </c>
      <c r="B19" s="18"/>
      <c r="C19" s="11"/>
      <c r="D19" s="11"/>
      <c r="E19" s="11"/>
      <c r="F19" s="11"/>
      <c r="G19" s="11"/>
      <c r="H19" s="18"/>
      <c r="I19" s="260"/>
      <c r="J19" s="89" t="s">
        <v>385</v>
      </c>
      <c r="K19" s="631"/>
      <c r="L19" s="1218">
        <f t="shared" si="34"/>
        <v>44593</v>
      </c>
      <c r="M19" s="180">
        <v>44593</v>
      </c>
      <c r="N19" s="81">
        <v>44628</v>
      </c>
      <c r="O19" s="1219">
        <f t="shared" si="35"/>
        <v>44632</v>
      </c>
      <c r="P19" s="181">
        <v>44632</v>
      </c>
      <c r="Q19" s="659">
        <f t="shared" si="82"/>
        <v>39</v>
      </c>
      <c r="R19" s="679">
        <f t="shared" si="83"/>
        <v>4</v>
      </c>
      <c r="S19" s="683"/>
      <c r="T19" s="707"/>
      <c r="U19" s="652"/>
      <c r="V19" s="652"/>
      <c r="W19" s="652"/>
      <c r="X19" s="8" t="s">
        <v>400</v>
      </c>
      <c r="Y19" s="172" cm="1">
        <f t="array" ref="Y19">IFERROR(_xlfn.FILTERXML(Лист1!J37,"//Value"),Y18)</f>
        <v>77.470200000000006</v>
      </c>
      <c r="Z19" s="176" cm="1">
        <f t="array" ref="Z19">IFERROR(_xlfn.FILTERXML(Лист1!C48,"//Value"),Z18)</f>
        <v>116.7517</v>
      </c>
      <c r="AA19" s="458">
        <f t="shared" ca="1" si="84"/>
        <v>39694</v>
      </c>
      <c r="AB19" s="11"/>
      <c r="AC19" s="11"/>
      <c r="AD19" s="11"/>
      <c r="AE19" s="11"/>
      <c r="AF19" s="11"/>
      <c r="AG19" s="75">
        <f>SUM(AB19:AF19)</f>
        <v>0</v>
      </c>
      <c r="AH19" s="629"/>
      <c r="AI19" s="8">
        <f t="shared" ca="1" si="37"/>
        <v>0</v>
      </c>
      <c r="AJ19" s="8">
        <f t="shared" ca="1" si="38"/>
        <v>0</v>
      </c>
      <c r="AK19" s="280" t="e">
        <f t="shared" ca="1" si="85"/>
        <v>#DIV/0!</v>
      </c>
      <c r="AL19" s="275" t="e">
        <f t="shared" ca="1" si="39"/>
        <v>#DIV/0!</v>
      </c>
      <c r="AM19" s="275" t="e">
        <f t="shared" ca="1" si="40"/>
        <v>#DIV/0!</v>
      </c>
      <c r="AN19" s="275" t="e">
        <f t="shared" ca="1" si="41"/>
        <v>#DIV/0!</v>
      </c>
      <c r="AO19" s="275" t="e">
        <f t="shared" ca="1" si="42"/>
        <v>#DIV/0!</v>
      </c>
      <c r="AP19" s="278" t="e">
        <f t="shared" ca="1" si="43"/>
        <v>#DIV/0!</v>
      </c>
      <c r="AQ19" s="90" t="e">
        <f t="shared" ca="1" si="44"/>
        <v>#DIV/0!</v>
      </c>
      <c r="AR19" s="275">
        <f t="shared" ca="1" si="86"/>
        <v>0</v>
      </c>
      <c r="AS19" s="278">
        <f t="shared" ca="1" si="87"/>
        <v>0</v>
      </c>
      <c r="AT19" s="275" t="e">
        <f t="shared" ca="1" si="97"/>
        <v>#DIV/0!</v>
      </c>
      <c r="AU19" s="275" t="e">
        <f ca="1">(AC19-C19)*$CZ19*$AA19*$Y19/1000/1000</f>
        <v>#DIV/0!</v>
      </c>
      <c r="AV19" s="275" t="e">
        <f t="shared" ca="1" si="98"/>
        <v>#DIV/0!</v>
      </c>
      <c r="AW19" s="275" t="e">
        <f t="shared" ca="1" si="99"/>
        <v>#DIV/0!</v>
      </c>
      <c r="AX19" s="275" t="e">
        <f t="shared" ca="1" si="100"/>
        <v>#DIV/0!</v>
      </c>
      <c r="AY19" s="278" t="e">
        <f t="shared" ca="1" si="47"/>
        <v>#DIV/0!</v>
      </c>
      <c r="AZ19" s="61"/>
      <c r="BA19" s="276" t="e">
        <f t="shared" ca="1" si="96"/>
        <v>#DIV/0!</v>
      </c>
      <c r="BB19" s="276">
        <f t="shared" ca="1" si="48"/>
        <v>2337077.6102880002</v>
      </c>
      <c r="BC19" s="264"/>
      <c r="BD19" s="264"/>
      <c r="BE19" s="264"/>
      <c r="BF19" s="264"/>
      <c r="BG19" s="11"/>
      <c r="BH19" s="275">
        <f t="shared" ca="1" si="49"/>
        <v>0</v>
      </c>
      <c r="BI19" s="275">
        <f t="shared" ca="1" si="50"/>
        <v>0</v>
      </c>
      <c r="BJ19" s="275">
        <f t="shared" ca="1" si="51"/>
        <v>0</v>
      </c>
      <c r="BK19" s="275">
        <f t="shared" ca="1" si="52"/>
        <v>0</v>
      </c>
      <c r="BL19" s="275"/>
      <c r="BM19" s="275">
        <f t="shared" ca="1" si="53"/>
        <v>0</v>
      </c>
      <c r="BN19" s="8">
        <f t="shared" ca="1" si="54"/>
        <v>0</v>
      </c>
      <c r="BO19" s="11"/>
      <c r="BP19" s="78"/>
      <c r="BQ19" s="372"/>
      <c r="BR19" s="44">
        <f t="shared" ca="1" si="55"/>
        <v>0</v>
      </c>
      <c r="BS19" s="10">
        <f t="shared" si="9"/>
        <v>0</v>
      </c>
      <c r="BT19" s="513">
        <f t="shared" si="10"/>
        <v>0</v>
      </c>
      <c r="BU19" s="513">
        <f t="shared" ca="1" si="11"/>
        <v>0</v>
      </c>
      <c r="BV19" s="378">
        <f t="shared" ca="1" si="12"/>
        <v>0</v>
      </c>
      <c r="BW19" s="275"/>
      <c r="BX19" s="505"/>
      <c r="BY19" s="505"/>
      <c r="BZ19" s="504"/>
      <c r="CA19" s="507"/>
      <c r="CB19" s="356">
        <f>SUMPRODUCT(([178]БП!$C$245:$N$245=$L19)*([178]БП!$C$246:$N$246))</f>
        <v>0</v>
      </c>
      <c r="CC19" s="353">
        <f>SUMPRODUCT(('[178]факт+прогноз НДПИ'!$C$220:$N$220=$L19)*('[178]факт+прогноз НДПИ'!$C$221:$N$221))</f>
        <v>0</v>
      </c>
      <c r="CD19" s="353">
        <f>SUMPRODUCT(([178]БП_Urals!$C$245:$N$245=$L19)*([178]БП_Urals!$C$246:$N$246))-CB19</f>
        <v>0</v>
      </c>
      <c r="CE19" s="353">
        <f>SUMPRODUCT(([178]БП_курс!$C$245:$N$245=$L19)*([178]БП_курс!$C$246:$N$246))-CB19</f>
        <v>0</v>
      </c>
      <c r="CF19" s="353">
        <f t="shared" si="56"/>
        <v>0</v>
      </c>
      <c r="CG19" s="353"/>
      <c r="CH19" s="28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8">
        <f t="shared" ca="1" si="57"/>
        <v>0</v>
      </c>
      <c r="CJ19" s="28">
        <f t="shared" ca="1" si="58"/>
        <v>0</v>
      </c>
      <c r="CK19" s="28">
        <f t="shared" ca="1" si="59"/>
        <v>0</v>
      </c>
      <c r="CL19" s="41">
        <f t="shared" ca="1" si="60"/>
        <v>0</v>
      </c>
      <c r="CM19" s="809"/>
      <c r="CN19" s="11"/>
      <c r="CO19" s="807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#VALUE!</v>
      </c>
      <c r="CP19" s="41" t="e">
        <f t="shared" ca="1" si="61"/>
        <v>#VALUE!</v>
      </c>
      <c r="CQ19" s="274"/>
      <c r="CR19" s="282"/>
      <c r="CS19" s="275">
        <f t="shared" ca="1" si="62"/>
        <v>0</v>
      </c>
      <c r="CT19" s="275">
        <f t="shared" ca="1" si="63"/>
        <v>0</v>
      </c>
      <c r="CU19" s="275">
        <f t="shared" ca="1" si="64"/>
        <v>0</v>
      </c>
      <c r="CV19" s="551" t="e">
        <f t="shared" ca="1" si="65"/>
        <v>#DIV/0!</v>
      </c>
      <c r="CW19" s="551" t="e">
        <f t="shared" ca="1" si="88"/>
        <v>#DIV/0!</v>
      </c>
      <c r="CX19" s="275" t="e">
        <f t="shared" ca="1" si="66"/>
        <v>#DIV/0!</v>
      </c>
      <c r="CY19" s="278" t="e">
        <f t="shared" ca="1" si="67"/>
        <v>#DIV/0!</v>
      </c>
      <c r="CZ19" s="305" t="e">
        <f ca="1">AI19/AA19/BR19</f>
        <v>#DIV/0!</v>
      </c>
      <c r="DA19" s="762" t="e">
        <f t="shared" ca="1" si="69"/>
        <v>#DIV/0!</v>
      </c>
      <c r="DB19" s="762" t="e">
        <f t="shared" ca="1" si="70"/>
        <v>#DIV/0!</v>
      </c>
      <c r="DC19" s="762">
        <f t="shared" si="71"/>
        <v>0</v>
      </c>
      <c r="DD19" s="762" t="e">
        <f t="shared" ca="1" si="72"/>
        <v>#DIV/0!</v>
      </c>
      <c r="DE19" s="762" t="e">
        <f t="shared" ca="1" si="73"/>
        <v>#DIV/0!</v>
      </c>
      <c r="DF19" s="762" t="e">
        <f t="shared" ca="1" si="74"/>
        <v>#DIV/0!</v>
      </c>
      <c r="DG19" s="762" t="e">
        <f t="shared" ca="1" si="75"/>
        <v>#DIV/0!</v>
      </c>
      <c r="DH19" s="762">
        <f t="shared" ca="1" si="76"/>
        <v>0</v>
      </c>
      <c r="DI19" s="762">
        <f t="shared" ca="1" si="77"/>
        <v>0</v>
      </c>
      <c r="DJ19" s="762">
        <f t="shared" ca="1" si="78"/>
        <v>0</v>
      </c>
      <c r="DK19" s="762" t="e">
        <f t="shared" ca="1" si="79"/>
        <v>#DIV/0!</v>
      </c>
      <c r="DL19" s="762" t="e">
        <f t="shared" ca="1" si="80"/>
        <v>#VALUE!</v>
      </c>
      <c r="DM19" s="55" t="e">
        <f t="shared" ca="1" si="81"/>
        <v>#DIV/0!</v>
      </c>
      <c r="DN19" s="190"/>
    </row>
    <row r="20" spans="1:119" s="69" customFormat="1" ht="15.95" customHeight="1" x14ac:dyDescent="0.25">
      <c r="A20" s="1206" cm="1">
        <f t="array" ref="A20">IFERROR(_xlfn.FILTERXML(Лист1!Q25,"//Value"),A19)</f>
        <v>111.7564</v>
      </c>
      <c r="B20" s="18"/>
      <c r="C20" s="11"/>
      <c r="D20" s="11"/>
      <c r="E20" s="11"/>
      <c r="F20" s="11"/>
      <c r="G20" s="11"/>
      <c r="H20" s="18"/>
      <c r="I20" s="260"/>
      <c r="J20" s="1081" t="s">
        <v>386</v>
      </c>
      <c r="K20" s="631"/>
      <c r="L20" s="1218">
        <f t="shared" si="34"/>
        <v>44593</v>
      </c>
      <c r="M20" s="180">
        <v>44593</v>
      </c>
      <c r="N20" s="81">
        <v>44629</v>
      </c>
      <c r="O20" s="1219">
        <f t="shared" si="35"/>
        <v>44642</v>
      </c>
      <c r="P20" s="181">
        <v>44642</v>
      </c>
      <c r="Q20" s="659">
        <f t="shared" si="82"/>
        <v>49</v>
      </c>
      <c r="R20" s="679">
        <f t="shared" si="83"/>
        <v>13</v>
      </c>
      <c r="S20" s="684"/>
      <c r="T20" s="16"/>
      <c r="U20" s="16"/>
      <c r="V20" s="72"/>
      <c r="W20" s="11"/>
      <c r="X20" s="8" t="s">
        <v>400</v>
      </c>
      <c r="Y20" s="172" cm="1">
        <f t="array" ref="Y20">IFERROR(_xlfn.FILTERXML(Лист1!J38,"//Value"),Y19)</f>
        <v>77.470200000000006</v>
      </c>
      <c r="Z20" s="176" cm="1">
        <f t="array" ref="Z20">IFERROR(_xlfn.FILTERXML(Лист1!C49,"//Value"),Z19)</f>
        <v>104.6819</v>
      </c>
      <c r="AA20" s="458">
        <f t="shared" ca="1" si="84"/>
        <v>29299</v>
      </c>
      <c r="AB20" s="11"/>
      <c r="AC20" s="11"/>
      <c r="AD20" s="11"/>
      <c r="AE20" s="11"/>
      <c r="AF20" s="11"/>
      <c r="AG20" s="75">
        <f>SUM(AB20:AF20)-AD20</f>
        <v>0</v>
      </c>
      <c r="AH20" s="629"/>
      <c r="AI20" s="8">
        <f t="shared" ca="1" si="37"/>
        <v>0</v>
      </c>
      <c r="AJ20" s="8">
        <f t="shared" ca="1" si="38"/>
        <v>0</v>
      </c>
      <c r="AK20" s="280" t="e">
        <f t="shared" ca="1" si="85"/>
        <v>#DIV/0!</v>
      </c>
      <c r="AL20" s="275" t="e">
        <f t="shared" ca="1" si="39"/>
        <v>#DIV/0!</v>
      </c>
      <c r="AM20" s="275" t="e">
        <f t="shared" ca="1" si="40"/>
        <v>#DIV/0!</v>
      </c>
      <c r="AN20" s="275" t="e">
        <f t="shared" ca="1" si="41"/>
        <v>#DIV/0!</v>
      </c>
      <c r="AO20" s="275" t="e">
        <f t="shared" ca="1" si="42"/>
        <v>#DIV/0!</v>
      </c>
      <c r="AP20" s="278" t="e">
        <f t="shared" ca="1" si="43"/>
        <v>#DIV/0!</v>
      </c>
      <c r="AQ20" s="90" t="e">
        <f t="shared" ca="1" si="44"/>
        <v>#DIV/0!</v>
      </c>
      <c r="AR20" s="275">
        <f t="shared" ca="1" si="86"/>
        <v>0</v>
      </c>
      <c r="AS20" s="278">
        <f ca="1">AR20-AJ20</f>
        <v>0</v>
      </c>
      <c r="AT20" s="275" t="e">
        <f t="shared" ca="1" si="97"/>
        <v>#DIV/0!</v>
      </c>
      <c r="AU20" s="275"/>
      <c r="AV20" s="275" t="e">
        <f t="shared" ca="1" si="98"/>
        <v>#DIV/0!</v>
      </c>
      <c r="AW20" s="275" t="e">
        <f t="shared" ca="1" si="99"/>
        <v>#DIV/0!</v>
      </c>
      <c r="AX20" s="275" t="e">
        <f t="shared" ca="1" si="100"/>
        <v>#DIV/0!</v>
      </c>
      <c r="AY20" s="278" t="e">
        <f t="shared" ca="1" si="47"/>
        <v>#DIV/0!</v>
      </c>
      <c r="AZ20" s="61"/>
      <c r="BA20" s="276" t="e">
        <f t="shared" ca="1" si="96"/>
        <v>#DIV/0!</v>
      </c>
      <c r="BB20" s="276">
        <f t="shared" ca="1" si="48"/>
        <v>1725047.5362480001</v>
      </c>
      <c r="BC20" s="264"/>
      <c r="BD20" s="264"/>
      <c r="BE20" s="264"/>
      <c r="BF20" s="264"/>
      <c r="BG20" s="11"/>
      <c r="BH20" s="275">
        <f t="shared" ca="1" si="49"/>
        <v>0</v>
      </c>
      <c r="BI20" s="275">
        <f t="shared" ca="1" si="50"/>
        <v>0</v>
      </c>
      <c r="BJ20" s="275">
        <f t="shared" ca="1" si="51"/>
        <v>0</v>
      </c>
      <c r="BK20" s="275">
        <f t="shared" ca="1" si="52"/>
        <v>0</v>
      </c>
      <c r="BL20" s="275"/>
      <c r="BM20" s="275">
        <f t="shared" ca="1" si="53"/>
        <v>0</v>
      </c>
      <c r="BN20" s="8">
        <f t="shared" ca="1" si="54"/>
        <v>0</v>
      </c>
      <c r="BO20" s="11"/>
      <c r="BP20" s="78"/>
      <c r="BQ20" s="372"/>
      <c r="BR20" s="44">
        <f t="shared" ca="1" si="55"/>
        <v>0</v>
      </c>
      <c r="BS20" s="10">
        <f t="shared" si="9"/>
        <v>0</v>
      </c>
      <c r="BT20" s="513">
        <f t="shared" si="10"/>
        <v>0</v>
      </c>
      <c r="BU20" s="513">
        <f t="shared" ca="1" si="11"/>
        <v>0</v>
      </c>
      <c r="BV20" s="378">
        <f t="shared" ca="1" si="12"/>
        <v>0</v>
      </c>
      <c r="BW20" s="275"/>
      <c r="BX20" s="505"/>
      <c r="BY20" s="505"/>
      <c r="BZ20" s="504"/>
      <c r="CA20" s="507"/>
      <c r="CB20" s="356">
        <f>SUMPRODUCT(([178]БП!$C$245:$N$245=$L20)*([178]БП!$C$246:$N$246))</f>
        <v>0</v>
      </c>
      <c r="CC20" s="353">
        <f>SUMPRODUCT(('[178]факт+прогноз НДПИ'!$C$220:$N$220=$L20)*('[178]факт+прогноз НДПИ'!$C$221:$N$221))</f>
        <v>0</v>
      </c>
      <c r="CD20" s="353">
        <f>SUMPRODUCT(([178]БП_Urals!$C$245:$N$245=$L20)*([178]БП_Urals!$C$246:$N$246))-CB20</f>
        <v>0</v>
      </c>
      <c r="CE20" s="353">
        <f>SUMPRODUCT(([178]БП_курс!$C$245:$N$245=$L20)*([178]БП_курс!$C$246:$N$246))-CB20</f>
        <v>0</v>
      </c>
      <c r="CF20" s="353">
        <f t="shared" si="56"/>
        <v>0</v>
      </c>
      <c r="CG20" s="353"/>
      <c r="CH20" s="28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8">
        <f t="shared" ca="1" si="57"/>
        <v>0</v>
      </c>
      <c r="CJ20" s="28">
        <f t="shared" ca="1" si="58"/>
        <v>0</v>
      </c>
      <c r="CK20" s="28">
        <f t="shared" ca="1" si="59"/>
        <v>0</v>
      </c>
      <c r="CL20" s="41">
        <f t="shared" ca="1" si="60"/>
        <v>0</v>
      </c>
      <c r="CM20" s="809"/>
      <c r="CN20" s="11"/>
      <c r="CO20" s="807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#VALUE!</v>
      </c>
      <c r="CP20" s="41" t="e">
        <f t="shared" ca="1" si="61"/>
        <v>#VALUE!</v>
      </c>
      <c r="CQ20" s="274"/>
      <c r="CR20" s="282"/>
      <c r="CS20" s="275">
        <f t="shared" ca="1" si="62"/>
        <v>0</v>
      </c>
      <c r="CT20" s="275">
        <f t="shared" ca="1" si="63"/>
        <v>0</v>
      </c>
      <c r="CU20" s="275">
        <f t="shared" ca="1" si="64"/>
        <v>0</v>
      </c>
      <c r="CV20" s="551" t="e">
        <f t="shared" ca="1" si="65"/>
        <v>#DIV/0!</v>
      </c>
      <c r="CW20" s="551" t="e">
        <f t="shared" ca="1" si="88"/>
        <v>#DIV/0!</v>
      </c>
      <c r="CX20" s="275" t="e">
        <f t="shared" ca="1" si="66"/>
        <v>#DIV/0!</v>
      </c>
      <c r="CY20" s="278" t="e">
        <f t="shared" ca="1" si="67"/>
        <v>#DIV/0!</v>
      </c>
      <c r="CZ20" s="305" t="e">
        <f ca="1">AI20/AA20/(BR20+BP20)</f>
        <v>#DIV/0!</v>
      </c>
      <c r="DA20" s="762" t="e">
        <f t="shared" ca="1" si="69"/>
        <v>#DIV/0!</v>
      </c>
      <c r="DB20" s="762" t="e">
        <f t="shared" ca="1" si="70"/>
        <v>#DIV/0!</v>
      </c>
      <c r="DC20" s="762">
        <f t="shared" si="71"/>
        <v>0</v>
      </c>
      <c r="DD20" s="762" t="e">
        <f t="shared" ca="1" si="72"/>
        <v>#DIV/0!</v>
      </c>
      <c r="DE20" s="762" t="e">
        <f t="shared" ca="1" si="73"/>
        <v>#DIV/0!</v>
      </c>
      <c r="DF20" s="762" t="e">
        <f t="shared" ca="1" si="74"/>
        <v>#DIV/0!</v>
      </c>
      <c r="DG20" s="762" t="e">
        <f t="shared" ca="1" si="75"/>
        <v>#DIV/0!</v>
      </c>
      <c r="DH20" s="762">
        <f t="shared" ca="1" si="76"/>
        <v>0</v>
      </c>
      <c r="DI20" s="762">
        <f t="shared" ca="1" si="77"/>
        <v>0</v>
      </c>
      <c r="DJ20" s="762">
        <f t="shared" ca="1" si="78"/>
        <v>0</v>
      </c>
      <c r="DK20" s="762" t="e">
        <f t="shared" ca="1" si="79"/>
        <v>#DIV/0!</v>
      </c>
      <c r="DL20" s="762" t="e">
        <f t="shared" ca="1" si="80"/>
        <v>#VALUE!</v>
      </c>
      <c r="DM20" s="55" t="e">
        <f t="shared" ca="1" si="81"/>
        <v>#DIV/0!</v>
      </c>
      <c r="DN20" s="190"/>
    </row>
    <row r="21" spans="1:119" s="69" customFormat="1" ht="15.95" customHeight="1" x14ac:dyDescent="0.25">
      <c r="A21" s="1206" cm="1">
        <f t="array" ref="A21">IFERROR(_xlfn.FILTERXML(Лист1!Q26,"//Value"),A20)</f>
        <v>116.0847</v>
      </c>
      <c r="B21" s="18"/>
      <c r="C21" s="11"/>
      <c r="D21" s="11"/>
      <c r="E21" s="11"/>
      <c r="F21" s="11"/>
      <c r="G21" s="11"/>
      <c r="H21" s="18"/>
      <c r="I21" s="260"/>
      <c r="J21" s="89" t="s">
        <v>384</v>
      </c>
      <c r="K21" s="631"/>
      <c r="L21" s="1218">
        <f t="shared" si="34"/>
        <v>44594</v>
      </c>
      <c r="M21" s="180">
        <v>44594</v>
      </c>
      <c r="N21" s="81">
        <v>44630</v>
      </c>
      <c r="O21" s="1219">
        <f t="shared" si="35"/>
        <v>44643</v>
      </c>
      <c r="P21" s="181">
        <v>44643</v>
      </c>
      <c r="Q21" s="659">
        <f t="shared" si="82"/>
        <v>49</v>
      </c>
      <c r="R21" s="679">
        <f t="shared" si="83"/>
        <v>13</v>
      </c>
      <c r="S21" s="685"/>
      <c r="T21" s="707"/>
      <c r="U21" s="652"/>
      <c r="V21" s="652"/>
      <c r="W21" s="652"/>
      <c r="X21" s="8" t="s">
        <v>400</v>
      </c>
      <c r="Y21" s="172" cm="1">
        <f t="array" ref="Y21">IFERROR(_xlfn.FILTERXML(Лист1!J39,"//Value"),Y20)</f>
        <v>77.130200000000002</v>
      </c>
      <c r="Z21" s="176" cm="1">
        <f t="array" ref="Z21">IFERROR(_xlfn.FILTERXML(Лист1!C50,"//Value"),Z20)</f>
        <v>104.0741</v>
      </c>
      <c r="AA21" s="458">
        <f t="shared" ca="1" si="84"/>
        <v>38430</v>
      </c>
      <c r="AB21" s="11"/>
      <c r="AC21" s="11"/>
      <c r="AD21" s="11"/>
      <c r="AE21" s="11"/>
      <c r="AF21" s="11"/>
      <c r="AG21" s="75">
        <f>SUM(AB21:AF21)</f>
        <v>0</v>
      </c>
      <c r="AH21" s="629"/>
      <c r="AI21" s="8">
        <f t="shared" ca="1" si="37"/>
        <v>0</v>
      </c>
      <c r="AJ21" s="8">
        <f t="shared" ca="1" si="38"/>
        <v>0</v>
      </c>
      <c r="AK21" s="280" t="e">
        <f t="shared" ca="1" si="85"/>
        <v>#DIV/0!</v>
      </c>
      <c r="AL21" s="275" t="e">
        <f t="shared" ca="1" si="39"/>
        <v>#DIV/0!</v>
      </c>
      <c r="AM21" s="275" t="e">
        <f t="shared" ca="1" si="40"/>
        <v>#DIV/0!</v>
      </c>
      <c r="AN21" s="275" t="e">
        <f t="shared" ca="1" si="41"/>
        <v>#DIV/0!</v>
      </c>
      <c r="AO21" s="275" t="e">
        <f t="shared" ca="1" si="42"/>
        <v>#DIV/0!</v>
      </c>
      <c r="AP21" s="278" t="e">
        <f t="shared" ca="1" si="43"/>
        <v>#DIV/0!</v>
      </c>
      <c r="AQ21" s="90" t="e">
        <f t="shared" ca="1" si="44"/>
        <v>#DIV/0!</v>
      </c>
      <c r="AR21" s="275">
        <f t="shared" ca="1" si="86"/>
        <v>0</v>
      </c>
      <c r="AS21" s="278">
        <f ca="1">AR21-AJ21</f>
        <v>0</v>
      </c>
      <c r="AT21" s="275" t="e">
        <f t="shared" ca="1" si="97"/>
        <v>#DIV/0!</v>
      </c>
      <c r="AU21" s="275" t="e">
        <f ca="1">(AC21-C21)*$CZ21*$AA21*$Y21/1000/1000</f>
        <v>#DIV/0!</v>
      </c>
      <c r="AV21" s="275" t="e">
        <f t="shared" ca="1" si="98"/>
        <v>#DIV/0!</v>
      </c>
      <c r="AW21" s="275" t="e">
        <f t="shared" ca="1" si="99"/>
        <v>#DIV/0!</v>
      </c>
      <c r="AX21" s="275" t="e">
        <f t="shared" ca="1" si="100"/>
        <v>#DIV/0!</v>
      </c>
      <c r="AY21" s="278" t="e">
        <f t="shared" ca="1" si="47"/>
        <v>#DIV/0!</v>
      </c>
      <c r="AZ21" s="61"/>
      <c r="BA21" s="276" t="e">
        <f t="shared" ca="1" si="96"/>
        <v>#DIV/0!</v>
      </c>
      <c r="BB21" s="276">
        <f t="shared" ca="1" si="48"/>
        <v>2252726.3253600001</v>
      </c>
      <c r="BC21" s="264"/>
      <c r="BD21" s="264"/>
      <c r="BE21" s="264"/>
      <c r="BF21" s="264"/>
      <c r="BG21" s="11"/>
      <c r="BH21" s="275">
        <f t="shared" ca="1" si="49"/>
        <v>0</v>
      </c>
      <c r="BI21" s="275">
        <f t="shared" ca="1" si="50"/>
        <v>0</v>
      </c>
      <c r="BJ21" s="275">
        <f t="shared" ca="1" si="51"/>
        <v>0</v>
      </c>
      <c r="BK21" s="275">
        <f t="shared" ca="1" si="52"/>
        <v>0</v>
      </c>
      <c r="BL21" s="275"/>
      <c r="BM21" s="275">
        <f t="shared" ca="1" si="53"/>
        <v>0</v>
      </c>
      <c r="BN21" s="8">
        <f t="shared" ca="1" si="54"/>
        <v>0</v>
      </c>
      <c r="BO21" s="11"/>
      <c r="BP21" s="78"/>
      <c r="BQ21" s="372"/>
      <c r="BR21" s="44">
        <f t="shared" ca="1" si="55"/>
        <v>0</v>
      </c>
      <c r="BS21" s="10">
        <f t="shared" si="9"/>
        <v>0</v>
      </c>
      <c r="BT21" s="513">
        <f t="shared" si="10"/>
        <v>0</v>
      </c>
      <c r="BU21" s="513">
        <f t="shared" ca="1" si="11"/>
        <v>0</v>
      </c>
      <c r="BV21" s="378">
        <f t="shared" ca="1" si="12"/>
        <v>0</v>
      </c>
      <c r="BW21" s="275"/>
      <c r="BX21" s="505"/>
      <c r="BY21" s="505"/>
      <c r="BZ21" s="504"/>
      <c r="CA21" s="507"/>
      <c r="CB21" s="356">
        <f>SUMPRODUCT(([178]БП!$C$245:$N$245=$L21)*([178]БП!$C$246:$N$246))</f>
        <v>0</v>
      </c>
      <c r="CC21" s="353">
        <f>SUMPRODUCT(('[178]факт+прогноз НДПИ'!$C$220:$N$220=$L21)*('[178]факт+прогноз НДПИ'!$C$221:$N$221))</f>
        <v>0</v>
      </c>
      <c r="CD21" s="353">
        <f>SUMPRODUCT(([178]БП_Urals!$C$245:$N$245=$L21)*([178]БП_Urals!$C$246:$N$246))-CB21</f>
        <v>0</v>
      </c>
      <c r="CE21" s="353">
        <f>SUMPRODUCT(([178]БП_курс!$C$245:$N$245=$L21)*([178]БП_курс!$C$246:$N$246))-CB21</f>
        <v>0</v>
      </c>
      <c r="CF21" s="353">
        <f t="shared" si="56"/>
        <v>0</v>
      </c>
      <c r="CG21" s="353"/>
      <c r="CH21" s="28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8">
        <f t="shared" ca="1" si="57"/>
        <v>0</v>
      </c>
      <c r="CJ21" s="28">
        <f t="shared" ca="1" si="58"/>
        <v>0</v>
      </c>
      <c r="CK21" s="28">
        <f t="shared" ca="1" si="59"/>
        <v>0</v>
      </c>
      <c r="CL21" s="41">
        <f t="shared" ca="1" si="60"/>
        <v>0</v>
      </c>
      <c r="CM21" s="809"/>
      <c r="CN21" s="11"/>
      <c r="CO21" s="807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#VALUE!</v>
      </c>
      <c r="CP21" s="41" t="e">
        <f t="shared" ca="1" si="61"/>
        <v>#VALUE!</v>
      </c>
      <c r="CQ21" s="274"/>
      <c r="CR21" s="282"/>
      <c r="CS21" s="275">
        <f t="shared" ca="1" si="62"/>
        <v>0</v>
      </c>
      <c r="CT21" s="275">
        <f t="shared" ca="1" si="63"/>
        <v>0</v>
      </c>
      <c r="CU21" s="275">
        <f t="shared" ca="1" si="64"/>
        <v>0</v>
      </c>
      <c r="CV21" s="551" t="e">
        <f t="shared" ca="1" si="65"/>
        <v>#DIV/0!</v>
      </c>
      <c r="CW21" s="551" t="e">
        <f t="shared" ca="1" si="88"/>
        <v>#DIV/0!</v>
      </c>
      <c r="CX21" s="275" t="e">
        <f t="shared" ca="1" si="66"/>
        <v>#DIV/0!</v>
      </c>
      <c r="CY21" s="278" t="e">
        <f t="shared" ca="1" si="67"/>
        <v>#DIV/0!</v>
      </c>
      <c r="CZ21" s="305" t="e">
        <f ca="1">AI21/AA21/BR21</f>
        <v>#DIV/0!</v>
      </c>
      <c r="DA21" s="762" t="e">
        <f t="shared" ca="1" si="69"/>
        <v>#DIV/0!</v>
      </c>
      <c r="DB21" s="762" t="e">
        <f t="shared" ca="1" si="70"/>
        <v>#DIV/0!</v>
      </c>
      <c r="DC21" s="762">
        <f t="shared" si="71"/>
        <v>0</v>
      </c>
      <c r="DD21" s="762" t="e">
        <f t="shared" ca="1" si="72"/>
        <v>#DIV/0!</v>
      </c>
      <c r="DE21" s="762" t="e">
        <f t="shared" ca="1" si="73"/>
        <v>#DIV/0!</v>
      </c>
      <c r="DF21" s="762" t="e">
        <f t="shared" ca="1" si="74"/>
        <v>#DIV/0!</v>
      </c>
      <c r="DG21" s="762" t="e">
        <f t="shared" ca="1" si="75"/>
        <v>#DIV/0!</v>
      </c>
      <c r="DH21" s="762">
        <f t="shared" ca="1" si="76"/>
        <v>0</v>
      </c>
      <c r="DI21" s="762">
        <f t="shared" ca="1" si="77"/>
        <v>0</v>
      </c>
      <c r="DJ21" s="762">
        <f t="shared" ca="1" si="78"/>
        <v>0</v>
      </c>
      <c r="DK21" s="762" t="e">
        <f t="shared" ca="1" si="79"/>
        <v>#DIV/0!</v>
      </c>
      <c r="DL21" s="762" t="e">
        <f t="shared" ca="1" si="80"/>
        <v>#VALUE!</v>
      </c>
      <c r="DM21" s="55" t="e">
        <f t="shared" ca="1" si="81"/>
        <v>#DIV/0!</v>
      </c>
      <c r="DN21" s="190"/>
    </row>
    <row r="22" spans="1:119" s="69" customFormat="1" ht="15.95" customHeight="1" x14ac:dyDescent="0.25">
      <c r="A22" s="1206" cm="1">
        <f t="array" ref="A22">IFERROR(_xlfn.FILTERXML(Лист1!Q27,"//Value"),A21)</f>
        <v>120.3785</v>
      </c>
      <c r="B22" s="18"/>
      <c r="C22" s="11"/>
      <c r="D22" s="11"/>
      <c r="E22" s="11"/>
      <c r="F22" s="11"/>
      <c r="G22" s="11"/>
      <c r="H22" s="18"/>
      <c r="I22" s="11"/>
      <c r="J22" s="286" t="s">
        <v>384</v>
      </c>
      <c r="K22" s="61"/>
      <c r="L22" s="1218">
        <f t="shared" si="34"/>
        <v>44595</v>
      </c>
      <c r="M22" s="180">
        <v>44595</v>
      </c>
      <c r="N22" s="81">
        <v>44631</v>
      </c>
      <c r="O22" s="1219">
        <f t="shared" si="35"/>
        <v>44644</v>
      </c>
      <c r="P22" s="181">
        <v>44644</v>
      </c>
      <c r="Q22" s="16">
        <f t="shared" si="82"/>
        <v>49</v>
      </c>
      <c r="R22" s="679">
        <f t="shared" si="83"/>
        <v>13</v>
      </c>
      <c r="S22" s="681"/>
      <c r="T22" s="16"/>
      <c r="U22" s="16"/>
      <c r="V22" s="16"/>
      <c r="W22" s="16"/>
      <c r="X22" s="8" t="s">
        <v>400</v>
      </c>
      <c r="Y22" s="172" cm="1">
        <f t="array" ref="Y22">IFERROR(_xlfn.FILTERXML(Лист1!J40,"//Value"),Y21)</f>
        <v>76.484899999999996</v>
      </c>
      <c r="Z22" s="176" cm="1">
        <f t="array" ref="Z22">IFERROR(_xlfn.FILTERXML(Лист1!C51,"//Value"),Z21)</f>
        <v>103.1618</v>
      </c>
      <c r="AA22" s="458">
        <f t="shared" ca="1" si="84"/>
        <v>25748</v>
      </c>
      <c r="AB22" s="11"/>
      <c r="AC22" s="11"/>
      <c r="AD22" s="11"/>
      <c r="AE22" s="11"/>
      <c r="AF22" s="11"/>
      <c r="AG22" s="75">
        <f>SUM(AB22:AF22)-AD22</f>
        <v>0</v>
      </c>
      <c r="AH22" s="18"/>
      <c r="AI22" s="8">
        <f t="shared" ca="1" si="37"/>
        <v>0</v>
      </c>
      <c r="AJ22" s="8">
        <f t="shared" ca="1" si="38"/>
        <v>0</v>
      </c>
      <c r="AK22" s="61" t="e">
        <f t="shared" ca="1" si="85"/>
        <v>#DIV/0!</v>
      </c>
      <c r="AL22" s="91" t="e">
        <f t="shared" ca="1" si="39"/>
        <v>#DIV/0!</v>
      </c>
      <c r="AM22" s="91" t="e">
        <f t="shared" ca="1" si="40"/>
        <v>#DIV/0!</v>
      </c>
      <c r="AN22" s="91" t="e">
        <f t="shared" ca="1" si="41"/>
        <v>#DIV/0!</v>
      </c>
      <c r="AO22" s="91" t="e">
        <f t="shared" ca="1" si="42"/>
        <v>#DIV/0!</v>
      </c>
      <c r="AP22" s="287" t="e">
        <f t="shared" ca="1" si="43"/>
        <v>#DIV/0!</v>
      </c>
      <c r="AQ22" s="86" t="e">
        <f t="shared" ca="1" si="44"/>
        <v>#DIV/0!</v>
      </c>
      <c r="AR22" s="91">
        <f t="shared" ca="1" si="86"/>
        <v>0</v>
      </c>
      <c r="AS22" s="287">
        <f ca="1">AR22-AJ22</f>
        <v>0</v>
      </c>
      <c r="AT22" s="91" t="e">
        <f t="shared" ca="1" si="97"/>
        <v>#DIV/0!</v>
      </c>
      <c r="AU22" s="91"/>
      <c r="AV22" s="91" t="e">
        <f t="shared" ca="1" si="98"/>
        <v>#DIV/0!</v>
      </c>
      <c r="AW22" s="91" t="e">
        <f t="shared" ca="1" si="99"/>
        <v>#DIV/0!</v>
      </c>
      <c r="AX22" s="91" t="e">
        <f t="shared" ca="1" si="100"/>
        <v>#DIV/0!</v>
      </c>
      <c r="AY22" s="287" t="e">
        <f t="shared" ca="1" si="47"/>
        <v>#DIV/0!</v>
      </c>
      <c r="AZ22" s="61"/>
      <c r="BA22" s="276" t="e">
        <f t="shared" ca="1" si="96"/>
        <v>#DIV/0!</v>
      </c>
      <c r="BB22" s="276">
        <f t="shared" ca="1" si="48"/>
        <v>1496693.2359519999</v>
      </c>
      <c r="BC22" s="87"/>
      <c r="BD22" s="87"/>
      <c r="BE22" s="87"/>
      <c r="BF22" s="87"/>
      <c r="BG22" s="11"/>
      <c r="BH22" s="91">
        <f t="shared" ca="1" si="49"/>
        <v>0</v>
      </c>
      <c r="BI22" s="91">
        <f t="shared" ca="1" si="50"/>
        <v>0</v>
      </c>
      <c r="BJ22" s="275">
        <f t="shared" ca="1" si="51"/>
        <v>0</v>
      </c>
      <c r="BK22" s="91">
        <f t="shared" ca="1" si="52"/>
        <v>0</v>
      </c>
      <c r="BL22" s="91"/>
      <c r="BM22" s="91">
        <f t="shared" ca="1" si="53"/>
        <v>0</v>
      </c>
      <c r="BN22" s="8">
        <f t="shared" ca="1" si="54"/>
        <v>0</v>
      </c>
      <c r="BO22" s="11"/>
      <c r="BP22" s="11"/>
      <c r="BQ22" s="372"/>
      <c r="BR22" s="44">
        <f t="shared" ca="1" si="55"/>
        <v>0</v>
      </c>
      <c r="BS22" s="10">
        <f t="shared" si="9"/>
        <v>0</v>
      </c>
      <c r="BT22" s="513">
        <f t="shared" si="10"/>
        <v>0</v>
      </c>
      <c r="BU22" s="513">
        <f t="shared" ca="1" si="11"/>
        <v>0</v>
      </c>
      <c r="BV22" s="378">
        <f t="shared" ca="1" si="12"/>
        <v>0</v>
      </c>
      <c r="BW22" s="91"/>
      <c r="BX22" s="506"/>
      <c r="BY22" s="506"/>
      <c r="BZ22" s="508"/>
      <c r="CA22" s="507"/>
      <c r="CB22" s="61">
        <f>SUMPRODUCT(([178]БП!$C$245:$N$245=$L22)*([178]БП!$C$246:$N$246))</f>
        <v>0</v>
      </c>
      <c r="CC22" s="360">
        <f>SUMPRODUCT(('[178]факт+прогноз НДПИ'!$C$220:$N$220=$L22)*('[178]факт+прогноз НДПИ'!$C$221:$N$221))</f>
        <v>0</v>
      </c>
      <c r="CD22" s="360">
        <f>SUMPRODUCT(([178]БП_Urals!$C$245:$N$245=$L22)*([178]БП_Urals!$C$246:$N$246))-CB22</f>
        <v>0</v>
      </c>
      <c r="CE22" s="360">
        <f>SUMPRODUCT(([178]БП_курс!$C$245:$N$245=$L22)*([178]БП_курс!$C$246:$N$246))-CB22</f>
        <v>0</v>
      </c>
      <c r="CF22" s="360">
        <f t="shared" si="56"/>
        <v>0</v>
      </c>
      <c r="CG22" s="360"/>
      <c r="CH22" s="16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ca="1" si="57"/>
        <v>0</v>
      </c>
      <c r="CJ22" s="16">
        <f t="shared" ca="1" si="58"/>
        <v>0</v>
      </c>
      <c r="CK22" s="16">
        <f t="shared" ca="1" si="59"/>
        <v>0</v>
      </c>
      <c r="CL22" s="40">
        <f t="shared" ca="1" si="60"/>
        <v>0</v>
      </c>
      <c r="CM22" s="18"/>
      <c r="CN22" s="11"/>
      <c r="CO22" s="16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#VALUE!</v>
      </c>
      <c r="CP22" s="40" t="e">
        <f t="shared" ca="1" si="61"/>
        <v>#VALUE!</v>
      </c>
      <c r="CQ22" s="274"/>
      <c r="CR22" s="14"/>
      <c r="CS22" s="91">
        <f t="shared" ca="1" si="62"/>
        <v>0</v>
      </c>
      <c r="CT22" s="91">
        <f t="shared" ca="1" si="63"/>
        <v>0</v>
      </c>
      <c r="CU22" s="91">
        <f t="shared" ca="1" si="64"/>
        <v>0</v>
      </c>
      <c r="CV22" s="16" t="e">
        <f t="shared" ca="1" si="65"/>
        <v>#DIV/0!</v>
      </c>
      <c r="CW22" s="16" t="e">
        <f t="shared" ca="1" si="88"/>
        <v>#DIV/0!</v>
      </c>
      <c r="CX22" s="91" t="e">
        <f ca="1">CV22-CT22</f>
        <v>#DIV/0!</v>
      </c>
      <c r="CY22" s="287" t="e">
        <f t="shared" ca="1" si="67"/>
        <v>#DIV/0!</v>
      </c>
      <c r="CZ22" s="305" t="e">
        <f ca="1">AI22/AA22/(BR22+BP22)</f>
        <v>#DIV/0!</v>
      </c>
      <c r="DA22" s="762" t="e">
        <f t="shared" ca="1" si="69"/>
        <v>#DIV/0!</v>
      </c>
      <c r="DB22" s="762" t="e">
        <f t="shared" ca="1" si="70"/>
        <v>#DIV/0!</v>
      </c>
      <c r="DC22" s="762">
        <f t="shared" si="71"/>
        <v>0</v>
      </c>
      <c r="DD22" s="762" t="e">
        <f t="shared" ca="1" si="72"/>
        <v>#DIV/0!</v>
      </c>
      <c r="DE22" s="762" t="e">
        <f t="shared" ca="1" si="73"/>
        <v>#DIV/0!</v>
      </c>
      <c r="DF22" s="762" t="e">
        <f t="shared" ca="1" si="74"/>
        <v>#DIV/0!</v>
      </c>
      <c r="DG22" s="762" t="e">
        <f t="shared" ca="1" si="75"/>
        <v>#DIV/0!</v>
      </c>
      <c r="DH22" s="762">
        <f t="shared" ca="1" si="76"/>
        <v>0</v>
      </c>
      <c r="DI22" s="762">
        <f t="shared" ca="1" si="77"/>
        <v>0</v>
      </c>
      <c r="DJ22" s="762">
        <f t="shared" ca="1" si="78"/>
        <v>0</v>
      </c>
      <c r="DK22" s="762" t="e">
        <f t="shared" ca="1" si="79"/>
        <v>#DIV/0!</v>
      </c>
      <c r="DL22" s="762" t="e">
        <f t="shared" ca="1" si="80"/>
        <v>#VALUE!</v>
      </c>
      <c r="DM22" s="55" t="e">
        <f t="shared" ca="1" si="81"/>
        <v>#DIV/0!</v>
      </c>
      <c r="DN22" s="190"/>
    </row>
    <row r="23" spans="1:119" s="69" customFormat="1" ht="15.95" customHeight="1" x14ac:dyDescent="0.25">
      <c r="A23" s="1206" cm="1">
        <f t="array" ref="A23">IFERROR(_xlfn.FILTERXML(Лист1!Q28,"//Value"),A22)</f>
        <v>120.3785</v>
      </c>
      <c r="B23" s="18"/>
      <c r="C23" s="11"/>
      <c r="D23" s="11"/>
      <c r="E23" s="11"/>
      <c r="F23" s="11"/>
      <c r="G23" s="11"/>
      <c r="H23" s="18"/>
      <c r="I23" s="11"/>
      <c r="J23" s="286" t="s">
        <v>387</v>
      </c>
      <c r="K23" s="61"/>
      <c r="L23" s="1218">
        <f t="shared" si="34"/>
        <v>44596</v>
      </c>
      <c r="M23" s="180">
        <v>44596</v>
      </c>
      <c r="N23" s="81">
        <v>44634</v>
      </c>
      <c r="O23" s="1219">
        <f t="shared" si="35"/>
        <v>44645</v>
      </c>
      <c r="P23" s="181">
        <v>44645</v>
      </c>
      <c r="Q23" s="16">
        <f t="shared" si="82"/>
        <v>49</v>
      </c>
      <c r="R23" s="679">
        <f t="shared" si="83"/>
        <v>11</v>
      </c>
      <c r="S23" s="681"/>
      <c r="T23" s="16"/>
      <c r="U23" s="16"/>
      <c r="V23" s="16"/>
      <c r="W23" s="16"/>
      <c r="X23" s="8" t="s">
        <v>400</v>
      </c>
      <c r="Y23" s="172" cm="1">
        <f t="array" ref="Y23">IFERROR(_xlfn.FILTERXML(Лист1!J41,"//Value"),Y22)</f>
        <v>76.650099999999995</v>
      </c>
      <c r="Z23" s="176" cm="1">
        <f t="array" ref="Z23">IFERROR(_xlfn.FILTERXML(Лист1!C52,"//Value"),Z22)</f>
        <v>96.0458</v>
      </c>
      <c r="AA23" s="458">
        <f t="shared" ca="1" si="84"/>
        <v>36970</v>
      </c>
      <c r="AB23" s="11"/>
      <c r="AC23" s="11"/>
      <c r="AD23" s="11"/>
      <c r="AE23" s="11"/>
      <c r="AF23" s="11"/>
      <c r="AG23" s="75">
        <f>SUM(AB23:AF23)</f>
        <v>0</v>
      </c>
      <c r="AH23" s="18"/>
      <c r="AI23" s="8">
        <f t="shared" ca="1" si="37"/>
        <v>0</v>
      </c>
      <c r="AJ23" s="8">
        <f t="shared" ca="1" si="38"/>
        <v>0</v>
      </c>
      <c r="AK23" s="61" t="e">
        <f t="shared" ca="1" si="85"/>
        <v>#DIV/0!</v>
      </c>
      <c r="AL23" s="91" t="e">
        <f t="shared" ca="1" si="39"/>
        <v>#DIV/0!</v>
      </c>
      <c r="AM23" s="91" t="e">
        <f t="shared" ca="1" si="40"/>
        <v>#DIV/0!</v>
      </c>
      <c r="AN23" s="91" t="e">
        <f t="shared" ca="1" si="41"/>
        <v>#DIV/0!</v>
      </c>
      <c r="AO23" s="91" t="e">
        <f t="shared" ca="1" si="42"/>
        <v>#DIV/0!</v>
      </c>
      <c r="AP23" s="287" t="e">
        <f t="shared" ca="1" si="43"/>
        <v>#DIV/0!</v>
      </c>
      <c r="AQ23" s="86" t="e">
        <f t="shared" ca="1" si="44"/>
        <v>#DIV/0!</v>
      </c>
      <c r="AR23" s="91">
        <f t="shared" ca="1" si="86"/>
        <v>0</v>
      </c>
      <c r="AS23" s="287">
        <f ca="1">AR23-AJ23</f>
        <v>0</v>
      </c>
      <c r="AT23" s="91" t="e">
        <f t="shared" ca="1" si="97"/>
        <v>#DIV/0!</v>
      </c>
      <c r="AU23" s="91" t="e">
        <f ca="1">(AC23-C23)*$CZ23*$AA23*$Y23/1000/1000</f>
        <v>#DIV/0!</v>
      </c>
      <c r="AV23" s="91" t="e">
        <f t="shared" ca="1" si="98"/>
        <v>#DIV/0!</v>
      </c>
      <c r="AW23" s="91" t="e">
        <f t="shared" ca="1" si="99"/>
        <v>#DIV/0!</v>
      </c>
      <c r="AX23" s="91" t="e">
        <f t="shared" ca="1" si="100"/>
        <v>#DIV/0!</v>
      </c>
      <c r="AY23" s="287" t="e">
        <f t="shared" ca="1" si="47"/>
        <v>#DIV/0!</v>
      </c>
      <c r="AZ23" s="61"/>
      <c r="BA23" s="276" t="e">
        <f t="shared" ca="1" si="96"/>
        <v>#DIV/0!</v>
      </c>
      <c r="BB23" s="276">
        <f t="shared" ca="1" si="48"/>
        <v>2153653.1897200001</v>
      </c>
      <c r="BC23" s="87"/>
      <c r="BD23" s="87"/>
      <c r="BE23" s="87"/>
      <c r="BF23" s="87"/>
      <c r="BG23" s="11"/>
      <c r="BH23" s="91">
        <f t="shared" ca="1" si="49"/>
        <v>0</v>
      </c>
      <c r="BI23" s="91">
        <f t="shared" ca="1" si="50"/>
        <v>0</v>
      </c>
      <c r="BJ23" s="275">
        <f t="shared" ca="1" si="51"/>
        <v>0</v>
      </c>
      <c r="BK23" s="91">
        <f t="shared" ca="1" si="52"/>
        <v>0</v>
      </c>
      <c r="BL23" s="91"/>
      <c r="BM23" s="91">
        <f ca="1">BJ23-BL23</f>
        <v>0</v>
      </c>
      <c r="BN23" s="8">
        <f t="shared" ca="1" si="54"/>
        <v>0</v>
      </c>
      <c r="BO23" s="11"/>
      <c r="BP23" s="88"/>
      <c r="BQ23" s="372"/>
      <c r="BR23" s="44">
        <f t="shared" ca="1" si="55"/>
        <v>0</v>
      </c>
      <c r="BS23" s="10">
        <f t="shared" si="9"/>
        <v>0</v>
      </c>
      <c r="BT23" s="513">
        <f t="shared" si="10"/>
        <v>0</v>
      </c>
      <c r="BU23" s="513">
        <f t="shared" ca="1" si="11"/>
        <v>0</v>
      </c>
      <c r="BV23" s="378">
        <f t="shared" ca="1" si="12"/>
        <v>0</v>
      </c>
      <c r="BW23" s="91"/>
      <c r="BX23" s="506"/>
      <c r="BY23" s="506"/>
      <c r="BZ23" s="508"/>
      <c r="CA23" s="507"/>
      <c r="CB23" s="61">
        <f>SUMPRODUCT(([178]БП!$C$245:$N$245=$L23)*([178]БП!$C$246:$N$246))</f>
        <v>0</v>
      </c>
      <c r="CC23" s="360">
        <f>SUMPRODUCT(('[178]факт+прогноз НДПИ'!$C$220:$N$220=$L23)*('[178]факт+прогноз НДПИ'!$C$221:$N$221))</f>
        <v>0</v>
      </c>
      <c r="CD23" s="360">
        <f>SUMPRODUCT(([178]БП_Urals!$C$245:$N$245=$L23)*([178]БП_Urals!$C$246:$N$246))-CB23</f>
        <v>0</v>
      </c>
      <c r="CE23" s="360">
        <f>SUMPRODUCT(([178]БП_курс!$C$245:$N$245=$L23)*([178]БП_курс!$C$246:$N$246))-CB23</f>
        <v>0</v>
      </c>
      <c r="CF23" s="360">
        <f t="shared" si="56"/>
        <v>0</v>
      </c>
      <c r="CG23" s="360"/>
      <c r="CH23" s="16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ca="1" si="57"/>
        <v>0</v>
      </c>
      <c r="CJ23" s="16">
        <f t="shared" ca="1" si="58"/>
        <v>0</v>
      </c>
      <c r="CK23" s="16">
        <f t="shared" ca="1" si="59"/>
        <v>0</v>
      </c>
      <c r="CL23" s="40">
        <f t="shared" ca="1" si="60"/>
        <v>0</v>
      </c>
      <c r="CM23" s="18"/>
      <c r="CN23" s="11"/>
      <c r="CO23" s="16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#VALUE!</v>
      </c>
      <c r="CP23" s="40" t="e">
        <f t="shared" ca="1" si="61"/>
        <v>#VALUE!</v>
      </c>
      <c r="CQ23" s="274"/>
      <c r="CR23" s="14"/>
      <c r="CS23" s="91">
        <f t="shared" ca="1" si="62"/>
        <v>0</v>
      </c>
      <c r="CT23" s="91">
        <f t="shared" ca="1" si="63"/>
        <v>0</v>
      </c>
      <c r="CU23" s="91">
        <f t="shared" ca="1" si="64"/>
        <v>0</v>
      </c>
      <c r="CV23" s="16" t="e">
        <f t="shared" ca="1" si="65"/>
        <v>#DIV/0!</v>
      </c>
      <c r="CW23" s="16" t="e">
        <f t="shared" ca="1" si="88"/>
        <v>#DIV/0!</v>
      </c>
      <c r="CX23" s="91" t="e">
        <f ca="1">CV23-CT23</f>
        <v>#DIV/0!</v>
      </c>
      <c r="CY23" s="287" t="e">
        <f t="shared" ca="1" si="67"/>
        <v>#DIV/0!</v>
      </c>
      <c r="CZ23" s="305" t="e">
        <f ca="1">AI23/AA23/BR23</f>
        <v>#DIV/0!</v>
      </c>
      <c r="DA23" s="762" t="e">
        <f t="shared" ca="1" si="69"/>
        <v>#DIV/0!</v>
      </c>
      <c r="DB23" s="762" t="e">
        <f t="shared" ca="1" si="70"/>
        <v>#DIV/0!</v>
      </c>
      <c r="DC23" s="762">
        <f t="shared" si="71"/>
        <v>0</v>
      </c>
      <c r="DD23" s="762" t="e">
        <f t="shared" ca="1" si="72"/>
        <v>#DIV/0!</v>
      </c>
      <c r="DE23" s="762" t="e">
        <f t="shared" ca="1" si="73"/>
        <v>#DIV/0!</v>
      </c>
      <c r="DF23" s="762" t="e">
        <f t="shared" ca="1" si="74"/>
        <v>#DIV/0!</v>
      </c>
      <c r="DG23" s="762" t="e">
        <f t="shared" ca="1" si="75"/>
        <v>#DIV/0!</v>
      </c>
      <c r="DH23" s="762">
        <f t="shared" ca="1" si="76"/>
        <v>0</v>
      </c>
      <c r="DI23" s="762">
        <f t="shared" ca="1" si="77"/>
        <v>0</v>
      </c>
      <c r="DJ23" s="762">
        <f t="shared" ca="1" si="78"/>
        <v>0</v>
      </c>
      <c r="DK23" s="762" t="e">
        <f t="shared" ca="1" si="79"/>
        <v>#DIV/0!</v>
      </c>
      <c r="DL23" s="762" t="e">
        <f t="shared" ca="1" si="80"/>
        <v>#VALUE!</v>
      </c>
      <c r="DM23" s="55" t="e">
        <f t="shared" ca="1" si="81"/>
        <v>#DIV/0!</v>
      </c>
      <c r="DN23" s="68"/>
    </row>
    <row r="24" spans="1:119" s="69" customFormat="1" ht="15.95" customHeight="1" x14ac:dyDescent="0.25">
      <c r="A24" s="1206" cm="1">
        <f t="array" ref="A24">IFERROR(_xlfn.FILTERXML(Лист1!Q29,"//Value"),A23)</f>
        <v>115.19629999999999</v>
      </c>
      <c r="B24" s="18"/>
      <c r="C24" s="11"/>
      <c r="D24" s="11"/>
      <c r="E24" s="11"/>
      <c r="F24" s="11"/>
      <c r="G24" s="11"/>
      <c r="H24" s="18"/>
      <c r="I24" s="260"/>
      <c r="J24" s="89" t="s">
        <v>384</v>
      </c>
      <c r="K24" s="631"/>
      <c r="L24" s="1218">
        <f t="shared" si="34"/>
        <v>44600</v>
      </c>
      <c r="M24" s="180">
        <v>44600</v>
      </c>
      <c r="N24" s="81">
        <v>44635</v>
      </c>
      <c r="O24" s="1219">
        <f t="shared" si="35"/>
        <v>44648</v>
      </c>
      <c r="P24" s="181">
        <v>44648</v>
      </c>
      <c r="Q24" s="659">
        <f t="shared" si="82"/>
        <v>48</v>
      </c>
      <c r="R24" s="679">
        <f t="shared" si="83"/>
        <v>13</v>
      </c>
      <c r="S24" s="683"/>
      <c r="T24" s="707"/>
      <c r="U24" s="652"/>
      <c r="V24" s="652"/>
      <c r="W24" s="652"/>
      <c r="X24" s="8" t="s">
        <v>400</v>
      </c>
      <c r="Y24" s="172" cm="1">
        <f t="array" ref="Y24">IFERROR(_xlfn.FILTERXML(Лист1!J42,"//Value"),Y23)</f>
        <v>75.680599999999998</v>
      </c>
      <c r="Z24" s="176" cm="1">
        <f t="array" ref="Z24">IFERROR(_xlfn.FILTERXML(Лист1!C53,"//Value"),Z23)</f>
        <v>96.0458</v>
      </c>
      <c r="AA24" s="458">
        <f t="shared" ca="1" si="84"/>
        <v>25439</v>
      </c>
      <c r="AB24" s="11"/>
      <c r="AC24" s="11"/>
      <c r="AD24" s="11"/>
      <c r="AE24" s="11"/>
      <c r="AF24" s="11"/>
      <c r="AG24" s="75">
        <f>SUM(AB24:AF24)</f>
        <v>0</v>
      </c>
      <c r="AH24" s="627"/>
      <c r="AI24" s="8">
        <f t="shared" ca="1" si="37"/>
        <v>0</v>
      </c>
      <c r="AJ24" s="8">
        <f t="shared" ca="1" si="38"/>
        <v>0</v>
      </c>
      <c r="AK24" s="61" t="e">
        <f t="shared" ca="1" si="85"/>
        <v>#DIV/0!</v>
      </c>
      <c r="AL24" s="275" t="e">
        <f t="shared" ca="1" si="39"/>
        <v>#DIV/0!</v>
      </c>
      <c r="AM24" s="275" t="e">
        <f t="shared" ca="1" si="40"/>
        <v>#DIV/0!</v>
      </c>
      <c r="AN24" s="275" t="e">
        <f t="shared" ca="1" si="41"/>
        <v>#DIV/0!</v>
      </c>
      <c r="AO24" s="275" t="e">
        <f t="shared" ca="1" si="42"/>
        <v>#DIV/0!</v>
      </c>
      <c r="AP24" s="278" t="e">
        <f t="shared" ca="1" si="43"/>
        <v>#DIV/0!</v>
      </c>
      <c r="AQ24" s="90" t="e">
        <f t="shared" ca="1" si="44"/>
        <v>#DIV/0!</v>
      </c>
      <c r="AR24" s="275">
        <f t="shared" ca="1" si="86"/>
        <v>0</v>
      </c>
      <c r="AS24" s="278">
        <f ca="1">AR24-AJ24</f>
        <v>0</v>
      </c>
      <c r="AT24" s="91" t="e">
        <f t="shared" ca="1" si="97"/>
        <v>#DIV/0!</v>
      </c>
      <c r="AU24" s="275" t="e">
        <f ca="1">(AC24-C24)*$CZ24*$AA24*$Y24/1000/1000</f>
        <v>#DIV/0!</v>
      </c>
      <c r="AV24" s="275" t="e">
        <f t="shared" ca="1" si="98"/>
        <v>#DIV/0!</v>
      </c>
      <c r="AW24" s="275" t="e">
        <f t="shared" ca="1" si="99"/>
        <v>#DIV/0!</v>
      </c>
      <c r="AX24" s="275" t="e">
        <f t="shared" ca="1" si="100"/>
        <v>#DIV/0!</v>
      </c>
      <c r="AY24" s="278" t="e">
        <f t="shared" ca="1" si="47"/>
        <v>#DIV/0!</v>
      </c>
      <c r="AZ24" s="61"/>
      <c r="BA24" s="276" t="e">
        <f t="shared" ca="1" si="96"/>
        <v>#DIV/0!</v>
      </c>
      <c r="BB24" s="276">
        <f t="shared" ca="1" si="48"/>
        <v>1463181.475384</v>
      </c>
      <c r="BC24" s="264"/>
      <c r="BD24" s="264"/>
      <c r="BE24" s="264"/>
      <c r="BF24" s="264"/>
      <c r="BG24" s="11"/>
      <c r="BH24" s="275">
        <f t="shared" ca="1" si="49"/>
        <v>0</v>
      </c>
      <c r="BI24" s="275">
        <f t="shared" ca="1" si="50"/>
        <v>0</v>
      </c>
      <c r="BJ24" s="275">
        <f t="shared" ca="1" si="51"/>
        <v>0</v>
      </c>
      <c r="BK24" s="275">
        <f t="shared" ca="1" si="52"/>
        <v>0</v>
      </c>
      <c r="BL24" s="275"/>
      <c r="BM24" s="275">
        <f t="shared" ca="1" si="53"/>
        <v>0</v>
      </c>
      <c r="BN24" s="8">
        <f t="shared" ca="1" si="54"/>
        <v>0</v>
      </c>
      <c r="BO24" s="11"/>
      <c r="BP24" s="78"/>
      <c r="BQ24" s="372"/>
      <c r="BR24" s="44">
        <f t="shared" ca="1" si="55"/>
        <v>0</v>
      </c>
      <c r="BS24" s="10">
        <f t="shared" si="9"/>
        <v>0</v>
      </c>
      <c r="BT24" s="513">
        <f t="shared" si="10"/>
        <v>0</v>
      </c>
      <c r="BU24" s="513">
        <f t="shared" ca="1" si="11"/>
        <v>0</v>
      </c>
      <c r="BV24" s="378">
        <f t="shared" ca="1" si="12"/>
        <v>0</v>
      </c>
      <c r="BW24" s="275"/>
      <c r="BX24" s="505"/>
      <c r="BY24" s="505"/>
      <c r="BZ24" s="504"/>
      <c r="CA24" s="507"/>
      <c r="CB24" s="61">
        <f>SUMPRODUCT(([178]БП!$C$245:$N$245=$L24)*([178]БП!$C$246:$N$246))</f>
        <v>0</v>
      </c>
      <c r="CC24" s="353">
        <f>SUMPRODUCT(('[178]факт+прогноз НДПИ'!$C$220:$N$220=$L24)*('[178]факт+прогноз НДПИ'!$C$221:$N$221))</f>
        <v>0</v>
      </c>
      <c r="CD24" s="353">
        <f>SUMPRODUCT(([178]БП_Urals!$C$245:$N$245=$L24)*([178]БП_Urals!$C$246:$N$246))-CB24</f>
        <v>0</v>
      </c>
      <c r="CE24" s="353">
        <f>SUMPRODUCT(([178]БП_курс!$C$245:$N$245=$L24)*([178]БП_курс!$C$246:$N$246))-CB24</f>
        <v>0</v>
      </c>
      <c r="CF24" s="353">
        <f t="shared" si="56"/>
        <v>0</v>
      </c>
      <c r="CG24" s="353"/>
      <c r="CH24" s="28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8">
        <f t="shared" ca="1" si="57"/>
        <v>0</v>
      </c>
      <c r="CJ24" s="28">
        <f t="shared" ca="1" si="58"/>
        <v>0</v>
      </c>
      <c r="CK24" s="28">
        <f t="shared" ca="1" si="59"/>
        <v>0</v>
      </c>
      <c r="CL24" s="41">
        <f t="shared" ca="1" si="60"/>
        <v>0</v>
      </c>
      <c r="CM24" s="18"/>
      <c r="CN24" s="11"/>
      <c r="CO24" s="807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#VALUE!</v>
      </c>
      <c r="CP24" s="41" t="e">
        <f t="shared" ca="1" si="61"/>
        <v>#VALUE!</v>
      </c>
      <c r="CQ24" s="274"/>
      <c r="CR24" s="282"/>
      <c r="CS24" s="275">
        <f t="shared" ca="1" si="62"/>
        <v>0</v>
      </c>
      <c r="CT24" s="275">
        <f t="shared" ca="1" si="63"/>
        <v>0</v>
      </c>
      <c r="CU24" s="275">
        <f t="shared" ca="1" si="64"/>
        <v>0</v>
      </c>
      <c r="CV24" s="551" t="e">
        <f t="shared" ca="1" si="65"/>
        <v>#DIV/0!</v>
      </c>
      <c r="CW24" s="551" t="e">
        <f t="shared" ca="1" si="88"/>
        <v>#DIV/0!</v>
      </c>
      <c r="CX24" s="275" t="e">
        <f ca="1">CV24-CT24</f>
        <v>#DIV/0!</v>
      </c>
      <c r="CY24" s="278" t="e">
        <f t="shared" ca="1" si="67"/>
        <v>#DIV/0!</v>
      </c>
      <c r="CZ24" s="305" t="e">
        <f ca="1">AI24/AA24/BR24</f>
        <v>#DIV/0!</v>
      </c>
      <c r="DA24" s="762" t="e">
        <f t="shared" ca="1" si="69"/>
        <v>#DIV/0!</v>
      </c>
      <c r="DB24" s="762" t="e">
        <f t="shared" ca="1" si="70"/>
        <v>#DIV/0!</v>
      </c>
      <c r="DC24" s="762">
        <f t="shared" si="71"/>
        <v>0</v>
      </c>
      <c r="DD24" s="762" t="e">
        <f t="shared" ca="1" si="72"/>
        <v>#DIV/0!</v>
      </c>
      <c r="DE24" s="762" t="e">
        <f t="shared" ca="1" si="73"/>
        <v>#DIV/0!</v>
      </c>
      <c r="DF24" s="762" t="e">
        <f t="shared" ca="1" si="74"/>
        <v>#DIV/0!</v>
      </c>
      <c r="DG24" s="762" t="e">
        <f t="shared" ca="1" si="75"/>
        <v>#DIV/0!</v>
      </c>
      <c r="DH24" s="762">
        <f t="shared" ca="1" si="76"/>
        <v>0</v>
      </c>
      <c r="DI24" s="762">
        <f t="shared" ca="1" si="77"/>
        <v>0</v>
      </c>
      <c r="DJ24" s="762">
        <f t="shared" ca="1" si="78"/>
        <v>0</v>
      </c>
      <c r="DK24" s="762" t="e">
        <f t="shared" ca="1" si="79"/>
        <v>#DIV/0!</v>
      </c>
      <c r="DL24" s="762" t="e">
        <f t="shared" ca="1" si="80"/>
        <v>#VALUE!</v>
      </c>
      <c r="DM24" s="55" t="e">
        <f t="shared" ca="1" si="81"/>
        <v>#DIV/0!</v>
      </c>
      <c r="DN24" s="68"/>
    </row>
    <row r="25" spans="1:119" s="68" customFormat="1" ht="13.5" customHeight="1" x14ac:dyDescent="0.25">
      <c r="A25" s="1206" cm="1">
        <f t="array" ref="A25">IFERROR(_xlfn.FILTERXML(Лист1!Q30,"//Value"),A24)</f>
        <v>111.4823</v>
      </c>
      <c r="B25" s="1377"/>
      <c r="C25" s="1258"/>
      <c r="D25" s="1258"/>
      <c r="E25" s="1258"/>
      <c r="F25" s="27"/>
      <c r="G25" s="1258"/>
      <c r="H25" s="1377"/>
      <c r="I25" s="260"/>
      <c r="J25" s="1397" t="s">
        <v>388</v>
      </c>
      <c r="K25" s="1369"/>
      <c r="L25" s="1218">
        <f t="shared" si="34"/>
        <v>44600</v>
      </c>
      <c r="M25" s="180">
        <v>44600</v>
      </c>
      <c r="N25" s="81">
        <v>44636</v>
      </c>
      <c r="O25" s="1219">
        <f t="shared" si="35"/>
        <v>44649</v>
      </c>
      <c r="P25" s="181">
        <v>44649</v>
      </c>
      <c r="Q25" s="659">
        <f t="shared" si="82"/>
        <v>49</v>
      </c>
      <c r="R25" s="679">
        <f t="shared" si="83"/>
        <v>13</v>
      </c>
      <c r="S25" s="1447"/>
      <c r="T25" s="707"/>
      <c r="U25" s="652"/>
      <c r="V25" s="652"/>
      <c r="W25" s="652"/>
      <c r="X25" s="8" t="s">
        <v>400</v>
      </c>
      <c r="Y25" s="172" cm="1">
        <f t="array" ref="Y25">IFERROR(_xlfn.FILTERXML(Лист1!J43,"//Value"),Y24)</f>
        <v>75.680599999999998</v>
      </c>
      <c r="Z25" s="176" cm="1">
        <f t="array" ref="Z25">IFERROR(_xlfn.FILTERXML(Лист1!C54,"//Value"),Z24)</f>
        <v>93.712500000000006</v>
      </c>
      <c r="AA25" s="458">
        <f t="shared" ca="1" si="84"/>
        <v>38409</v>
      </c>
      <c r="AB25" s="1258"/>
      <c r="AC25" s="1258"/>
      <c r="AD25" s="1258"/>
      <c r="AE25" s="1258"/>
      <c r="AF25" s="1258"/>
      <c r="AG25" s="1284">
        <f t="shared" ref="AG25:AG26" si="101">SUM(AB25:AF25)-AD25</f>
        <v>0</v>
      </c>
      <c r="AH25" s="627"/>
      <c r="AI25" s="8">
        <f t="shared" ca="1" si="37"/>
        <v>0</v>
      </c>
      <c r="AJ25" s="8">
        <f t="shared" ca="1" si="38"/>
        <v>0</v>
      </c>
      <c r="AK25" s="1369" t="e">
        <f t="shared" ca="1" si="85"/>
        <v>#DIV/0!</v>
      </c>
      <c r="AL25" s="1260" t="e">
        <f t="shared" ca="1" si="39"/>
        <v>#DIV/0!</v>
      </c>
      <c r="AM25" s="1260" t="e">
        <f t="shared" ca="1" si="40"/>
        <v>#DIV/0!</v>
      </c>
      <c r="AN25" s="1260" t="e">
        <f t="shared" ca="1" si="41"/>
        <v>#DIV/0!</v>
      </c>
      <c r="AO25" s="1260" t="e">
        <f t="shared" ca="1" si="42"/>
        <v>#DIV/0!</v>
      </c>
      <c r="AP25" s="1371" t="e">
        <f t="shared" ca="1" si="43"/>
        <v>#DIV/0!</v>
      </c>
      <c r="AQ25" s="90" t="e">
        <f t="shared" ca="1" si="44"/>
        <v>#DIV/0!</v>
      </c>
      <c r="AR25" s="91">
        <f t="shared" ca="1" si="86"/>
        <v>0</v>
      </c>
      <c r="AS25" s="1371">
        <f ca="1">AR25+AR26-AJ25</f>
        <v>0</v>
      </c>
      <c r="AT25" s="1260" t="e">
        <f t="shared" ca="1" si="97"/>
        <v>#DIV/0!</v>
      </c>
      <c r="AU25" s="1260"/>
      <c r="AV25" s="275" t="e">
        <f t="shared" ca="1" si="98"/>
        <v>#DIV/0!</v>
      </c>
      <c r="AW25" s="275" t="e">
        <f t="shared" ca="1" si="99"/>
        <v>#DIV/0!</v>
      </c>
      <c r="AX25" s="275" t="e">
        <f t="shared" ca="1" si="100"/>
        <v>#DIV/0!</v>
      </c>
      <c r="AY25" s="1371" t="e">
        <f t="shared" ca="1" si="47"/>
        <v>#DIV/0!</v>
      </c>
      <c r="AZ25" s="1369"/>
      <c r="BA25" s="1260" t="e">
        <f t="shared" ca="1" si="96"/>
        <v>#DIV/0!</v>
      </c>
      <c r="BB25" s="1260">
        <f t="shared" ca="1" si="48"/>
        <v>2209180.2857039999</v>
      </c>
      <c r="BC25" s="1244"/>
      <c r="BD25" s="1244"/>
      <c r="BE25" s="1244"/>
      <c r="BF25" s="1244"/>
      <c r="BG25" s="1258"/>
      <c r="BH25" s="635">
        <f t="shared" ca="1" si="49"/>
        <v>0</v>
      </c>
      <c r="BI25" s="275">
        <f t="shared" ca="1" si="50"/>
        <v>0</v>
      </c>
      <c r="BJ25" s="1260">
        <f t="shared" ca="1" si="51"/>
        <v>0</v>
      </c>
      <c r="BK25" s="1260">
        <f ca="1">(AR25+AR26)/AA25-AZ25-BG25</f>
        <v>0</v>
      </c>
      <c r="BL25" s="1260"/>
      <c r="BM25" s="1260">
        <f t="shared" ca="1" si="53"/>
        <v>0</v>
      </c>
      <c r="BN25" s="8">
        <f t="shared" ca="1" si="54"/>
        <v>0</v>
      </c>
      <c r="BO25" s="1258"/>
      <c r="BP25" s="1258"/>
      <c r="BQ25" s="372"/>
      <c r="BR25" s="44">
        <f t="shared" ca="1" si="55"/>
        <v>0</v>
      </c>
      <c r="BS25" s="10">
        <f t="shared" si="9"/>
        <v>0</v>
      </c>
      <c r="BT25" s="513">
        <f t="shared" si="10"/>
        <v>0</v>
      </c>
      <c r="BU25" s="513">
        <f t="shared" ca="1" si="11"/>
        <v>0</v>
      </c>
      <c r="BV25" s="378">
        <f t="shared" ca="1" si="12"/>
        <v>0</v>
      </c>
      <c r="BW25" s="91"/>
      <c r="BX25" s="506"/>
      <c r="BY25" s="506"/>
      <c r="BZ25" s="508"/>
      <c r="CA25" s="507"/>
      <c r="CB25" s="1369">
        <f>SUMPRODUCT(([178]БП!$C$245:$N$245=$L25)*([178]БП!$C$246:$N$246))</f>
        <v>0</v>
      </c>
      <c r="CC25" s="1260">
        <f>SUMPRODUCT(('[178]факт+прогноз НДПИ'!$C$220:$N$220=$L25)*('[178]факт+прогноз НДПИ'!$C$221:$N$221))</f>
        <v>0</v>
      </c>
      <c r="CD25" s="1260">
        <f>SUMPRODUCT(([178]БП_Urals!$C$245:$N$245=$L25)*([178]БП_Urals!$C$246:$N$246))-CB25</f>
        <v>0</v>
      </c>
      <c r="CE25" s="1260">
        <f>SUMPRODUCT(([178]БП_курс!$C$245:$N$245=$L25)*([178]БП_курс!$C$246:$N$246))-CB25</f>
        <v>0</v>
      </c>
      <c r="CF25" s="1260">
        <f t="shared" si="56"/>
        <v>0</v>
      </c>
      <c r="CG25" s="353"/>
      <c r="CH25" s="1367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367">
        <f t="shared" ca="1" si="57"/>
        <v>0</v>
      </c>
      <c r="CJ25" s="1367">
        <f t="shared" ca="1" si="58"/>
        <v>0</v>
      </c>
      <c r="CK25" s="1367">
        <f t="shared" ca="1" si="59"/>
        <v>0</v>
      </c>
      <c r="CL25" s="1385">
        <f t="shared" ca="1" si="60"/>
        <v>0</v>
      </c>
      <c r="CM25" s="1377"/>
      <c r="CN25" s="1258"/>
      <c r="CO25" s="1367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#VALUE!</v>
      </c>
      <c r="CP25" s="1385" t="e">
        <f t="shared" ca="1" si="61"/>
        <v>#VALUE!</v>
      </c>
      <c r="CQ25" s="274"/>
      <c r="CR25" s="1234"/>
      <c r="CS25" s="1260">
        <f t="shared" ca="1" si="62"/>
        <v>0</v>
      </c>
      <c r="CT25" s="1260">
        <f t="shared" ca="1" si="63"/>
        <v>0</v>
      </c>
      <c r="CU25" s="1260">
        <f t="shared" ca="1" si="64"/>
        <v>0</v>
      </c>
      <c r="CV25" s="1367" t="e">
        <f t="shared" ca="1" si="65"/>
        <v>#DIV/0!</v>
      </c>
      <c r="CW25" s="1367" t="e">
        <f t="shared" ca="1" si="88"/>
        <v>#DIV/0!</v>
      </c>
      <c r="CX25" s="1260" t="e">
        <f ca="1">CV25-CT25</f>
        <v>#DIV/0!</v>
      </c>
      <c r="CY25" s="1371" t="e">
        <f t="shared" ca="1" si="67"/>
        <v>#DIV/0!</v>
      </c>
      <c r="CZ25" s="1451" t="e">
        <f ca="1">(AI25+AI26)/AA25/(BR25+BP25)</f>
        <v>#DIV/0!</v>
      </c>
      <c r="DA25" s="1292" t="e">
        <f t="shared" ca="1" si="69"/>
        <v>#DIV/0!</v>
      </c>
      <c r="DB25" s="1292" t="e">
        <f t="shared" ca="1" si="70"/>
        <v>#DIV/0!</v>
      </c>
      <c r="DC25" s="1292">
        <f t="shared" si="71"/>
        <v>0</v>
      </c>
      <c r="DD25" s="1292" t="e">
        <f t="shared" ca="1" si="72"/>
        <v>#DIV/0!</v>
      </c>
      <c r="DE25" s="1292" t="e">
        <f t="shared" ca="1" si="73"/>
        <v>#DIV/0!</v>
      </c>
      <c r="DF25" s="1292" t="e">
        <f t="shared" ca="1" si="74"/>
        <v>#DIV/0!</v>
      </c>
      <c r="DG25" s="1292" t="e">
        <f t="shared" ca="1" si="75"/>
        <v>#DIV/0!</v>
      </c>
      <c r="DH25" s="1292">
        <f t="shared" ca="1" si="76"/>
        <v>0</v>
      </c>
      <c r="DI25" s="1292">
        <f t="shared" ca="1" si="77"/>
        <v>0</v>
      </c>
      <c r="DJ25" s="1292">
        <f t="shared" ca="1" si="78"/>
        <v>0</v>
      </c>
      <c r="DK25" s="1292" t="e">
        <f t="shared" ca="1" si="79"/>
        <v>#DIV/0!</v>
      </c>
      <c r="DL25" s="1292" t="e">
        <f t="shared" ca="1" si="80"/>
        <v>#VALUE!</v>
      </c>
      <c r="DM25" s="1387" t="e">
        <f t="shared" ca="1" si="81"/>
        <v>#DIV/0!</v>
      </c>
      <c r="DO25" s="69"/>
    </row>
    <row r="26" spans="1:119" s="68" customFormat="1" ht="15.95" customHeight="1" x14ac:dyDescent="0.25">
      <c r="A26" s="1206" cm="1">
        <f t="array" ref="A26">IFERROR(_xlfn.FILTERXML(Лист1!Q31,"//Value"),A25)</f>
        <v>108.0521</v>
      </c>
      <c r="B26" s="1391"/>
      <c r="C26" s="1259"/>
      <c r="D26" s="1259"/>
      <c r="E26" s="1259"/>
      <c r="F26" s="31"/>
      <c r="G26" s="1259"/>
      <c r="H26" s="1391"/>
      <c r="I26" s="261"/>
      <c r="J26" s="1398"/>
      <c r="K26" s="1370"/>
      <c r="L26" s="1218">
        <f t="shared" si="34"/>
        <v>44601</v>
      </c>
      <c r="M26" s="180">
        <v>44601</v>
      </c>
      <c r="N26" s="81">
        <v>44637</v>
      </c>
      <c r="O26" s="1219">
        <f t="shared" si="35"/>
        <v>44650</v>
      </c>
      <c r="P26" s="181">
        <v>44650</v>
      </c>
      <c r="Q26" s="660">
        <f>P26-M25</f>
        <v>50</v>
      </c>
      <c r="R26" s="679">
        <f t="shared" si="83"/>
        <v>13</v>
      </c>
      <c r="S26" s="1448"/>
      <c r="T26" s="707"/>
      <c r="U26" s="652"/>
      <c r="V26" s="652"/>
      <c r="W26" s="652"/>
      <c r="X26" s="8" t="s">
        <v>400</v>
      </c>
      <c r="Y26" s="172" cm="1">
        <f t="array" ref="Y26">IFERROR(_xlfn.FILTERXML(Лист1!J44,"//Value"),Y25)</f>
        <v>75.304199999999994</v>
      </c>
      <c r="Z26" s="176" cm="1">
        <f t="array" ref="Z26">IFERROR(_xlfn.FILTERXML(Лист1!C55,"//Value"),Z25)</f>
        <v>86.284300000000002</v>
      </c>
      <c r="AA26" s="458">
        <f t="shared" ca="1" si="84"/>
        <v>37049</v>
      </c>
      <c r="AB26" s="1259"/>
      <c r="AC26" s="1259"/>
      <c r="AD26" s="1259"/>
      <c r="AE26" s="1259"/>
      <c r="AF26" s="1259"/>
      <c r="AG26" s="1285">
        <f t="shared" si="101"/>
        <v>0</v>
      </c>
      <c r="AH26" s="628"/>
      <c r="AI26" s="8">
        <f t="shared" ca="1" si="37"/>
        <v>0</v>
      </c>
      <c r="AJ26" s="8">
        <f t="shared" ca="1" si="38"/>
        <v>0</v>
      </c>
      <c r="AK26" s="1370">
        <f t="shared" ref="AK26:AL30" ca="1" si="102">AB26*$CZ26*$AA26*$Y26/1000/1000</f>
        <v>0</v>
      </c>
      <c r="AL26" s="1261">
        <f t="shared" ca="1" si="102"/>
        <v>0</v>
      </c>
      <c r="AM26" s="1261"/>
      <c r="AN26" s="1261"/>
      <c r="AO26" s="1261"/>
      <c r="AP26" s="1372">
        <f ca="1">AG26*$CZ26*$AA26*$Y26/1000/1000</f>
        <v>0</v>
      </c>
      <c r="AQ26" s="92">
        <f t="shared" ca="1" si="44"/>
        <v>0</v>
      </c>
      <c r="AR26" s="91">
        <f t="shared" ca="1" si="86"/>
        <v>0</v>
      </c>
      <c r="AS26" s="1372"/>
      <c r="AT26" s="1261">
        <f t="shared" ca="1" si="97"/>
        <v>0</v>
      </c>
      <c r="AU26" s="1261"/>
      <c r="AV26" s="276">
        <f t="shared" ca="1" si="98"/>
        <v>0</v>
      </c>
      <c r="AW26" s="276">
        <f t="shared" ca="1" si="99"/>
        <v>0</v>
      </c>
      <c r="AX26" s="276">
        <f t="shared" ca="1" si="100"/>
        <v>0</v>
      </c>
      <c r="AY26" s="1372">
        <f t="shared" ca="1" si="47"/>
        <v>0</v>
      </c>
      <c r="AZ26" s="1370"/>
      <c r="BA26" s="1261">
        <f t="shared" ca="1" si="96"/>
        <v>0</v>
      </c>
      <c r="BB26" s="1261">
        <f t="shared" ca="1" si="48"/>
        <v>2120358.4324079999</v>
      </c>
      <c r="BC26" s="1245"/>
      <c r="BD26" s="1245"/>
      <c r="BE26" s="1245"/>
      <c r="BF26" s="1245"/>
      <c r="BG26" s="1259"/>
      <c r="BH26" s="636">
        <f t="shared" ca="1" si="49"/>
        <v>0</v>
      </c>
      <c r="BI26" s="276">
        <f t="shared" ca="1" si="50"/>
        <v>0</v>
      </c>
      <c r="BJ26" s="1261"/>
      <c r="BK26" s="1261"/>
      <c r="BL26" s="1380"/>
      <c r="BM26" s="1380"/>
      <c r="BN26" s="8">
        <f t="shared" si="54"/>
        <v>0</v>
      </c>
      <c r="BO26" s="1379"/>
      <c r="BP26" s="1259"/>
      <c r="BQ26" s="372"/>
      <c r="BR26" s="44">
        <f t="shared" ca="1" si="55"/>
        <v>0</v>
      </c>
      <c r="BS26" s="10">
        <f t="shared" si="9"/>
        <v>0</v>
      </c>
      <c r="BT26" s="513">
        <f t="shared" si="10"/>
        <v>0</v>
      </c>
      <c r="BU26" s="513">
        <f t="shared" ca="1" si="11"/>
        <v>0</v>
      </c>
      <c r="BV26" s="378">
        <f t="shared" ca="1" si="12"/>
        <v>0</v>
      </c>
      <c r="BW26" s="91"/>
      <c r="BX26" s="506"/>
      <c r="BY26" s="506"/>
      <c r="BZ26" s="508"/>
      <c r="CA26" s="507"/>
      <c r="CB26" s="1370">
        <f>SUMPRODUCT(([178]БП!$C$245:$N$245=$L26)*([178]БП!$C$246:$N$246))</f>
        <v>0</v>
      </c>
      <c r="CC26" s="1261">
        <f>SUMPRODUCT(('[178]факт+прогноз НДПИ'!$C$220:$N$220=$L26)*('[178]факт+прогноз НДПИ'!$C$221:$N$221))</f>
        <v>0</v>
      </c>
      <c r="CD26" s="1261">
        <f>SUMPRODUCT(([178]БП_Urals!$C$245:$N$245=$L26)*([178]БП_Urals!$C$246:$N$246))-CB26</f>
        <v>0</v>
      </c>
      <c r="CE26" s="1261"/>
      <c r="CF26" s="1261"/>
      <c r="CG26" s="354"/>
      <c r="CH26" s="1368"/>
      <c r="CI26" s="1368"/>
      <c r="CJ26" s="1368"/>
      <c r="CK26" s="1368"/>
      <c r="CL26" s="1386"/>
      <c r="CM26" s="1391"/>
      <c r="CN26" s="1379"/>
      <c r="CO26" s="1368"/>
      <c r="CP26" s="1386">
        <f t="shared" si="61"/>
        <v>0</v>
      </c>
      <c r="CQ26" s="274"/>
      <c r="CR26" s="1235"/>
      <c r="CS26" s="1261"/>
      <c r="CT26" s="1261">
        <f t="shared" ca="1" si="63"/>
        <v>0</v>
      </c>
      <c r="CU26" s="1261">
        <f t="shared" ca="1" si="64"/>
        <v>0</v>
      </c>
      <c r="CV26" s="1368"/>
      <c r="CW26" s="1368"/>
      <c r="CX26" s="1261"/>
      <c r="CY26" s="1372"/>
      <c r="CZ26" s="1451"/>
      <c r="DA26" s="1293"/>
      <c r="DB26" s="1293"/>
      <c r="DC26" s="1293">
        <f t="shared" si="71"/>
        <v>0</v>
      </c>
      <c r="DD26" s="1293">
        <f t="shared" ca="1" si="72"/>
        <v>0</v>
      </c>
      <c r="DE26" s="1293">
        <f t="shared" ca="1" si="73"/>
        <v>0</v>
      </c>
      <c r="DF26" s="1293">
        <f t="shared" ca="1" si="74"/>
        <v>0</v>
      </c>
      <c r="DG26" s="1293">
        <f t="shared" ca="1" si="75"/>
        <v>-2.1203584324079996</v>
      </c>
      <c r="DH26" s="1293">
        <f t="shared" ca="1" si="76"/>
        <v>0</v>
      </c>
      <c r="DI26" s="1293"/>
      <c r="DJ26" s="1293">
        <f t="shared" si="78"/>
        <v>0</v>
      </c>
      <c r="DK26" s="1293">
        <f t="shared" si="79"/>
        <v>0</v>
      </c>
      <c r="DL26" s="1293">
        <f t="shared" si="80"/>
        <v>0</v>
      </c>
      <c r="DM26" s="1388">
        <f t="shared" ca="1" si="81"/>
        <v>-2.1203584324079996</v>
      </c>
      <c r="DO26" s="69"/>
    </row>
    <row r="27" spans="1:119" s="69" customFormat="1" ht="15.95" customHeight="1" x14ac:dyDescent="0.25">
      <c r="A27" s="1206" cm="1">
        <f t="array" ref="A27">IFERROR(_xlfn.FILTERXML(Лист1!Q32,"//Value"),A26)</f>
        <v>104.80119999999999</v>
      </c>
      <c r="B27" s="18"/>
      <c r="C27" s="11"/>
      <c r="D27" s="11"/>
      <c r="E27" s="11"/>
      <c r="F27" s="11"/>
      <c r="G27" s="11"/>
      <c r="H27" s="18"/>
      <c r="I27" s="11"/>
      <c r="J27" s="286" t="s">
        <v>386</v>
      </c>
      <c r="K27" s="61"/>
      <c r="L27" s="1218">
        <f t="shared" si="34"/>
        <v>44602</v>
      </c>
      <c r="M27" s="180">
        <v>44602</v>
      </c>
      <c r="N27" s="81">
        <v>44638</v>
      </c>
      <c r="O27" s="1219">
        <f t="shared" si="35"/>
        <v>44651</v>
      </c>
      <c r="P27" s="181">
        <v>44651</v>
      </c>
      <c r="Q27" s="16">
        <f>P27-M27</f>
        <v>49</v>
      </c>
      <c r="R27" s="679">
        <f t="shared" si="83"/>
        <v>13</v>
      </c>
      <c r="S27" s="686"/>
      <c r="T27" s="16"/>
      <c r="U27" s="16"/>
      <c r="V27" s="16"/>
      <c r="W27" s="16"/>
      <c r="X27" s="8" t="s">
        <v>400</v>
      </c>
      <c r="Y27" s="172" cm="1">
        <f t="array" ref="Y27">IFERROR(_xlfn.FILTERXML(Лист1!J45,"//Value"),Y26)</f>
        <v>74.801500000000004</v>
      </c>
      <c r="Z27" s="176" cm="1">
        <f t="array" ref="Z27">IFERROR(_xlfn.FILTERXML(Лист1!C56,"//Value"),Z26)</f>
        <v>84.085099999999997</v>
      </c>
      <c r="AA27" s="458">
        <f t="shared" ca="1" si="84"/>
        <v>32958</v>
      </c>
      <c r="AB27" s="11"/>
      <c r="AC27" s="11"/>
      <c r="AD27" s="11"/>
      <c r="AE27" s="11"/>
      <c r="AF27" s="11"/>
      <c r="AG27" s="75">
        <f>SUM(AB27:AF27)</f>
        <v>0</v>
      </c>
      <c r="AH27" s="18"/>
      <c r="AI27" s="8">
        <f t="shared" ca="1" si="37"/>
        <v>0</v>
      </c>
      <c r="AJ27" s="8">
        <f t="shared" ca="1" si="38"/>
        <v>0</v>
      </c>
      <c r="AK27" s="280" t="e">
        <f t="shared" ca="1" si="102"/>
        <v>#DIV/0!</v>
      </c>
      <c r="AL27" s="275" t="e">
        <f t="shared" ca="1" si="102"/>
        <v>#DIV/0!</v>
      </c>
      <c r="AM27" s="275" t="e">
        <f t="shared" ref="AM27:AO28" ca="1" si="103">AD27*$CZ27*$AA27*$Y27/1000/1000</f>
        <v>#DIV/0!</v>
      </c>
      <c r="AN27" s="275" t="e">
        <f t="shared" ca="1" si="103"/>
        <v>#DIV/0!</v>
      </c>
      <c r="AO27" s="275" t="e">
        <f t="shared" ca="1" si="103"/>
        <v>#DIV/0!</v>
      </c>
      <c r="AP27" s="278" t="e">
        <f ca="1">AG27*$CZ27*$AA27*$Y27/1000/1000</f>
        <v>#DIV/0!</v>
      </c>
      <c r="AQ27" s="90" t="e">
        <f t="shared" ca="1" si="44"/>
        <v>#DIV/0!</v>
      </c>
      <c r="AR27" s="91">
        <f t="shared" ca="1" si="86"/>
        <v>0</v>
      </c>
      <c r="AS27" s="287">
        <f ca="1">AR27-AJ27</f>
        <v>0</v>
      </c>
      <c r="AT27" s="275" t="e">
        <f t="shared" ca="1" si="97"/>
        <v>#DIV/0!</v>
      </c>
      <c r="AU27" s="275" t="e">
        <f ca="1">(AC27-C27)*$CZ27*$AA27*$Y27/1000/1000</f>
        <v>#DIV/0!</v>
      </c>
      <c r="AV27" s="275" t="e">
        <f t="shared" ca="1" si="98"/>
        <v>#DIV/0!</v>
      </c>
      <c r="AW27" s="275" t="e">
        <f t="shared" ca="1" si="99"/>
        <v>#DIV/0!</v>
      </c>
      <c r="AX27" s="275" t="e">
        <f t="shared" ca="1" si="100"/>
        <v>#DIV/0!</v>
      </c>
      <c r="AY27" s="278" t="e">
        <f t="shared" ca="1" si="47"/>
        <v>#DIV/0!</v>
      </c>
      <c r="AZ27" s="61"/>
      <c r="BA27" s="276" t="e">
        <f t="shared" ca="1" si="96"/>
        <v>#DIV/0!</v>
      </c>
      <c r="BB27" s="276">
        <f t="shared" ca="1" si="48"/>
        <v>1873633.9561200002</v>
      </c>
      <c r="BC27" s="264"/>
      <c r="BD27" s="264"/>
      <c r="BE27" s="264"/>
      <c r="BF27" s="264"/>
      <c r="BG27" s="11"/>
      <c r="BH27" s="275">
        <f t="shared" ca="1" si="49"/>
        <v>0</v>
      </c>
      <c r="BI27" s="275">
        <f t="shared" ca="1" si="50"/>
        <v>0</v>
      </c>
      <c r="BJ27" s="91">
        <f t="shared" ca="1" si="51"/>
        <v>0</v>
      </c>
      <c r="BK27" s="91">
        <f ca="1">AR27/AA27-AZ27-BG27</f>
        <v>0</v>
      </c>
      <c r="BL27" s="91"/>
      <c r="BM27" s="91">
        <f ca="1">BJ27-BL27</f>
        <v>0</v>
      </c>
      <c r="BN27" s="8">
        <f t="shared" ca="1" si="54"/>
        <v>0</v>
      </c>
      <c r="BO27" s="11"/>
      <c r="BP27" s="78"/>
      <c r="BQ27" s="372"/>
      <c r="BR27" s="44">
        <f t="shared" ca="1" si="55"/>
        <v>0</v>
      </c>
      <c r="BS27" s="10">
        <f t="shared" si="9"/>
        <v>0</v>
      </c>
      <c r="BT27" s="513">
        <f t="shared" si="10"/>
        <v>0</v>
      </c>
      <c r="BU27" s="513">
        <f t="shared" ca="1" si="11"/>
        <v>0</v>
      </c>
      <c r="BV27" s="378">
        <f t="shared" ca="1" si="12"/>
        <v>0</v>
      </c>
      <c r="BW27" s="91"/>
      <c r="BX27" s="506"/>
      <c r="BY27" s="506"/>
      <c r="BZ27" s="508"/>
      <c r="CA27" s="507"/>
      <c r="CB27" s="356">
        <f>SUMPRODUCT(([178]БП!$C$245:$N$245=$L27)*([178]БП!$C$246:$N$246))</f>
        <v>0</v>
      </c>
      <c r="CC27" s="353">
        <f>SUMPRODUCT(('[178]факт+прогноз НДПИ'!$C$220:$N$220=$L27)*('[178]факт+прогноз НДПИ'!$C$221:$N$221))</f>
        <v>0</v>
      </c>
      <c r="CD27" s="353">
        <f>SUMPRODUCT(([178]БП_Urals!$C$245:$N$245=$L27)*([178]БП_Urals!$C$246:$N$246))-CB27</f>
        <v>0</v>
      </c>
      <c r="CE27" s="353">
        <f>SUMPRODUCT(([178]БП_курс!$C$245:$N$245=$L27)*([178]БП_курс!$C$246:$N$246))-CB27</f>
        <v>0</v>
      </c>
      <c r="CF27" s="353">
        <f t="shared" si="56"/>
        <v>0</v>
      </c>
      <c r="CG27" s="353"/>
      <c r="CH27" s="807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8">
        <f t="shared" ca="1" si="57"/>
        <v>0</v>
      </c>
      <c r="CJ27" s="28">
        <f t="shared" ca="1" si="58"/>
        <v>0</v>
      </c>
      <c r="CK27" s="28">
        <f t="shared" ca="1" si="59"/>
        <v>0</v>
      </c>
      <c r="CL27" s="41">
        <f t="shared" ca="1" si="60"/>
        <v>0</v>
      </c>
      <c r="CM27" s="809"/>
      <c r="CN27" s="11"/>
      <c r="CO27" s="807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#VALUE!</v>
      </c>
      <c r="CP27" s="41" t="e">
        <f t="shared" ca="1" si="61"/>
        <v>#VALUE!</v>
      </c>
      <c r="CQ27" s="274"/>
      <c r="CR27" s="14"/>
      <c r="CS27" s="91">
        <f ca="1">AA27*BK27/1000/1000</f>
        <v>0</v>
      </c>
      <c r="CT27" s="91">
        <f t="shared" ca="1" si="63"/>
        <v>0</v>
      </c>
      <c r="CU27" s="91">
        <f t="shared" ca="1" si="64"/>
        <v>0</v>
      </c>
      <c r="CV27" s="16" t="e">
        <f ca="1">BL27/CR27*Y27*AA27</f>
        <v>#DIV/0!</v>
      </c>
      <c r="CW27" s="16" t="e">
        <f ca="1">BL27/CR27*Z27*AA27</f>
        <v>#DIV/0!</v>
      </c>
      <c r="CX27" s="91" t="e">
        <f ca="1">CV27-CT27</f>
        <v>#DIV/0!</v>
      </c>
      <c r="CY27" s="287" t="e">
        <f ca="1">CW27-CH27</f>
        <v>#DIV/0!</v>
      </c>
      <c r="CZ27" s="305" t="e">
        <f ca="1">AI27/AA27/BR27</f>
        <v>#DIV/0!</v>
      </c>
      <c r="DA27" s="762" t="e">
        <f ca="1">CR27*AA27*BU27*CZ27/1000000</f>
        <v>#DIV/0!</v>
      </c>
      <c r="DB27" s="762" t="e">
        <f ca="1">CR27*AA27*BV27*CZ27/1000000</f>
        <v>#DIV/0!</v>
      </c>
      <c r="DC27" s="762">
        <f t="shared" si="71"/>
        <v>0</v>
      </c>
      <c r="DD27" s="762" t="e">
        <f t="shared" ca="1" si="72"/>
        <v>#DIV/0!</v>
      </c>
      <c r="DE27" s="762" t="e">
        <f t="shared" ca="1" si="73"/>
        <v>#DIV/0!</v>
      </c>
      <c r="DF27" s="762" t="e">
        <f t="shared" ca="1" si="74"/>
        <v>#DIV/0!</v>
      </c>
      <c r="DG27" s="762" t="e">
        <f t="shared" ca="1" si="75"/>
        <v>#DIV/0!</v>
      </c>
      <c r="DH27" s="762">
        <f t="shared" ca="1" si="76"/>
        <v>0</v>
      </c>
      <c r="DI27" s="762">
        <f ca="1">AS27/1000000</f>
        <v>0</v>
      </c>
      <c r="DJ27" s="762">
        <f t="shared" ca="1" si="78"/>
        <v>0</v>
      </c>
      <c r="DK27" s="762" t="e">
        <f t="shared" ca="1" si="79"/>
        <v>#DIV/0!</v>
      </c>
      <c r="DL27" s="762" t="e">
        <f t="shared" ca="1" si="80"/>
        <v>#VALUE!</v>
      </c>
      <c r="DM27" s="55" t="e">
        <f t="shared" ca="1" si="81"/>
        <v>#DIV/0!</v>
      </c>
      <c r="DN27" s="68"/>
    </row>
    <row r="28" spans="1:119" s="68" customFormat="1" ht="15.95" customHeight="1" x14ac:dyDescent="0.25">
      <c r="A28" s="1206" cm="1">
        <f t="array" ref="A28">IFERROR(_xlfn.FILTERXML(Лист1!Q33,"//Value"),A27)</f>
        <v>104.80119999999999</v>
      </c>
      <c r="B28" s="1377"/>
      <c r="C28" s="1258"/>
      <c r="D28" s="1258"/>
      <c r="E28" s="1258"/>
      <c r="F28" s="27"/>
      <c r="G28" s="1258"/>
      <c r="H28" s="1377"/>
      <c r="I28" s="260"/>
      <c r="J28" s="1397" t="s">
        <v>388</v>
      </c>
      <c r="K28" s="1369"/>
      <c r="L28" s="1218">
        <f t="shared" si="34"/>
        <v>44603</v>
      </c>
      <c r="M28" s="180">
        <v>44603</v>
      </c>
      <c r="N28" s="81">
        <v>44641</v>
      </c>
      <c r="O28" s="1219">
        <f t="shared" si="35"/>
        <v>44652</v>
      </c>
      <c r="P28" s="181">
        <v>44652</v>
      </c>
      <c r="Q28" s="659">
        <f>P28-M28</f>
        <v>49</v>
      </c>
      <c r="R28" s="679">
        <f t="shared" si="83"/>
        <v>11</v>
      </c>
      <c r="S28" s="686"/>
      <c r="T28" s="659"/>
      <c r="U28" s="659"/>
      <c r="V28" s="659"/>
      <c r="W28" s="659"/>
      <c r="X28" s="8" t="s">
        <v>400</v>
      </c>
      <c r="Y28" s="172" cm="1">
        <f t="array" ref="Y28">IFERROR(_xlfn.FILTERXML(Лист1!J46,"//Value"),Y27)</f>
        <v>74.724100000000007</v>
      </c>
      <c r="Z28" s="176" cm="1">
        <f t="array" ref="Z28">IFERROR(_xlfn.FILTERXML(Лист1!C57,"//Value"),Z27)</f>
        <v>83.409700000000001</v>
      </c>
      <c r="AA28" s="458">
        <f t="shared" ca="1" si="84"/>
        <v>38173</v>
      </c>
      <c r="AB28" s="1258"/>
      <c r="AC28" s="1258"/>
      <c r="AD28" s="1258"/>
      <c r="AE28" s="1258"/>
      <c r="AF28" s="1258"/>
      <c r="AG28" s="1284">
        <f t="shared" ref="AG28" si="104">SUM(AB28:AF28)</f>
        <v>0</v>
      </c>
      <c r="AH28" s="627"/>
      <c r="AI28" s="8">
        <f t="shared" ca="1" si="37"/>
        <v>0</v>
      </c>
      <c r="AJ28" s="8">
        <f t="shared" ca="1" si="38"/>
        <v>0</v>
      </c>
      <c r="AK28" s="1369" t="e">
        <f t="shared" ca="1" si="102"/>
        <v>#DIV/0!</v>
      </c>
      <c r="AL28" s="1260" t="e">
        <f t="shared" ca="1" si="102"/>
        <v>#DIV/0!</v>
      </c>
      <c r="AM28" s="1260" t="e">
        <f t="shared" ca="1" si="103"/>
        <v>#DIV/0!</v>
      </c>
      <c r="AN28" s="1260" t="e">
        <f t="shared" ca="1" si="103"/>
        <v>#DIV/0!</v>
      </c>
      <c r="AO28" s="1260" t="e">
        <f t="shared" ca="1" si="103"/>
        <v>#DIV/0!</v>
      </c>
      <c r="AP28" s="1371" t="e">
        <f ca="1">AG28*$CZ28*$AA28*$Y28/1000/1000</f>
        <v>#DIV/0!</v>
      </c>
      <c r="AQ28" s="90" t="e">
        <f t="shared" ca="1" si="44"/>
        <v>#DIV/0!</v>
      </c>
      <c r="AR28" s="91">
        <f t="shared" ca="1" si="86"/>
        <v>0</v>
      </c>
      <c r="AS28" s="1371">
        <f ca="1">AR28+AR29-AJ28</f>
        <v>0</v>
      </c>
      <c r="AT28" s="1260" t="e">
        <f t="shared" ca="1" si="97"/>
        <v>#DIV/0!</v>
      </c>
      <c r="AU28" s="1260" t="e">
        <f ca="1">(AC28-C28)*$CZ28*$AA28*$Y28/1000/1000</f>
        <v>#DIV/0!</v>
      </c>
      <c r="AV28" s="275" t="e">
        <f t="shared" ca="1" si="98"/>
        <v>#DIV/0!</v>
      </c>
      <c r="AW28" s="275" t="e">
        <f t="shared" ca="1" si="99"/>
        <v>#DIV/0!</v>
      </c>
      <c r="AX28" s="275" t="e">
        <f t="shared" ca="1" si="100"/>
        <v>#DIV/0!</v>
      </c>
      <c r="AY28" s="1371" t="e">
        <f t="shared" ca="1" si="47"/>
        <v>#DIV/0!</v>
      </c>
      <c r="AZ28" s="1369"/>
      <c r="BA28" s="1260" t="e">
        <f t="shared" ca="1" si="96"/>
        <v>#DIV/0!</v>
      </c>
      <c r="BB28" s="1260">
        <f t="shared" ca="1" si="48"/>
        <v>2167856.7326680003</v>
      </c>
      <c r="BC28" s="264"/>
      <c r="BD28" s="264"/>
      <c r="BE28" s="1244"/>
      <c r="BF28" s="1244"/>
      <c r="BG28" s="1258"/>
      <c r="BH28" s="275">
        <f t="shared" ca="1" si="49"/>
        <v>0</v>
      </c>
      <c r="BI28" s="275">
        <f t="shared" ca="1" si="50"/>
        <v>0</v>
      </c>
      <c r="BJ28" s="1260">
        <f t="shared" ca="1" si="51"/>
        <v>0</v>
      </c>
      <c r="BK28" s="1260">
        <f ca="1">(AR28+AR29)/AA28-AZ28-BG28</f>
        <v>0</v>
      </c>
      <c r="BL28" s="1260"/>
      <c r="BM28" s="1260">
        <f ca="1">BJ28-BL28</f>
        <v>0</v>
      </c>
      <c r="BN28" s="8">
        <f t="shared" ca="1" si="54"/>
        <v>0</v>
      </c>
      <c r="BO28" s="1258"/>
      <c r="BP28" s="78"/>
      <c r="BQ28" s="372"/>
      <c r="BR28" s="44">
        <f t="shared" ca="1" si="55"/>
        <v>0</v>
      </c>
      <c r="BS28" s="10">
        <f t="shared" si="9"/>
        <v>0</v>
      </c>
      <c r="BT28" s="513">
        <f t="shared" si="10"/>
        <v>0</v>
      </c>
      <c r="BU28" s="513">
        <f t="shared" ca="1" si="11"/>
        <v>0</v>
      </c>
      <c r="BV28" s="378">
        <f t="shared" ca="1" si="12"/>
        <v>0</v>
      </c>
      <c r="BW28" s="91"/>
      <c r="BX28" s="506"/>
      <c r="BY28" s="506"/>
      <c r="BZ28" s="508"/>
      <c r="CA28" s="507"/>
      <c r="CB28" s="1369">
        <f>SUMPRODUCT(([178]БП!$C$245:$N$245=$L28)*([178]БП!$C$246:$N$246))</f>
        <v>0</v>
      </c>
      <c r="CC28" s="1260">
        <f>SUMPRODUCT(('[178]факт+прогноз НДПИ'!$C$220:$N$220=$L28)*('[178]факт+прогноз НДПИ'!$C$221:$N$221))</f>
        <v>0</v>
      </c>
      <c r="CD28" s="1260">
        <f>SUMPRODUCT(([178]БП_Urals!$C$245:$N$245=$L28)*([178]БП_Urals!$C$246:$N$246))-CB28</f>
        <v>0</v>
      </c>
      <c r="CE28" s="1260">
        <f>SUMPRODUCT(([178]БП_курс!$C$245:$N$245=$L28)*([178]БП_курс!$C$246:$N$246))-CB28</f>
        <v>0</v>
      </c>
      <c r="CF28" s="1260">
        <f t="shared" si="56"/>
        <v>0</v>
      </c>
      <c r="CG28" s="353"/>
      <c r="CH28" s="1367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367">
        <f t="shared" ca="1" si="57"/>
        <v>0</v>
      </c>
      <c r="CJ28" s="1367">
        <f t="shared" ca="1" si="58"/>
        <v>0</v>
      </c>
      <c r="CK28" s="1367">
        <f t="shared" ca="1" si="59"/>
        <v>0</v>
      </c>
      <c r="CL28" s="1385">
        <f t="shared" ca="1" si="60"/>
        <v>0</v>
      </c>
      <c r="CM28" s="1377"/>
      <c r="CN28" s="1258"/>
      <c r="CO28" s="1367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#VALUE!</v>
      </c>
      <c r="CP28" s="1385" t="e">
        <f t="shared" ca="1" si="61"/>
        <v>#VALUE!</v>
      </c>
      <c r="CQ28" s="274"/>
      <c r="CR28" s="1234"/>
      <c r="CS28" s="1260">
        <f ca="1">AA28*BK28/1000/1000</f>
        <v>0</v>
      </c>
      <c r="CT28" s="1260">
        <f t="shared" ca="1" si="63"/>
        <v>0</v>
      </c>
      <c r="CU28" s="1260">
        <f t="shared" ca="1" si="64"/>
        <v>0</v>
      </c>
      <c r="CV28" s="1367" t="e">
        <f ca="1">BL28/CR28*Y28*AA28</f>
        <v>#DIV/0!</v>
      </c>
      <c r="CW28" s="1367" t="e">
        <f ca="1">BL28/CR28*Z28*AA28</f>
        <v>#DIV/0!</v>
      </c>
      <c r="CX28" s="1260" t="e">
        <f ca="1">CV28-CT28</f>
        <v>#DIV/0!</v>
      </c>
      <c r="CY28" s="1371" t="e">
        <f ca="1">CW28-CH28</f>
        <v>#DIV/0!</v>
      </c>
      <c r="CZ28" s="1451" t="e">
        <f ca="1">(AI28+AI29)/AA28/BR28</f>
        <v>#DIV/0!</v>
      </c>
      <c r="DA28" s="1292" t="e">
        <f ca="1">CR28*AA28*BU28*CZ28/1000000</f>
        <v>#DIV/0!</v>
      </c>
      <c r="DB28" s="1292" t="e">
        <f ca="1">CR28*AA28*BV28*CZ28/1000000</f>
        <v>#DIV/0!</v>
      </c>
      <c r="DC28" s="1292">
        <f t="shared" si="71"/>
        <v>0</v>
      </c>
      <c r="DD28" s="1292" t="e">
        <f t="shared" ca="1" si="72"/>
        <v>#DIV/0!</v>
      </c>
      <c r="DE28" s="1292" t="e">
        <f t="shared" ca="1" si="73"/>
        <v>#DIV/0!</v>
      </c>
      <c r="DF28" s="1292" t="e">
        <f t="shared" ca="1" si="74"/>
        <v>#DIV/0!</v>
      </c>
      <c r="DG28" s="1292" t="e">
        <f t="shared" ca="1" si="75"/>
        <v>#DIV/0!</v>
      </c>
      <c r="DH28" s="1292">
        <f t="shared" ca="1" si="76"/>
        <v>0</v>
      </c>
      <c r="DI28" s="1292">
        <f ca="1">AS28/1000000</f>
        <v>0</v>
      </c>
      <c r="DJ28" s="1292">
        <f t="shared" ca="1" si="78"/>
        <v>0</v>
      </c>
      <c r="DK28" s="1292" t="e">
        <f t="shared" ca="1" si="79"/>
        <v>#DIV/0!</v>
      </c>
      <c r="DL28" s="1292" t="e">
        <f t="shared" ca="1" si="80"/>
        <v>#VALUE!</v>
      </c>
      <c r="DM28" s="1387" t="e">
        <f t="shared" ca="1" si="81"/>
        <v>#DIV/0!</v>
      </c>
      <c r="DO28" s="69"/>
    </row>
    <row r="29" spans="1:119" s="68" customFormat="1" ht="15.95" customHeight="1" x14ac:dyDescent="0.25">
      <c r="A29" s="1206" cm="1">
        <f t="array" ref="A29">IFERROR(_xlfn.FILTERXML(Лист1!Q34,"//Value"),A28)</f>
        <v>104.6819</v>
      </c>
      <c r="B29" s="1391"/>
      <c r="C29" s="1259"/>
      <c r="D29" s="1259"/>
      <c r="E29" s="1259"/>
      <c r="F29" s="31"/>
      <c r="G29" s="1259"/>
      <c r="H29" s="1391"/>
      <c r="I29" s="261"/>
      <c r="J29" s="1398"/>
      <c r="K29" s="1370"/>
      <c r="L29" s="1218">
        <f t="shared" si="34"/>
        <v>44607</v>
      </c>
      <c r="M29" s="180">
        <v>44607</v>
      </c>
      <c r="N29" s="81">
        <v>44642</v>
      </c>
      <c r="O29" s="1219">
        <f t="shared" si="35"/>
        <v>44655</v>
      </c>
      <c r="P29" s="181">
        <v>44655</v>
      </c>
      <c r="Q29" s="660">
        <f>P29-M28</f>
        <v>52</v>
      </c>
      <c r="R29" s="679">
        <f t="shared" si="83"/>
        <v>13</v>
      </c>
      <c r="S29" s="685"/>
      <c r="T29" s="707"/>
      <c r="U29" s="652"/>
      <c r="V29" s="652"/>
      <c r="W29" s="652"/>
      <c r="X29" s="8" t="s">
        <v>400</v>
      </c>
      <c r="Y29" s="172" cm="1">
        <f t="array" ref="Y29">IFERROR(_xlfn.FILTERXML(Лист1!J47,"//Value"),Y28)</f>
        <v>76.5762</v>
      </c>
      <c r="Z29" s="176" cm="1">
        <f t="array" ref="Z29">IFERROR(_xlfn.FILTERXML(Лист1!C58,"//Value"),Z28)</f>
        <v>83.409700000000001</v>
      </c>
      <c r="AA29" s="458">
        <f t="shared" ca="1" si="84"/>
        <v>35238</v>
      </c>
      <c r="AB29" s="1259"/>
      <c r="AC29" s="1259"/>
      <c r="AD29" s="1259"/>
      <c r="AE29" s="1259"/>
      <c r="AF29" s="1259"/>
      <c r="AG29" s="1285"/>
      <c r="AH29" s="628"/>
      <c r="AI29" s="8">
        <f t="shared" ca="1" si="37"/>
        <v>0</v>
      </c>
      <c r="AJ29" s="8">
        <f t="shared" ca="1" si="38"/>
        <v>0</v>
      </c>
      <c r="AK29" s="1370">
        <f t="shared" ca="1" si="102"/>
        <v>0</v>
      </c>
      <c r="AL29" s="1261">
        <f t="shared" ca="1" si="102"/>
        <v>0</v>
      </c>
      <c r="AM29" s="1261"/>
      <c r="AN29" s="1261"/>
      <c r="AO29" s="1261"/>
      <c r="AP29" s="1372">
        <f ca="1">AG29*$CZ29*$AA29*$Y29/1000/1000</f>
        <v>0</v>
      </c>
      <c r="AQ29" s="92">
        <f t="shared" ca="1" si="44"/>
        <v>0</v>
      </c>
      <c r="AR29" s="91"/>
      <c r="AS29" s="1372"/>
      <c r="AT29" s="1261">
        <f t="shared" ca="1" si="97"/>
        <v>0</v>
      </c>
      <c r="AU29" s="1261">
        <f ca="1">(AC29-C29)*$CZ29*$AA29*$Y29/1000/1000</f>
        <v>0</v>
      </c>
      <c r="AV29" s="276">
        <f t="shared" ca="1" si="98"/>
        <v>0</v>
      </c>
      <c r="AW29" s="276">
        <f t="shared" ca="1" si="99"/>
        <v>0</v>
      </c>
      <c r="AX29" s="276">
        <f t="shared" ca="1" si="100"/>
        <v>0</v>
      </c>
      <c r="AY29" s="1372">
        <f t="shared" ca="1" si="47"/>
        <v>0</v>
      </c>
      <c r="AZ29" s="1370"/>
      <c r="BA29" s="1261"/>
      <c r="BB29" s="1261"/>
      <c r="BC29" s="265"/>
      <c r="BD29" s="265"/>
      <c r="BE29" s="1245"/>
      <c r="BF29" s="1245"/>
      <c r="BG29" s="1259"/>
      <c r="BH29" s="276">
        <f t="shared" ca="1" si="49"/>
        <v>0</v>
      </c>
      <c r="BI29" s="276">
        <f t="shared" ca="1" si="50"/>
        <v>0</v>
      </c>
      <c r="BJ29" s="1261"/>
      <c r="BK29" s="1261"/>
      <c r="BL29" s="1380"/>
      <c r="BM29" s="1380"/>
      <c r="BN29" s="1223">
        <f t="shared" ref="BN29:BN33" si="105">BK29-BL29</f>
        <v>0</v>
      </c>
      <c r="BO29" s="1379"/>
      <c r="BP29" s="78"/>
      <c r="BQ29" s="372"/>
      <c r="BR29" s="44">
        <f t="shared" ca="1" si="55"/>
        <v>0</v>
      </c>
      <c r="BS29" s="10">
        <f t="shared" si="9"/>
        <v>0</v>
      </c>
      <c r="BT29" s="513">
        <f t="shared" si="10"/>
        <v>0</v>
      </c>
      <c r="BU29" s="513">
        <f t="shared" ca="1" si="11"/>
        <v>0</v>
      </c>
      <c r="BV29" s="378">
        <f t="shared" ca="1" si="12"/>
        <v>0</v>
      </c>
      <c r="BW29" s="91"/>
      <c r="BX29" s="506"/>
      <c r="BY29" s="506"/>
      <c r="BZ29" s="508"/>
      <c r="CA29" s="507"/>
      <c r="CB29" s="1370">
        <f>SUMPRODUCT(([178]БП!$C$245:$N$245=$L29)*([178]БП!$C$246:$N$246))</f>
        <v>0</v>
      </c>
      <c r="CC29" s="1261">
        <f>SUMPRODUCT(('[178]факт+прогноз НДПИ'!$C$220:$N$220=$L29)*('[178]факт+прогноз НДПИ'!$C$221:$N$221))</f>
        <v>0</v>
      </c>
      <c r="CD29" s="1261">
        <f>SUMPRODUCT(([178]БП_Urals!$C$245:$N$245=$L29)*([178]БП_Urals!$C$246:$N$246))-CB29</f>
        <v>0</v>
      </c>
      <c r="CE29" s="1261"/>
      <c r="CF29" s="1261"/>
      <c r="CG29" s="354"/>
      <c r="CH29" s="1368"/>
      <c r="CI29" s="1368"/>
      <c r="CJ29" s="1368"/>
      <c r="CK29" s="1368"/>
      <c r="CL29" s="1386"/>
      <c r="CM29" s="1391"/>
      <c r="CN29" s="1379"/>
      <c r="CO29" s="1368"/>
      <c r="CP29" s="1386">
        <f t="shared" si="61"/>
        <v>0</v>
      </c>
      <c r="CQ29" s="274"/>
      <c r="CR29" s="1235"/>
      <c r="CS29" s="1261"/>
      <c r="CT29" s="1261"/>
      <c r="CU29" s="1261"/>
      <c r="CV29" s="1368"/>
      <c r="CW29" s="1368"/>
      <c r="CX29" s="1261"/>
      <c r="CY29" s="1372"/>
      <c r="CZ29" s="1451"/>
      <c r="DA29" s="1293"/>
      <c r="DB29" s="1293"/>
      <c r="DC29" s="1293">
        <f t="shared" si="71"/>
        <v>0</v>
      </c>
      <c r="DD29" s="1293"/>
      <c r="DE29" s="1293"/>
      <c r="DF29" s="1293">
        <f t="shared" ca="1" si="74"/>
        <v>0</v>
      </c>
      <c r="DG29" s="1293"/>
      <c r="DH29" s="1293">
        <f t="shared" ca="1" si="76"/>
        <v>0</v>
      </c>
      <c r="DI29" s="1293"/>
      <c r="DJ29" s="1293">
        <f t="shared" si="78"/>
        <v>0</v>
      </c>
      <c r="DK29" s="1293">
        <f t="shared" si="79"/>
        <v>0</v>
      </c>
      <c r="DL29" s="1293">
        <f t="shared" si="80"/>
        <v>0</v>
      </c>
      <c r="DM29" s="1388">
        <f t="shared" ca="1" si="81"/>
        <v>0</v>
      </c>
      <c r="DO29" s="69"/>
    </row>
    <row r="30" spans="1:119" s="69" customFormat="1" ht="15.95" customHeight="1" x14ac:dyDescent="0.25">
      <c r="A30" s="1206" cm="1">
        <f t="array" ref="A30">IFERROR(_xlfn.FILTERXML(Лист1!Q35,"//Value"),A29)</f>
        <v>104.0741</v>
      </c>
      <c r="B30" s="52"/>
      <c r="C30" s="33"/>
      <c r="D30" s="33"/>
      <c r="E30" s="33"/>
      <c r="F30" s="33"/>
      <c r="G30" s="33"/>
      <c r="H30" s="52"/>
      <c r="I30" s="33"/>
      <c r="J30" s="1415" t="s">
        <v>389</v>
      </c>
      <c r="K30" s="1369"/>
      <c r="L30" s="1218">
        <f t="shared" si="34"/>
        <v>44607</v>
      </c>
      <c r="M30" s="180">
        <v>44607</v>
      </c>
      <c r="N30" s="81">
        <v>44643</v>
      </c>
      <c r="O30" s="1219">
        <f t="shared" si="35"/>
        <v>44656</v>
      </c>
      <c r="P30" s="181">
        <v>44656</v>
      </c>
      <c r="Q30" s="1246">
        <f>P30-M30</f>
        <v>49</v>
      </c>
      <c r="R30" s="679">
        <f t="shared" si="83"/>
        <v>13</v>
      </c>
      <c r="S30" s="1449"/>
      <c r="T30" s="707"/>
      <c r="U30" s="652"/>
      <c r="V30" s="652"/>
      <c r="W30" s="652"/>
      <c r="X30" s="8" t="s">
        <v>400</v>
      </c>
      <c r="Y30" s="172" cm="1">
        <f t="array" ref="Y30">IFERROR(_xlfn.FILTERXML(Лист1!J48,"//Value"),Y29)</f>
        <v>76.5762</v>
      </c>
      <c r="Z30" s="176" cm="1">
        <f t="array" ref="Z30">IFERROR(_xlfn.FILTERXML(Лист1!C59,"//Value"),Z29)</f>
        <v>83.593199999999996</v>
      </c>
      <c r="AA30" s="458">
        <f t="shared" ca="1" si="84"/>
        <v>23496</v>
      </c>
      <c r="AB30" s="1377"/>
      <c r="AC30" s="1258"/>
      <c r="AD30" s="1258"/>
      <c r="AE30" s="1258"/>
      <c r="AF30" s="1258"/>
      <c r="AG30" s="1284">
        <f>SUM(AB30:AF30)</f>
        <v>0</v>
      </c>
      <c r="AH30" s="627"/>
      <c r="AI30" s="8">
        <f t="shared" ca="1" si="37"/>
        <v>0</v>
      </c>
      <c r="AJ30" s="8">
        <f t="shared" ca="1" si="38"/>
        <v>0</v>
      </c>
      <c r="AK30" s="1369" t="e">
        <f t="shared" ca="1" si="102"/>
        <v>#DIV/0!</v>
      </c>
      <c r="AL30" s="1260" t="e">
        <f t="shared" ca="1" si="102"/>
        <v>#DIV/0!</v>
      </c>
      <c r="AM30" s="1260" t="e">
        <f ca="1">AD30*$CZ30*$AA30*$Y30/1000/1000</f>
        <v>#DIV/0!</v>
      </c>
      <c r="AN30" s="1260" t="e">
        <f ca="1">AE30*$CZ30*$AA30*$Y30/1000/1000</f>
        <v>#DIV/0!</v>
      </c>
      <c r="AO30" s="1260" t="e">
        <f ca="1">AF30*$CZ30*$AA30*$Y30/1000/1000</f>
        <v>#DIV/0!</v>
      </c>
      <c r="AP30" s="1371" t="e">
        <f ca="1">AG30*$CZ30*$AA30*$Y30/1000/1000</f>
        <v>#DIV/0!</v>
      </c>
      <c r="AQ30" s="1404" t="e">
        <f ca="1">(AJ30+AJ31)/1000/1000-AP30</f>
        <v>#DIV/0!</v>
      </c>
      <c r="AR30" s="91">
        <f ca="1">AI30*Z30</f>
        <v>0</v>
      </c>
      <c r="AS30" s="287">
        <f ca="1">AR30-AJ30</f>
        <v>0</v>
      </c>
      <c r="AT30" s="1311" t="e">
        <f t="shared" ca="1" si="97"/>
        <v>#DIV/0!</v>
      </c>
      <c r="AU30" s="1264" t="e">
        <f ca="1">(AC30-C30)*$CZ30*$AA30*$Y30/1000/1000</f>
        <v>#DIV/0!</v>
      </c>
      <c r="AV30" s="1264" t="e">
        <f t="shared" ca="1" si="98"/>
        <v>#DIV/0!</v>
      </c>
      <c r="AW30" s="1264" t="e">
        <f t="shared" ca="1" si="99"/>
        <v>#DIV/0!</v>
      </c>
      <c r="AX30" s="1264" t="e">
        <f t="shared" ca="1" si="100"/>
        <v>#DIV/0!</v>
      </c>
      <c r="AY30" s="1264" t="e">
        <f t="shared" ca="1" si="47"/>
        <v>#DIV/0!</v>
      </c>
      <c r="AZ30" s="1369"/>
      <c r="BA30" s="1260" t="e">
        <f ca="1">(I30+D30)*AA30*CZ30*A30</f>
        <v>#DIV/0!</v>
      </c>
      <c r="BB30" s="1260">
        <f ca="1">(BC30+BE30+BF30+BD30)*AA30+0.76*Y30*AA30</f>
        <v>1367418.140352</v>
      </c>
      <c r="BC30" s="637"/>
      <c r="BD30" s="637"/>
      <c r="BE30" s="1244"/>
      <c r="BF30" s="1244"/>
      <c r="BG30" s="1258"/>
      <c r="BH30" s="1228">
        <f t="shared" ca="1" si="49"/>
        <v>0</v>
      </c>
      <c r="BI30" s="1228">
        <f t="shared" ca="1" si="50"/>
        <v>0</v>
      </c>
      <c r="BJ30" s="1228">
        <f t="shared" ca="1" si="51"/>
        <v>0</v>
      </c>
      <c r="BK30" s="1228">
        <f ca="1">AR30/AA30-AZ30-BG30</f>
        <v>0</v>
      </c>
      <c r="BL30" s="1228"/>
      <c r="BM30" s="1228">
        <f ca="1">BJ30-BL30</f>
        <v>0</v>
      </c>
      <c r="BN30" s="1226">
        <f t="shared" ca="1" si="105"/>
        <v>0</v>
      </c>
      <c r="BO30" s="1228"/>
      <c r="BP30" s="94"/>
      <c r="BQ30" s="372"/>
      <c r="BR30" s="44">
        <f t="shared" ca="1" si="55"/>
        <v>0</v>
      </c>
      <c r="BS30" s="10">
        <f t="shared" si="9"/>
        <v>0</v>
      </c>
      <c r="BT30" s="513">
        <f t="shared" si="10"/>
        <v>0</v>
      </c>
      <c r="BU30" s="513">
        <f t="shared" ca="1" si="11"/>
        <v>0</v>
      </c>
      <c r="BV30" s="378">
        <f t="shared" ca="1" si="12"/>
        <v>0</v>
      </c>
      <c r="BW30" s="368"/>
      <c r="BX30" s="506"/>
      <c r="BY30" s="506"/>
      <c r="BZ30" s="508"/>
      <c r="CA30" s="507"/>
      <c r="CB30" s="1369">
        <f>SUMPRODUCT(([178]БП!$C$245:$N$245=$L30)*([178]БП!$C$246:$N$246))</f>
        <v>0</v>
      </c>
      <c r="CC30" s="1260">
        <f>SUMPRODUCT(('[178]факт+прогноз НДПИ'!$C$220:$N$220=$L30)*('[178]факт+прогноз НДПИ'!$C$221:$N$221))</f>
        <v>0</v>
      </c>
      <c r="CD30" s="1260">
        <f>SUMPRODUCT(([178]БП_Urals!$C$245:$N$245=$L30)*([178]БП_Urals!$C$246:$N$246))-CB30</f>
        <v>0</v>
      </c>
      <c r="CE30" s="1260">
        <f>SUMPRODUCT(([178]БП_курс!$C$245:$N$245=$L30)*([178]БП_курс!$C$246:$N$246))-CB30</f>
        <v>0</v>
      </c>
      <c r="CF30" s="1260">
        <f t="shared" si="56"/>
        <v>0</v>
      </c>
      <c r="CG30" s="492"/>
      <c r="CH30" s="1367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367">
        <f ca="1">(CB30-CC30)*AA30</f>
        <v>0</v>
      </c>
      <c r="CJ30" s="1367">
        <f t="shared" ca="1" si="58"/>
        <v>0</v>
      </c>
      <c r="CK30" s="1367">
        <f t="shared" ca="1" si="59"/>
        <v>0</v>
      </c>
      <c r="CL30" s="1385">
        <f t="shared" ca="1" si="60"/>
        <v>0</v>
      </c>
      <c r="CM30" s="1377"/>
      <c r="CN30" s="1258"/>
      <c r="CO30" s="1367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#VALUE!</v>
      </c>
      <c r="CP30" s="1385" t="e">
        <f t="shared" ca="1" si="61"/>
        <v>#VALUE!</v>
      </c>
      <c r="CQ30" s="578"/>
      <c r="CR30" s="14"/>
      <c r="CS30" s="1260">
        <f ca="1">AA30*BK30/1000/1000</f>
        <v>0</v>
      </c>
      <c r="CT30" s="1260">
        <f ca="1">BL30*AA30</f>
        <v>0</v>
      </c>
      <c r="CU30" s="1260">
        <f t="shared" ca="1" si="64"/>
        <v>0</v>
      </c>
      <c r="CV30" s="1367" t="e">
        <f ca="1">BL30/CR30*Y30*AA30</f>
        <v>#DIV/0!</v>
      </c>
      <c r="CW30" s="1367" t="e">
        <f ca="1">BL30/CR30*Z30*AA30</f>
        <v>#DIV/0!</v>
      </c>
      <c r="CX30" s="1260" t="e">
        <f ca="1">CV30-CT30</f>
        <v>#DIV/0!</v>
      </c>
      <c r="CY30" s="1371" t="e">
        <f ca="1">CW30-CH30</f>
        <v>#DIV/0!</v>
      </c>
      <c r="CZ30" s="1451" t="e">
        <f ca="1">AI30/AA30/BR30</f>
        <v>#DIV/0!</v>
      </c>
      <c r="DA30" s="1292" t="e">
        <f ca="1">CR30*AA30*BU30*CZ30/1000000</f>
        <v>#DIV/0!</v>
      </c>
      <c r="DB30" s="1292" t="e">
        <f ca="1">CR30*AA30*BV30*CZ30/1000000</f>
        <v>#DIV/0!</v>
      </c>
      <c r="DC30" s="1292">
        <f t="shared" si="71"/>
        <v>0</v>
      </c>
      <c r="DD30" s="1292" t="e">
        <f ca="1">SUM(AT30,AW30,AX30)</f>
        <v>#DIV/0!</v>
      </c>
      <c r="DE30" s="1292" t="e">
        <f ca="1">AL30</f>
        <v>#DIV/0!</v>
      </c>
      <c r="DF30" s="1292" t="e">
        <f t="shared" ca="1" si="74"/>
        <v>#DIV/0!</v>
      </c>
      <c r="DG30" s="1292" t="e">
        <f ca="1">(BA30-BB30)/1000/1000</f>
        <v>#DIV/0!</v>
      </c>
      <c r="DH30" s="1292">
        <f t="shared" ca="1" si="76"/>
        <v>0</v>
      </c>
      <c r="DI30" s="1292">
        <f ca="1">AS30/1000000</f>
        <v>0</v>
      </c>
      <c r="DJ30" s="1292">
        <f t="shared" ca="1" si="78"/>
        <v>0</v>
      </c>
      <c r="DK30" s="1292" t="e">
        <f t="shared" ca="1" si="79"/>
        <v>#DIV/0!</v>
      </c>
      <c r="DL30" s="1292" t="e">
        <f t="shared" ca="1" si="80"/>
        <v>#VALUE!</v>
      </c>
      <c r="DM30" s="55" t="e">
        <f t="shared" ca="1" si="81"/>
        <v>#DIV/0!</v>
      </c>
      <c r="DN30" s="68"/>
    </row>
    <row r="31" spans="1:119" s="69" customFormat="1" ht="15.95" customHeight="1" x14ac:dyDescent="0.25">
      <c r="A31" s="1206" cm="1">
        <f t="array" ref="A31">IFERROR(_xlfn.FILTERXML(Лист1!Q36,"//Value"),A30)</f>
        <v>103.1618</v>
      </c>
      <c r="B31" s="52"/>
      <c r="C31" s="33"/>
      <c r="D31" s="33"/>
      <c r="E31" s="33"/>
      <c r="F31" s="33"/>
      <c r="G31" s="33"/>
      <c r="H31" s="52"/>
      <c r="I31" s="33"/>
      <c r="J31" s="1416"/>
      <c r="K31" s="1370"/>
      <c r="L31" s="1218">
        <f t="shared" si="34"/>
        <v>44608</v>
      </c>
      <c r="M31" s="180">
        <v>44608</v>
      </c>
      <c r="N31" s="81">
        <v>44644</v>
      </c>
      <c r="O31" s="1219">
        <f t="shared" si="35"/>
        <v>44657</v>
      </c>
      <c r="P31" s="181">
        <v>44657</v>
      </c>
      <c r="Q31" s="1247"/>
      <c r="R31" s="679">
        <f t="shared" si="83"/>
        <v>13</v>
      </c>
      <c r="S31" s="1450"/>
      <c r="T31" s="707"/>
      <c r="U31" s="652"/>
      <c r="V31" s="652"/>
      <c r="W31" s="652"/>
      <c r="X31" s="8" t="s">
        <v>400</v>
      </c>
      <c r="Y31" s="172" cm="1">
        <f t="array" ref="Y31">IFERROR(_xlfn.FILTERXML(Лист1!J49,"//Value"),Y30)</f>
        <v>76.165999999999997</v>
      </c>
      <c r="Z31" s="176" cm="1">
        <f t="array" ref="Z31">IFERROR(_xlfn.FILTERXML(Лист1!C60,"//Value"),Z30)</f>
        <v>83.352000000000004</v>
      </c>
      <c r="AA31" s="458">
        <f t="shared" ca="1" si="84"/>
        <v>19668</v>
      </c>
      <c r="AB31" s="1391"/>
      <c r="AC31" s="1259"/>
      <c r="AD31" s="1259"/>
      <c r="AE31" s="1259"/>
      <c r="AF31" s="1259"/>
      <c r="AG31" s="1285"/>
      <c r="AH31" s="628"/>
      <c r="AI31" s="8">
        <f t="shared" ca="1" si="37"/>
        <v>0</v>
      </c>
      <c r="AJ31" s="8">
        <f t="shared" ca="1" si="38"/>
        <v>0</v>
      </c>
      <c r="AK31" s="1370"/>
      <c r="AL31" s="1261"/>
      <c r="AM31" s="1261"/>
      <c r="AN31" s="1261"/>
      <c r="AO31" s="1261"/>
      <c r="AP31" s="1372"/>
      <c r="AQ31" s="1426"/>
      <c r="AR31" s="647"/>
      <c r="AS31" s="639">
        <f ca="1">AR31-AJ31</f>
        <v>0</v>
      </c>
      <c r="AT31" s="1312"/>
      <c r="AU31" s="1251"/>
      <c r="AV31" s="1251">
        <f t="shared" ca="1" si="98"/>
        <v>0</v>
      </c>
      <c r="AW31" s="1251">
        <f t="shared" ca="1" si="99"/>
        <v>0</v>
      </c>
      <c r="AX31" s="1251">
        <f t="shared" ca="1" si="100"/>
        <v>0</v>
      </c>
      <c r="AY31" s="1251">
        <f t="shared" ref="AY31" ca="1" si="106">SUM(AT31:AX31)</f>
        <v>0</v>
      </c>
      <c r="AZ31" s="1370"/>
      <c r="BA31" s="1261"/>
      <c r="BB31" s="1261"/>
      <c r="BC31" s="638"/>
      <c r="BD31" s="638"/>
      <c r="BE31" s="1245"/>
      <c r="BF31" s="1245"/>
      <c r="BG31" s="1259"/>
      <c r="BH31" s="1229"/>
      <c r="BI31" s="1229"/>
      <c r="BJ31" s="1229"/>
      <c r="BK31" s="1229"/>
      <c r="BL31" s="1229"/>
      <c r="BM31" s="1229"/>
      <c r="BN31" s="1227"/>
      <c r="BO31" s="1229"/>
      <c r="BP31" s="94"/>
      <c r="BQ31" s="642"/>
      <c r="BR31" s="44">
        <f t="shared" ca="1" si="55"/>
        <v>0</v>
      </c>
      <c r="BS31" s="10">
        <f t="shared" si="9"/>
        <v>0</v>
      </c>
      <c r="BT31" s="513">
        <f t="shared" si="10"/>
        <v>0</v>
      </c>
      <c r="BU31" s="513">
        <f t="shared" ca="1" si="11"/>
        <v>0</v>
      </c>
      <c r="BV31" s="378">
        <f t="shared" ca="1" si="12"/>
        <v>0</v>
      </c>
      <c r="BW31" s="647"/>
      <c r="BX31" s="647"/>
      <c r="BY31" s="647"/>
      <c r="BZ31" s="639"/>
      <c r="CA31" s="642"/>
      <c r="CB31" s="1370"/>
      <c r="CC31" s="1261"/>
      <c r="CD31" s="1261"/>
      <c r="CE31" s="1261"/>
      <c r="CF31" s="1261"/>
      <c r="CG31" s="635"/>
      <c r="CH31" s="1368"/>
      <c r="CI31" s="1368"/>
      <c r="CJ31" s="1368"/>
      <c r="CK31" s="1368"/>
      <c r="CL31" s="1386"/>
      <c r="CM31" s="1391"/>
      <c r="CN31" s="1379"/>
      <c r="CO31" s="1368"/>
      <c r="CP31" s="1386">
        <f t="shared" si="61"/>
        <v>0</v>
      </c>
      <c r="CQ31" s="641"/>
      <c r="CR31" s="14"/>
      <c r="CS31" s="1261"/>
      <c r="CT31" s="1261"/>
      <c r="CU31" s="1261"/>
      <c r="CV31" s="1368"/>
      <c r="CW31" s="1368"/>
      <c r="CX31" s="1261"/>
      <c r="CY31" s="1372"/>
      <c r="CZ31" s="1451"/>
      <c r="DA31" s="1293"/>
      <c r="DB31" s="1293"/>
      <c r="DC31" s="1293">
        <f t="shared" si="71"/>
        <v>0</v>
      </c>
      <c r="DD31" s="1293"/>
      <c r="DE31" s="1293"/>
      <c r="DF31" s="1293"/>
      <c r="DG31" s="1293"/>
      <c r="DH31" s="1293"/>
      <c r="DI31" s="1293"/>
      <c r="DJ31" s="1293"/>
      <c r="DK31" s="1293"/>
      <c r="DL31" s="1293"/>
      <c r="DM31" s="55">
        <f t="shared" si="81"/>
        <v>0</v>
      </c>
      <c r="DN31" s="68"/>
    </row>
    <row r="32" spans="1:119" s="69" customFormat="1" ht="15.95" customHeight="1" x14ac:dyDescent="0.25">
      <c r="A32" s="1206" cm="1">
        <f t="array" ref="A32">IFERROR(_xlfn.FILTERXML(Лист1!Q37,"//Value"),A31)</f>
        <v>96.0458</v>
      </c>
      <c r="B32" s="18"/>
      <c r="C32" s="11"/>
      <c r="D32" s="11"/>
      <c r="E32" s="11"/>
      <c r="F32" s="11"/>
      <c r="G32" s="11"/>
      <c r="H32" s="18"/>
      <c r="I32" s="11"/>
      <c r="J32" s="286" t="s">
        <v>387</v>
      </c>
      <c r="K32" s="61"/>
      <c r="L32" s="1218">
        <f t="shared" si="34"/>
        <v>44609</v>
      </c>
      <c r="M32" s="180">
        <v>44609</v>
      </c>
      <c r="N32" s="81">
        <v>44645</v>
      </c>
      <c r="O32" s="1219">
        <f t="shared" si="35"/>
        <v>44658</v>
      </c>
      <c r="P32" s="181">
        <v>44658</v>
      </c>
      <c r="Q32" s="16">
        <f>P32-M32</f>
        <v>49</v>
      </c>
      <c r="R32" s="679">
        <f t="shared" si="83"/>
        <v>13</v>
      </c>
      <c r="S32" s="684"/>
      <c r="T32" s="707"/>
      <c r="U32" s="652"/>
      <c r="V32" s="652"/>
      <c r="W32" s="652"/>
      <c r="X32" s="8" t="s">
        <v>400</v>
      </c>
      <c r="Y32" s="172" cm="1">
        <f t="array" ref="Y32">IFERROR(_xlfn.FILTERXML(Лист1!J50,"//Value"),Y31)</f>
        <v>75.014099999999999</v>
      </c>
      <c r="Z32" s="176" cm="1">
        <f t="array" ref="Z32">IFERROR(_xlfn.FILTERXML(Лист1!C61,"//Value"),Z31)</f>
        <v>82.596199999999996</v>
      </c>
      <c r="AA32" s="458">
        <f t="shared" ca="1" si="84"/>
        <v>21515</v>
      </c>
      <c r="AB32" s="11"/>
      <c r="AC32" s="11"/>
      <c r="AD32" s="11"/>
      <c r="AE32" s="11"/>
      <c r="AF32" s="11"/>
      <c r="AG32" s="75">
        <f>SUM(AB32:AF32)</f>
        <v>0</v>
      </c>
      <c r="AH32" s="18"/>
      <c r="AI32" s="8">
        <f t="shared" ca="1" si="37"/>
        <v>0</v>
      </c>
      <c r="AJ32" s="8">
        <f t="shared" ca="1" si="38"/>
        <v>0</v>
      </c>
      <c r="AK32" s="280" t="e">
        <f t="shared" ref="AK32:AP34" ca="1" si="107">AB32*$CZ32*$AA32*$Y32/1000/1000</f>
        <v>#DIV/0!</v>
      </c>
      <c r="AL32" s="275" t="e">
        <f t="shared" ca="1" si="107"/>
        <v>#DIV/0!</v>
      </c>
      <c r="AM32" s="275" t="e">
        <f t="shared" ca="1" si="107"/>
        <v>#DIV/0!</v>
      </c>
      <c r="AN32" s="275" t="e">
        <f t="shared" ca="1" si="107"/>
        <v>#DIV/0!</v>
      </c>
      <c r="AO32" s="275" t="e">
        <f t="shared" ca="1" si="107"/>
        <v>#DIV/0!</v>
      </c>
      <c r="AP32" s="278" t="e">
        <f t="shared" ca="1" si="107"/>
        <v>#DIV/0!</v>
      </c>
      <c r="AQ32" s="90" t="e">
        <f t="shared" ca="1" si="44"/>
        <v>#DIV/0!</v>
      </c>
      <c r="AR32" s="91">
        <f ca="1">AI32*Z32</f>
        <v>0</v>
      </c>
      <c r="AS32" s="287">
        <f ca="1">AR32-AJ32</f>
        <v>0</v>
      </c>
      <c r="AT32" s="275" t="e">
        <f t="shared" ref="AT32:AU34" ca="1" si="108">(AB32-B32)*$CZ32*$AA32*$Y32/1000/1000</f>
        <v>#DIV/0!</v>
      </c>
      <c r="AU32" s="275" t="e">
        <f t="shared" ca="1" si="108"/>
        <v>#DIV/0!</v>
      </c>
      <c r="AV32" s="275" t="e">
        <f t="shared" ca="1" si="98"/>
        <v>#DIV/0!</v>
      </c>
      <c r="AW32" s="275" t="e">
        <f t="shared" ca="1" si="99"/>
        <v>#DIV/0!</v>
      </c>
      <c r="AX32" s="275" t="e">
        <f t="shared" ca="1" si="100"/>
        <v>#DIV/0!</v>
      </c>
      <c r="AY32" s="278" t="e">
        <f t="shared" ca="1" si="47"/>
        <v>#DIV/0!</v>
      </c>
      <c r="AZ32" s="61"/>
      <c r="BA32" s="276" t="e">
        <f ca="1">(I32+D32)*AA32*CZ32*A32</f>
        <v>#DIV/0!</v>
      </c>
      <c r="BB32" s="276">
        <f t="shared" ca="1" si="48"/>
        <v>1226585.5547400001</v>
      </c>
      <c r="BC32" s="264"/>
      <c r="BD32" s="264"/>
      <c r="BE32" s="264"/>
      <c r="BF32" s="264"/>
      <c r="BG32" s="11"/>
      <c r="BH32" s="275">
        <f t="shared" ca="1" si="49"/>
        <v>0</v>
      </c>
      <c r="BI32" s="275">
        <f t="shared" ca="1" si="50"/>
        <v>0</v>
      </c>
      <c r="BJ32" s="91">
        <f t="shared" ca="1" si="51"/>
        <v>0</v>
      </c>
      <c r="BK32" s="91">
        <f ca="1">AR32/AA32-AZ32-BG32</f>
        <v>0</v>
      </c>
      <c r="BL32" s="91"/>
      <c r="BM32" s="91">
        <f ca="1">BJ32-BL32</f>
        <v>0</v>
      </c>
      <c r="BN32" s="647">
        <f t="shared" ca="1" si="105"/>
        <v>0</v>
      </c>
      <c r="BO32" s="11"/>
      <c r="BP32" s="78"/>
      <c r="BQ32" s="372"/>
      <c r="BR32" s="44">
        <f t="shared" ca="1" si="55"/>
        <v>0</v>
      </c>
      <c r="BS32" s="10">
        <f t="shared" si="9"/>
        <v>0</v>
      </c>
      <c r="BT32" s="513">
        <f t="shared" si="10"/>
        <v>0</v>
      </c>
      <c r="BU32" s="513">
        <f t="shared" ca="1" si="11"/>
        <v>0</v>
      </c>
      <c r="BV32" s="378">
        <f t="shared" ca="1" si="12"/>
        <v>0</v>
      </c>
      <c r="BW32" s="368"/>
      <c r="BX32" s="506"/>
      <c r="BY32" s="506"/>
      <c r="BZ32" s="508"/>
      <c r="CA32" s="507"/>
      <c r="CB32" s="491">
        <f>SUMPRODUCT(([178]БП!$C$245:$N$245=$L32)*([178]БП!$C$246:$N$246))</f>
        <v>0</v>
      </c>
      <c r="CC32" s="492">
        <f>SUMPRODUCT(('[178]факт+прогноз НДПИ'!$C$220:$N$220=$L32)*('[178]факт+прогноз НДПИ'!$C$221:$N$221))</f>
        <v>0</v>
      </c>
      <c r="CD32" s="492">
        <f>SUMPRODUCT(([178]БП_Urals!$C$245:$N$245=$L32)*([178]БП_Urals!$C$246:$N$246))-CB32</f>
        <v>0</v>
      </c>
      <c r="CE32" s="492">
        <f>SUMPRODUCT(([178]БП_курс!$C$245:$N$245=$L32)*([178]БП_курс!$C$246:$N$246))-CB32</f>
        <v>0</v>
      </c>
      <c r="CF32" s="492">
        <f t="shared" si="56"/>
        <v>0</v>
      </c>
      <c r="CG32" s="492"/>
      <c r="CH32" s="807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8">
        <f ca="1">(CB32-CC32)*AA32</f>
        <v>0</v>
      </c>
      <c r="CJ32" s="28">
        <f t="shared" ca="1" si="58"/>
        <v>0</v>
      </c>
      <c r="CK32" s="28">
        <f t="shared" ca="1" si="59"/>
        <v>0</v>
      </c>
      <c r="CL32" s="41">
        <f t="shared" ca="1" si="60"/>
        <v>0</v>
      </c>
      <c r="CM32" s="809"/>
      <c r="CN32" s="11"/>
      <c r="CO32" s="807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#VALUE!</v>
      </c>
      <c r="CP32" s="41" t="e">
        <f t="shared" ca="1" si="61"/>
        <v>#VALUE!</v>
      </c>
      <c r="CQ32" s="578"/>
      <c r="CR32" s="14"/>
      <c r="CS32" s="91">
        <f ca="1">AA32*BK32/1000/1000</f>
        <v>0</v>
      </c>
      <c r="CT32" s="91">
        <f ca="1">BL32*AA32</f>
        <v>0</v>
      </c>
      <c r="CU32" s="91">
        <f t="shared" ca="1" si="64"/>
        <v>0</v>
      </c>
      <c r="CV32" s="16" t="e">
        <f ca="1">BL32/CR32*Y32*AA32</f>
        <v>#DIV/0!</v>
      </c>
      <c r="CW32" s="16" t="e">
        <f ca="1">BL32/CR32*Z32*AA32</f>
        <v>#DIV/0!</v>
      </c>
      <c r="CX32" s="91" t="e">
        <f ca="1">CV32-CT32</f>
        <v>#DIV/0!</v>
      </c>
      <c r="CY32" s="287" t="e">
        <f ca="1">CW32-CH32</f>
        <v>#DIV/0!</v>
      </c>
      <c r="CZ32" s="457" t="e">
        <f ca="1">AI32/AA32/BR32</f>
        <v>#DIV/0!</v>
      </c>
      <c r="DA32" s="762" t="e">
        <f ca="1">CR32*AA32*BU32*CZ32/1000000</f>
        <v>#DIV/0!</v>
      </c>
      <c r="DB32" s="762" t="e">
        <f ca="1">CR32*AA32*BV32*CZ32/1000000</f>
        <v>#DIV/0!</v>
      </c>
      <c r="DC32" s="762">
        <f t="shared" si="71"/>
        <v>0</v>
      </c>
      <c r="DD32" s="762" t="e">
        <f t="shared" ref="DD32:DD41" ca="1" si="109">SUM(AT32,AW32,AX32)</f>
        <v>#DIV/0!</v>
      </c>
      <c r="DE32" s="762" t="e">
        <f t="shared" ref="DE32:DE41" ca="1" si="110">AL32</f>
        <v>#DIV/0!</v>
      </c>
      <c r="DF32" s="762" t="e">
        <f t="shared" ref="DF32:DF41" ca="1" si="111">AV32</f>
        <v>#DIV/0!</v>
      </c>
      <c r="DG32" s="762" t="e">
        <f t="shared" ref="DG32:DG41" ca="1" si="112">(BA32-BB32)/1000/1000</f>
        <v>#DIV/0!</v>
      </c>
      <c r="DH32" s="762">
        <f t="shared" ref="DH32:DH41" ca="1" si="113">(BH32-BI32)/1000/1000</f>
        <v>0</v>
      </c>
      <c r="DI32" s="762">
        <f ca="1">AS32/1000000</f>
        <v>0</v>
      </c>
      <c r="DJ32" s="762">
        <f t="shared" ref="DJ32:DJ41" ca="1" si="114">CI32/1000/1000</f>
        <v>0</v>
      </c>
      <c r="DK32" s="762" t="e">
        <f ca="1">CY32/1000/1000</f>
        <v>#DIV/0!</v>
      </c>
      <c r="DL32" s="762" t="e">
        <f ca="1">CP32/1000/1000</f>
        <v>#VALUE!</v>
      </c>
      <c r="DM32" s="55" t="e">
        <f t="shared" ca="1" si="81"/>
        <v>#DIV/0!</v>
      </c>
      <c r="DN32" s="68"/>
    </row>
    <row r="33" spans="1:118" s="69" customFormat="1" ht="15.95" customHeight="1" x14ac:dyDescent="0.25">
      <c r="A33" s="1206" cm="1">
        <f t="array" ref="A33">IFERROR(_xlfn.FILTERXML(Лист1!Q38,"//Value"),A32)</f>
        <v>96.0458</v>
      </c>
      <c r="B33" s="52"/>
      <c r="C33" s="33"/>
      <c r="D33" s="33"/>
      <c r="E33" s="33"/>
      <c r="F33" s="33"/>
      <c r="G33" s="33"/>
      <c r="H33" s="52"/>
      <c r="I33" s="33"/>
      <c r="J33" s="89" t="s">
        <v>387</v>
      </c>
      <c r="K33" s="631"/>
      <c r="L33" s="1218">
        <f t="shared" si="34"/>
        <v>44610</v>
      </c>
      <c r="M33" s="180">
        <v>44610</v>
      </c>
      <c r="N33" s="81">
        <v>44648</v>
      </c>
      <c r="O33" s="1219">
        <f t="shared" si="35"/>
        <v>44659</v>
      </c>
      <c r="P33" s="181">
        <v>44659</v>
      </c>
      <c r="Q33" s="659">
        <f>P33-M33</f>
        <v>49</v>
      </c>
      <c r="R33" s="679">
        <f t="shared" si="83"/>
        <v>11</v>
      </c>
      <c r="S33" s="684"/>
      <c r="T33" s="659"/>
      <c r="U33" s="659"/>
      <c r="V33" s="659"/>
      <c r="W33" s="659"/>
      <c r="X33" s="8" t="s">
        <v>400</v>
      </c>
      <c r="Y33" s="172" cm="1">
        <f t="array" ref="Y33">IFERROR(_xlfn.FILTERXML(Лист1!J51,"//Value"),Y32)</f>
        <v>75.752700000000004</v>
      </c>
      <c r="Z33" s="176" cm="1">
        <f t="array" ref="Z33">IFERROR(_xlfn.FILTERXML(Лист1!C62,"//Value"),Z32)</f>
        <v>76.2547</v>
      </c>
      <c r="AA33" s="458">
        <f t="shared" ca="1" si="84"/>
        <v>33370</v>
      </c>
      <c r="AB33" s="455"/>
      <c r="AC33" s="352"/>
      <c r="AD33" s="352"/>
      <c r="AE33" s="352"/>
      <c r="AF33" s="352"/>
      <c r="AG33" s="359">
        <f>SUM(AB33:AF33)</f>
        <v>0</v>
      </c>
      <c r="AH33" s="629"/>
      <c r="AI33" s="8">
        <f t="shared" ca="1" si="37"/>
        <v>0</v>
      </c>
      <c r="AJ33" s="8">
        <f t="shared" ca="1" si="38"/>
        <v>0</v>
      </c>
      <c r="AK33" s="280" t="e">
        <f t="shared" ca="1" si="107"/>
        <v>#DIV/0!</v>
      </c>
      <c r="AL33" s="275" t="e">
        <f t="shared" ca="1" si="107"/>
        <v>#DIV/0!</v>
      </c>
      <c r="AM33" s="275" t="e">
        <f t="shared" ca="1" si="107"/>
        <v>#DIV/0!</v>
      </c>
      <c r="AN33" s="275" t="e">
        <f t="shared" ca="1" si="107"/>
        <v>#DIV/0!</v>
      </c>
      <c r="AO33" s="275" t="e">
        <f t="shared" ca="1" si="107"/>
        <v>#DIV/0!</v>
      </c>
      <c r="AP33" s="278" t="e">
        <f t="shared" ca="1" si="107"/>
        <v>#DIV/0!</v>
      </c>
      <c r="AQ33" s="90" t="e">
        <f t="shared" ca="1" si="44"/>
        <v>#DIV/0!</v>
      </c>
      <c r="AR33" s="353">
        <f ca="1">AI33*Z33</f>
        <v>0</v>
      </c>
      <c r="AS33" s="351">
        <f ca="1">AR33-AJ33</f>
        <v>0</v>
      </c>
      <c r="AT33" s="268" t="e">
        <f t="shared" ca="1" si="108"/>
        <v>#DIV/0!</v>
      </c>
      <c r="AU33" s="268" t="e">
        <f t="shared" ca="1" si="108"/>
        <v>#DIV/0!</v>
      </c>
      <c r="AV33" s="268" t="e">
        <f t="shared" ca="1" si="98"/>
        <v>#DIV/0!</v>
      </c>
      <c r="AW33" s="268" t="e">
        <f t="shared" ca="1" si="99"/>
        <v>#DIV/0!</v>
      </c>
      <c r="AX33" s="268" t="e">
        <f t="shared" ca="1" si="100"/>
        <v>#DIV/0!</v>
      </c>
      <c r="AY33" s="274" t="e">
        <f t="shared" ca="1" si="47"/>
        <v>#DIV/0!</v>
      </c>
      <c r="AZ33" s="346"/>
      <c r="BA33" s="440" t="e">
        <f ca="1">(I33+D33)*AA33*CZ33*A33</f>
        <v>#DIV/0!</v>
      </c>
      <c r="BB33" s="440">
        <f ca="1">(BC33+BE33+BF33+BD33)*AA33+0.76*Y33*AA33</f>
        <v>1921179.3752400002</v>
      </c>
      <c r="BC33" s="266"/>
      <c r="BD33" s="266"/>
      <c r="BE33" s="266"/>
      <c r="BF33" s="266"/>
      <c r="BG33" s="347"/>
      <c r="BH33" s="268">
        <f t="shared" ca="1" si="49"/>
        <v>0</v>
      </c>
      <c r="BI33" s="268">
        <f t="shared" ca="1" si="50"/>
        <v>0</v>
      </c>
      <c r="BJ33" s="441">
        <f ca="1">AJ33/AA33-AZ33-BG33*Y33</f>
        <v>0</v>
      </c>
      <c r="BK33" s="344">
        <f ca="1">AR33/AA33-AZ33-BG33</f>
        <v>0</v>
      </c>
      <c r="BL33" s="344"/>
      <c r="BM33" s="344">
        <f ca="1">BJ33-BL33</f>
        <v>0</v>
      </c>
      <c r="BN33" s="1205">
        <f t="shared" ca="1" si="105"/>
        <v>0</v>
      </c>
      <c r="BO33" s="347"/>
      <c r="BP33" s="94"/>
      <c r="BQ33" s="372"/>
      <c r="BR33" s="44">
        <f t="shared" ca="1" si="55"/>
        <v>0</v>
      </c>
      <c r="BS33" s="10">
        <f t="shared" si="9"/>
        <v>0</v>
      </c>
      <c r="BT33" s="513">
        <f t="shared" si="10"/>
        <v>0</v>
      </c>
      <c r="BU33" s="513">
        <f t="shared" ca="1" si="11"/>
        <v>0</v>
      </c>
      <c r="BV33" s="378">
        <f t="shared" ca="1" si="12"/>
        <v>0</v>
      </c>
      <c r="BW33" s="361"/>
      <c r="BX33" s="505"/>
      <c r="BY33" s="505"/>
      <c r="BZ33" s="504"/>
      <c r="CA33" s="507"/>
      <c r="CB33" s="491">
        <f>SUMPRODUCT(([178]БП!$C$245:$N$245=$L33)*([178]БП!$C$246:$N$246))</f>
        <v>0</v>
      </c>
      <c r="CC33" s="492">
        <f>SUMPRODUCT(('[178]факт+прогноз НДПИ'!$C$220:$N$220=$L33)*('[178]факт+прогноз НДПИ'!$C$221:$N$221))</f>
        <v>0</v>
      </c>
      <c r="CD33" s="492">
        <f>SUMPRODUCT(([178]БП_Urals!$C$245:$N$245=$L33)*([178]БП_Urals!$C$246:$N$246))-CB33</f>
        <v>0</v>
      </c>
      <c r="CE33" s="492">
        <f>SUMPRODUCT(([178]БП_курс!$C$245:$N$245=$L33)*([178]БП_курс!$C$246:$N$246))-CB33</f>
        <v>0</v>
      </c>
      <c r="CF33" s="492">
        <f t="shared" si="56"/>
        <v>0</v>
      </c>
      <c r="CG33" s="492"/>
      <c r="CH33" s="807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8">
        <f ca="1">(CB33-CC33)*AA33</f>
        <v>0</v>
      </c>
      <c r="CJ33" s="28">
        <f t="shared" ca="1" si="58"/>
        <v>0</v>
      </c>
      <c r="CK33" s="28">
        <f t="shared" ca="1" si="59"/>
        <v>0</v>
      </c>
      <c r="CL33" s="41">
        <f t="shared" ca="1" si="60"/>
        <v>0</v>
      </c>
      <c r="CM33" s="809"/>
      <c r="CN33" s="806"/>
      <c r="CO33" s="807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#VALUE!</v>
      </c>
      <c r="CP33" s="41" t="e">
        <f t="shared" ca="1" si="61"/>
        <v>#VALUE!</v>
      </c>
      <c r="CQ33" s="578"/>
      <c r="CR33" s="355"/>
      <c r="CS33" s="353">
        <f ca="1">AA33*BK33/1000/1000</f>
        <v>0</v>
      </c>
      <c r="CT33" s="353">
        <f ca="1">BL33*AA33</f>
        <v>0</v>
      </c>
      <c r="CU33" s="353">
        <f t="shared" ca="1" si="64"/>
        <v>0</v>
      </c>
      <c r="CV33" s="551" t="e">
        <f ca="1">BL33/CR33*Y33*AA33</f>
        <v>#DIV/0!</v>
      </c>
      <c r="CW33" s="551" t="e">
        <f ca="1">BL33/CR33*Z33*AA33</f>
        <v>#DIV/0!</v>
      </c>
      <c r="CX33" s="353" t="e">
        <f ca="1">CV33-CT33</f>
        <v>#DIV/0!</v>
      </c>
      <c r="CY33" s="351" t="e">
        <f ca="1">CW33-CH33</f>
        <v>#DIV/0!</v>
      </c>
      <c r="CZ33" s="310" t="e">
        <f ca="1">AI33/AA33/BR33</f>
        <v>#DIV/0!</v>
      </c>
      <c r="DA33" s="763" t="e">
        <f ca="1">CR33*AA33*BU33*CZ33/1000000</f>
        <v>#DIV/0!</v>
      </c>
      <c r="DB33" s="770" t="e">
        <f ca="1">CR33*AA33*BV33*CZ33/1000000</f>
        <v>#DIV/0!</v>
      </c>
      <c r="DC33" s="763">
        <f t="shared" si="71"/>
        <v>0</v>
      </c>
      <c r="DD33" s="763" t="e">
        <f t="shared" ca="1" si="109"/>
        <v>#DIV/0!</v>
      </c>
      <c r="DE33" s="763" t="e">
        <f t="shared" ca="1" si="110"/>
        <v>#DIV/0!</v>
      </c>
      <c r="DF33" s="763" t="e">
        <f t="shared" ca="1" si="111"/>
        <v>#DIV/0!</v>
      </c>
      <c r="DG33" s="763" t="e">
        <f t="shared" ca="1" si="112"/>
        <v>#DIV/0!</v>
      </c>
      <c r="DH33" s="763">
        <f t="shared" ca="1" si="113"/>
        <v>0</v>
      </c>
      <c r="DI33" s="763">
        <f ca="1">AS33/1000000</f>
        <v>0</v>
      </c>
      <c r="DJ33" s="763">
        <f t="shared" ca="1" si="114"/>
        <v>0</v>
      </c>
      <c r="DK33" s="763" t="e">
        <f ca="1">CY33/1000/1000</f>
        <v>#DIV/0!</v>
      </c>
      <c r="DL33" s="763" t="e">
        <f ca="1">CP33/1000/1000</f>
        <v>#VALUE!</v>
      </c>
      <c r="DM33" s="632" t="e">
        <f t="shared" ca="1" si="81"/>
        <v>#DIV/0!</v>
      </c>
      <c r="DN33" s="68"/>
    </row>
    <row r="34" spans="1:118" s="68" customFormat="1" ht="15.95" customHeight="1" x14ac:dyDescent="0.25">
      <c r="A34" s="1206" cm="1">
        <f t="array" ref="A34">IFERROR(_xlfn.FILTERXML(Лист1!Q39,"//Value"),A33)</f>
        <v>93.712500000000006</v>
      </c>
      <c r="B34" s="1232"/>
      <c r="C34" s="1228"/>
      <c r="D34" s="1228"/>
      <c r="E34" s="1228"/>
      <c r="F34" s="640"/>
      <c r="G34" s="1228"/>
      <c r="H34" s="1232"/>
      <c r="I34" s="1230"/>
      <c r="J34" s="1363" t="s">
        <v>391</v>
      </c>
      <c r="K34" s="1315"/>
      <c r="L34" s="1218">
        <f t="shared" si="34"/>
        <v>44613</v>
      </c>
      <c r="M34" s="180">
        <v>44613</v>
      </c>
      <c r="N34" s="81">
        <v>44649</v>
      </c>
      <c r="O34" s="1219">
        <f t="shared" si="35"/>
        <v>44662</v>
      </c>
      <c r="P34" s="181">
        <v>44662</v>
      </c>
      <c r="Q34" s="793">
        <f>P34-M34</f>
        <v>49</v>
      </c>
      <c r="R34" s="679">
        <f t="shared" si="83"/>
        <v>13</v>
      </c>
      <c r="S34" s="684"/>
      <c r="T34" s="652"/>
      <c r="U34" s="652"/>
      <c r="V34" s="652"/>
      <c r="W34" s="652"/>
      <c r="X34" s="8" t="s">
        <v>400</v>
      </c>
      <c r="Y34" s="172" cm="1">
        <f t="array" ref="Y34">IFERROR(_xlfn.FILTERXML(Лист1!J52,"//Value"),Y33)</f>
        <v>75.752700000000004</v>
      </c>
      <c r="Z34" s="176" cm="1">
        <f t="array" ref="Z34">IFERROR(_xlfn.FILTERXML(Лист1!C63,"//Value"),Z33)</f>
        <v>76.2547</v>
      </c>
      <c r="AA34" s="458">
        <f t="shared" ca="1" si="84"/>
        <v>32363</v>
      </c>
      <c r="AB34" s="1232"/>
      <c r="AC34" s="1228"/>
      <c r="AD34" s="1228"/>
      <c r="AE34" s="1228"/>
      <c r="AF34" s="1230"/>
      <c r="AG34" s="1347" t="e">
        <f ca="1">(AI34+AI35)/AA34/CZ34</f>
        <v>#DIV/0!</v>
      </c>
      <c r="AH34" s="654"/>
      <c r="AI34" s="8">
        <f t="shared" ca="1" si="37"/>
        <v>0</v>
      </c>
      <c r="AJ34" s="8">
        <f t="shared" ca="1" si="38"/>
        <v>0</v>
      </c>
      <c r="AK34" s="1311" t="e">
        <f ca="1">AB34*$CZ34*$AA34*$Y34/1000/1000</f>
        <v>#DIV/0!</v>
      </c>
      <c r="AL34" s="1264" t="e">
        <f t="shared" ca="1" si="107"/>
        <v>#DIV/0!</v>
      </c>
      <c r="AM34" s="1264" t="e">
        <f t="shared" ca="1" si="107"/>
        <v>#DIV/0!</v>
      </c>
      <c r="AN34" s="1264" t="e">
        <f t="shared" ca="1" si="107"/>
        <v>#DIV/0!</v>
      </c>
      <c r="AO34" s="1264" t="e">
        <f t="shared" ca="1" si="107"/>
        <v>#DIV/0!</v>
      </c>
      <c r="AP34" s="1323" t="e">
        <f t="shared" ca="1" si="107"/>
        <v>#DIV/0!</v>
      </c>
      <c r="AQ34" s="1375" t="e">
        <f ca="1">AJ34/1000/1000-(AP34+AJ35)/1000/1000</f>
        <v>#DIV/0!</v>
      </c>
      <c r="AR34" s="790">
        <f t="shared" ref="AR34:AR41" ca="1" si="115">AI34*Z34</f>
        <v>0</v>
      </c>
      <c r="AS34" s="803">
        <f t="shared" ref="AS34:AS41" ca="1" si="116">AR34-AJ34</f>
        <v>0</v>
      </c>
      <c r="AT34" s="1311" t="e">
        <f t="shared" ca="1" si="108"/>
        <v>#DIV/0!</v>
      </c>
      <c r="AU34" s="1264" t="e">
        <f t="shared" ca="1" si="108"/>
        <v>#DIV/0!</v>
      </c>
      <c r="AV34" s="1264" t="e">
        <f t="shared" ca="1" si="98"/>
        <v>#DIV/0!</v>
      </c>
      <c r="AW34" s="1264" t="e">
        <f t="shared" ca="1" si="99"/>
        <v>#DIV/0!</v>
      </c>
      <c r="AX34" s="1264" t="e">
        <f t="shared" ca="1" si="100"/>
        <v>#DIV/0!</v>
      </c>
      <c r="AY34" s="1323" t="e">
        <f t="shared" ref="AY34:AY40" ca="1" si="117">SUM(AT34:AX34)</f>
        <v>#DIV/0!</v>
      </c>
      <c r="AZ34" s="1277">
        <f ca="1">BB34/AA34</f>
        <v>57.572052000000006</v>
      </c>
      <c r="BA34" s="1250" t="e">
        <f ca="1">(I34+D34)*AA34*CZ34*A34</f>
        <v>#DIV/0!</v>
      </c>
      <c r="BB34" s="1250">
        <f ca="1">(BC34+BE34+BF34+BD34)*AA34+0.76*Y34*AA34</f>
        <v>1863204.3188760001</v>
      </c>
      <c r="BC34" s="1297"/>
      <c r="BD34" s="1297"/>
      <c r="BE34" s="1297"/>
      <c r="BF34" s="1297"/>
      <c r="BG34" s="1240"/>
      <c r="BH34" s="1282">
        <f t="shared" ca="1" si="49"/>
        <v>0</v>
      </c>
      <c r="BI34" s="1282">
        <f ca="1">BG34*AA34*Y34</f>
        <v>0</v>
      </c>
      <c r="BJ34" s="1299">
        <f ca="1">AJ34/AA34-AZ34-BG34*Y34</f>
        <v>-57.572052000000006</v>
      </c>
      <c r="BK34" s="1282">
        <f ca="1">AR34/AA34-AZ34-BG34</f>
        <v>-57.572052000000006</v>
      </c>
      <c r="BL34" s="1455" t="e">
        <f>CC34</f>
        <v>#DIV/0!</v>
      </c>
      <c r="BM34" s="1282" t="e">
        <f ca="1">BJ34-BL34</f>
        <v>#DIV/0!</v>
      </c>
      <c r="BN34" s="1224" t="e">
        <f ca="1">BK34-BL34</f>
        <v>#DIV/0!</v>
      </c>
      <c r="BO34" s="1240"/>
      <c r="BP34" s="640"/>
      <c r="BQ34" s="642"/>
      <c r="BR34" s="44">
        <f t="shared" ca="1" si="55"/>
        <v>0</v>
      </c>
      <c r="BS34" s="10">
        <f t="shared" si="9"/>
        <v>0</v>
      </c>
      <c r="BT34" s="513">
        <f t="shared" si="10"/>
        <v>0</v>
      </c>
      <c r="BU34" s="513">
        <f t="shared" ca="1" si="11"/>
        <v>0</v>
      </c>
      <c r="BV34" s="378">
        <f t="shared" ca="1" si="12"/>
        <v>0</v>
      </c>
      <c r="BW34" s="643"/>
      <c r="BX34" s="643"/>
      <c r="BY34" s="643"/>
      <c r="BZ34" s="641"/>
      <c r="CA34" s="642"/>
      <c r="CB34" s="1311">
        <f>SUMPRODUCT(([178]БП!$C$245:$N$245=$L34)*([178]БП!$C$246:$N$246))</f>
        <v>0</v>
      </c>
      <c r="CC34" s="1286" t="e">
        <f>'Компания 1_факт_НДПИ (Argus)'!$N$41</f>
        <v>#DIV/0!</v>
      </c>
      <c r="CD34" s="643"/>
      <c r="CE34" s="643"/>
      <c r="CF34" s="643"/>
      <c r="CG34" s="643"/>
      <c r="CH34" s="1252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252" t="e">
        <f ca="1">(CB34-CC34)*AA34</f>
        <v>#DIV/0!</v>
      </c>
      <c r="CJ34" s="1252">
        <f ca="1">CD34*$AA34</f>
        <v>0</v>
      </c>
      <c r="CK34" s="1252">
        <f t="shared" ca="1" si="59"/>
        <v>0</v>
      </c>
      <c r="CL34" s="1252">
        <f t="shared" ca="1" si="60"/>
        <v>0</v>
      </c>
      <c r="CM34" s="1238">
        <f>'Компания 1_факт_НДПИ (Platts)'!$N$14</f>
        <v>0</v>
      </c>
      <c r="CN34" s="1240"/>
      <c r="CO34" s="1240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#VALUE!</v>
      </c>
      <c r="CP34" s="1307" t="e">
        <f t="shared" ca="1" si="61"/>
        <v>#VALUE!</v>
      </c>
      <c r="CQ34" s="641"/>
      <c r="CR34" s="1347">
        <f>'Компания 1_факт_НДПИ (Argus)'!N14</f>
        <v>0</v>
      </c>
      <c r="CS34" s="1264">
        <f ca="1">AA34*BK34/1000/1000</f>
        <v>-1.0493082197520003</v>
      </c>
      <c r="CT34" s="1264" t="e">
        <f ca="1">BL34*AA34</f>
        <v>#DIV/0!</v>
      </c>
      <c r="CU34" s="1264" t="e">
        <f t="shared" ref="CU34" ca="1" si="118">CS34-CT34</f>
        <v>#DIV/0!</v>
      </c>
      <c r="CV34" s="1252" t="e">
        <f ca="1">BL34/CR34*Y34*AA34</f>
        <v>#DIV/0!</v>
      </c>
      <c r="CW34" s="1252" t="e">
        <f ca="1">BL34/CR34*Z34*AA34</f>
        <v>#DIV/0!</v>
      </c>
      <c r="CX34" s="1264" t="e">
        <f ca="1">CV34-CT34</f>
        <v>#DIV/0!</v>
      </c>
      <c r="CY34" s="1323" t="e">
        <f ca="1">CW34-CH34</f>
        <v>#DIV/0!</v>
      </c>
      <c r="CZ34" s="1349" t="e">
        <f ca="1">(AI34+AI35)/AA34/(BR34+BP34)</f>
        <v>#DIV/0!</v>
      </c>
      <c r="DA34" s="1236" t="e">
        <f ca="1">CR34*AA34*BU34*CZ34/1000000</f>
        <v>#DIV/0!</v>
      </c>
      <c r="DB34" s="1236" t="e">
        <f ca="1">CR34*AA34*BV34*CZ34/1000000</f>
        <v>#DIV/0!</v>
      </c>
      <c r="DC34" s="1236">
        <f t="shared" si="71"/>
        <v>0</v>
      </c>
      <c r="DD34" s="1236" t="e">
        <f t="shared" ca="1" si="109"/>
        <v>#DIV/0!</v>
      </c>
      <c r="DE34" s="1236" t="e">
        <f t="shared" ca="1" si="110"/>
        <v>#DIV/0!</v>
      </c>
      <c r="DF34" s="1236" t="e">
        <f t="shared" ca="1" si="111"/>
        <v>#DIV/0!</v>
      </c>
      <c r="DG34" s="1236" t="e">
        <f t="shared" ca="1" si="112"/>
        <v>#DIV/0!</v>
      </c>
      <c r="DH34" s="1236">
        <f t="shared" ca="1" si="113"/>
        <v>0</v>
      </c>
      <c r="DI34" s="1236">
        <f ca="1">AS34/1000000</f>
        <v>0</v>
      </c>
      <c r="DJ34" s="1236" t="e">
        <f t="shared" ca="1" si="114"/>
        <v>#DIV/0!</v>
      </c>
      <c r="DK34" s="1236" t="e">
        <f t="shared" ref="DK34:DK35" ca="1" si="119">CY34/1000/1000</f>
        <v>#DIV/0!</v>
      </c>
      <c r="DL34" s="1236" t="e">
        <f t="shared" ref="DL34:DL35" ca="1" si="120">CP34/1000/1000</f>
        <v>#VALUE!</v>
      </c>
      <c r="DM34" s="1329" t="e">
        <f t="shared" ca="1" si="81"/>
        <v>#DIV/0!</v>
      </c>
    </row>
    <row r="35" spans="1:118" s="69" customFormat="1" ht="15.95" customHeight="1" x14ac:dyDescent="0.25">
      <c r="A35" s="1206" cm="1">
        <f t="array" ref="A35">IFERROR(_xlfn.FILTERXML(Лист1!Q40,"//Value"),A34)</f>
        <v>86.284300000000002</v>
      </c>
      <c r="B35" s="1233"/>
      <c r="C35" s="1229"/>
      <c r="D35" s="1229"/>
      <c r="E35" s="1229"/>
      <c r="F35" s="577"/>
      <c r="G35" s="1229"/>
      <c r="H35" s="1233"/>
      <c r="I35" s="1231"/>
      <c r="J35" s="1364"/>
      <c r="K35" s="1316"/>
      <c r="L35" s="1218">
        <f t="shared" si="34"/>
        <v>44614</v>
      </c>
      <c r="M35" s="180">
        <v>44614</v>
      </c>
      <c r="N35" s="81">
        <v>44650</v>
      </c>
      <c r="O35" s="1219">
        <f t="shared" si="35"/>
        <v>44663</v>
      </c>
      <c r="P35" s="181">
        <v>44663</v>
      </c>
      <c r="Q35" s="653">
        <f>P35-M34</f>
        <v>50</v>
      </c>
      <c r="R35" s="679">
        <f>P35-N35</f>
        <v>13</v>
      </c>
      <c r="S35" s="685"/>
      <c r="T35" s="653"/>
      <c r="U35" s="653"/>
      <c r="V35" s="653"/>
      <c r="W35" s="653"/>
      <c r="X35" s="8" t="s">
        <v>400</v>
      </c>
      <c r="Y35" s="172" cm="1">
        <f t="array" ref="Y35">IFERROR(_xlfn.FILTERXML(Лист1!J53,"//Value"),Y34)</f>
        <v>76.767099999999999</v>
      </c>
      <c r="Z35" s="176" cm="1">
        <f t="array" ref="Z35">IFERROR(_xlfn.FILTERXML(Лист1!C64,"//Value"),Z34)</f>
        <v>79.159599999999998</v>
      </c>
      <c r="AA35" s="458">
        <f t="shared" ca="1" si="84"/>
        <v>34865</v>
      </c>
      <c r="AB35" s="1233"/>
      <c r="AC35" s="1229"/>
      <c r="AD35" s="1229"/>
      <c r="AE35" s="1229"/>
      <c r="AF35" s="1231"/>
      <c r="AG35" s="1348" t="e">
        <f>K35/H35/7.16</f>
        <v>#DIV/0!</v>
      </c>
      <c r="AH35" s="656"/>
      <c r="AI35" s="8" t="e">
        <f t="shared" ca="1" si="37"/>
        <v>#DIV/0!</v>
      </c>
      <c r="AJ35" s="8" t="e">
        <f t="shared" ca="1" si="38"/>
        <v>#DIV/0!</v>
      </c>
      <c r="AK35" s="1312"/>
      <c r="AL35" s="1251"/>
      <c r="AM35" s="1251"/>
      <c r="AN35" s="1251"/>
      <c r="AO35" s="1251"/>
      <c r="AP35" s="1324"/>
      <c r="AQ35" s="1376"/>
      <c r="AR35" s="617" t="e">
        <f t="shared" ca="1" si="115"/>
        <v>#DIV/0!</v>
      </c>
      <c r="AS35" s="618" t="e">
        <f t="shared" ca="1" si="116"/>
        <v>#DIV/0!</v>
      </c>
      <c r="AT35" s="1312"/>
      <c r="AU35" s="1251"/>
      <c r="AV35" s="1251"/>
      <c r="AW35" s="1251"/>
      <c r="AX35" s="1251"/>
      <c r="AY35" s="1324"/>
      <c r="AZ35" s="1278"/>
      <c r="BA35" s="1251"/>
      <c r="BB35" s="1251"/>
      <c r="BC35" s="1298"/>
      <c r="BD35" s="1298"/>
      <c r="BE35" s="1298"/>
      <c r="BF35" s="1298"/>
      <c r="BG35" s="1241"/>
      <c r="BH35" s="1283"/>
      <c r="BI35" s="1283"/>
      <c r="BJ35" s="1300"/>
      <c r="BK35" s="1283"/>
      <c r="BL35" s="1456"/>
      <c r="BM35" s="1283"/>
      <c r="BN35" s="1225"/>
      <c r="BO35" s="1241"/>
      <c r="BP35" s="94"/>
      <c r="BQ35" s="579"/>
      <c r="BR35" s="44" t="e">
        <f t="shared" ca="1" si="55"/>
        <v>#DIV/0!</v>
      </c>
      <c r="BS35" s="10">
        <f t="shared" si="9"/>
        <v>0</v>
      </c>
      <c r="BT35" s="513">
        <f t="shared" si="10"/>
        <v>0</v>
      </c>
      <c r="BU35" s="513" t="e">
        <f t="shared" ca="1" si="11"/>
        <v>#DIV/0!</v>
      </c>
      <c r="BV35" s="378" t="e">
        <f t="shared" ca="1" si="12"/>
        <v>#DIV/0!</v>
      </c>
      <c r="BW35" s="581"/>
      <c r="BX35" s="581"/>
      <c r="BY35" s="581"/>
      <c r="BZ35" s="578"/>
      <c r="CA35" s="579"/>
      <c r="CB35" s="1312"/>
      <c r="CC35" s="1287"/>
      <c r="CD35" s="581"/>
      <c r="CE35" s="581"/>
      <c r="CF35" s="581"/>
      <c r="CG35" s="581"/>
      <c r="CH35" s="1253"/>
      <c r="CI35" s="1253"/>
      <c r="CJ35" s="1253"/>
      <c r="CK35" s="1253"/>
      <c r="CL35" s="1253"/>
      <c r="CM35" s="1309"/>
      <c r="CN35" s="1310"/>
      <c r="CO35" s="1241"/>
      <c r="CP35" s="1308">
        <f t="shared" si="61"/>
        <v>0</v>
      </c>
      <c r="CQ35" s="578"/>
      <c r="CR35" s="1348"/>
      <c r="CS35" s="1251"/>
      <c r="CT35" s="1251"/>
      <c r="CU35" s="1251"/>
      <c r="CV35" s="1253"/>
      <c r="CW35" s="1253"/>
      <c r="CX35" s="1251"/>
      <c r="CY35" s="1324"/>
      <c r="CZ35" s="1349"/>
      <c r="DA35" s="1237"/>
      <c r="DB35" s="1237"/>
      <c r="DC35" s="1237">
        <f t="shared" si="71"/>
        <v>0</v>
      </c>
      <c r="DD35" s="1237">
        <f t="shared" si="109"/>
        <v>0</v>
      </c>
      <c r="DE35" s="1237">
        <f t="shared" si="110"/>
        <v>0</v>
      </c>
      <c r="DF35" s="1237">
        <f t="shared" si="111"/>
        <v>0</v>
      </c>
      <c r="DG35" s="1237">
        <f t="shared" si="112"/>
        <v>0</v>
      </c>
      <c r="DH35" s="1237">
        <f t="shared" si="113"/>
        <v>0</v>
      </c>
      <c r="DI35" s="1237"/>
      <c r="DJ35" s="1237">
        <f t="shared" si="114"/>
        <v>0</v>
      </c>
      <c r="DK35" s="1237">
        <f t="shared" si="119"/>
        <v>0</v>
      </c>
      <c r="DL35" s="1237">
        <f t="shared" si="120"/>
        <v>0</v>
      </c>
      <c r="DM35" s="1330">
        <f t="shared" si="81"/>
        <v>0</v>
      </c>
      <c r="DN35" s="68"/>
    </row>
    <row r="36" spans="1:118" s="69" customFormat="1" ht="15.95" customHeight="1" x14ac:dyDescent="0.25">
      <c r="A36" s="1206" cm="1">
        <f t="array" ref="A36">IFERROR(_xlfn.FILTERXML(Лист1!Q41,"//Value"),A35)</f>
        <v>84.085099999999997</v>
      </c>
      <c r="B36" s="1232"/>
      <c r="C36" s="1228"/>
      <c r="D36" s="1228"/>
      <c r="E36" s="1228"/>
      <c r="F36" s="576"/>
      <c r="G36" s="1228"/>
      <c r="H36" s="1232"/>
      <c r="I36" s="1230"/>
      <c r="J36" s="1363" t="s">
        <v>391</v>
      </c>
      <c r="K36" s="1315"/>
      <c r="L36" s="1218">
        <f t="shared" si="34"/>
        <v>44615</v>
      </c>
      <c r="M36" s="180">
        <v>44615</v>
      </c>
      <c r="N36" s="81">
        <v>44651</v>
      </c>
      <c r="O36" s="1219">
        <f t="shared" si="35"/>
        <v>44664</v>
      </c>
      <c r="P36" s="181">
        <v>44664</v>
      </c>
      <c r="Q36" s="793">
        <f>P36-M36</f>
        <v>49</v>
      </c>
      <c r="R36" s="679">
        <f t="shared" si="83"/>
        <v>13</v>
      </c>
      <c r="S36" s="684"/>
      <c r="T36" s="657"/>
      <c r="U36" s="657"/>
      <c r="V36" s="657"/>
      <c r="W36" s="657"/>
      <c r="X36" s="8" t="s">
        <v>400</v>
      </c>
      <c r="Y36" s="172" cm="1">
        <f t="array" ref="Y36">IFERROR(_xlfn.FILTERXML(Лист1!J54,"//Value"),Y35)</f>
        <v>80.419399999999996</v>
      </c>
      <c r="Z36" s="176" cm="1">
        <f t="array" ref="Z36">IFERROR(_xlfn.FILTERXML(Лист1!C65,"//Value"),Z35)</f>
        <v>79.627399999999994</v>
      </c>
      <c r="AA36" s="458">
        <f t="shared" ca="1" si="84"/>
        <v>17624</v>
      </c>
      <c r="AB36" s="1232"/>
      <c r="AC36" s="1228"/>
      <c r="AD36" s="1228"/>
      <c r="AE36" s="1228"/>
      <c r="AF36" s="1230"/>
      <c r="AG36" s="1347">
        <f t="shared" ref="AG36" ca="1" si="121">(AI36+AI37)/AA36/7.18</f>
        <v>0</v>
      </c>
      <c r="AH36" s="654"/>
      <c r="AI36" s="8">
        <f t="shared" ca="1" si="37"/>
        <v>0</v>
      </c>
      <c r="AJ36" s="8">
        <f t="shared" ca="1" si="38"/>
        <v>0</v>
      </c>
      <c r="AK36" s="1311" t="e">
        <f t="shared" ref="AK36:AO36" ca="1" si="122">AB36*$CZ36*$AA36*$Y36/1000/1000</f>
        <v>#DIV/0!</v>
      </c>
      <c r="AL36" s="1264" t="e">
        <f t="shared" ca="1" si="122"/>
        <v>#DIV/0!</v>
      </c>
      <c r="AM36" s="1264" t="e">
        <f t="shared" ca="1" si="122"/>
        <v>#DIV/0!</v>
      </c>
      <c r="AN36" s="1264" t="e">
        <f t="shared" ca="1" si="122"/>
        <v>#DIV/0!</v>
      </c>
      <c r="AO36" s="1264" t="e">
        <f t="shared" ca="1" si="122"/>
        <v>#DIV/0!</v>
      </c>
      <c r="AP36" s="1323" t="e">
        <f ca="1">AG36*$CZ36*$AA36*$Y36/1000/1000</f>
        <v>#DIV/0!</v>
      </c>
      <c r="AQ36" s="1375" t="e">
        <f t="shared" ref="AQ36:AQ40" ca="1" si="123">AJ36/1000/1000-AP36</f>
        <v>#DIV/0!</v>
      </c>
      <c r="AR36" s="790">
        <f t="shared" ca="1" si="115"/>
        <v>0</v>
      </c>
      <c r="AS36" s="803">
        <f t="shared" ca="1" si="116"/>
        <v>0</v>
      </c>
      <c r="AT36" s="1311" t="e">
        <f ca="1">(AB36-B36)*$CZ36*$AA36*$Y36/1000/1000</f>
        <v>#DIV/0!</v>
      </c>
      <c r="AU36" s="1264" t="e">
        <f ca="1">(AC36-C36)*$CZ36*$AA36*$Y36/1000/1000</f>
        <v>#DIV/0!</v>
      </c>
      <c r="AV36" s="1264" t="e">
        <f ca="1">(AD36-D36)*$CZ36*$AA36*$Y36/1000/1000</f>
        <v>#DIV/0!</v>
      </c>
      <c r="AW36" s="1264" t="e">
        <f ca="1">(AE36-E36)*$CZ36*$AA36*$Y36/1000/1000</f>
        <v>#DIV/0!</v>
      </c>
      <c r="AX36" s="1264" t="e">
        <f ca="1">(AF36-F36)*$CZ36*$AA36*$Y36/1000/1000</f>
        <v>#DIV/0!</v>
      </c>
      <c r="AY36" s="1323" t="e">
        <f t="shared" ca="1" si="117"/>
        <v>#DIV/0!</v>
      </c>
      <c r="AZ36" s="1277">
        <f ca="1">BB36/AA36</f>
        <v>61.118744</v>
      </c>
      <c r="BA36" s="1250" t="e">
        <f ca="1">(I36+D36)*AA36*CZ36*A36</f>
        <v>#DIV/0!</v>
      </c>
      <c r="BB36" s="1250">
        <f t="shared" ref="BB36:BB40" ca="1" si="124">(BC36+BE36+BF36+BD36)*AA36+0.76*Y36*AA36</f>
        <v>1077156.744256</v>
      </c>
      <c r="BC36" s="1297"/>
      <c r="BD36" s="1297"/>
      <c r="BE36" s="1297"/>
      <c r="BF36" s="1297"/>
      <c r="BG36" s="1240"/>
      <c r="BH36" s="1282">
        <f t="shared" ca="1" si="49"/>
        <v>0</v>
      </c>
      <c r="BI36" s="1282">
        <f t="shared" ref="BI36" ca="1" si="125">BG36*AA36*Y36</f>
        <v>0</v>
      </c>
      <c r="BJ36" s="1299">
        <f t="shared" ref="BJ36" ca="1" si="126">AJ36/AA36-AZ36-BG36*Y36</f>
        <v>-61.118744</v>
      </c>
      <c r="BK36" s="1282">
        <f t="shared" ref="BK36" ca="1" si="127">AR36/AA36-AZ36-BG36</f>
        <v>-61.118744</v>
      </c>
      <c r="BL36" s="1455" t="e">
        <f>CC36</f>
        <v>#DIV/0!</v>
      </c>
      <c r="BM36" s="1282" t="e">
        <f t="shared" ref="BM36" ca="1" si="128">BJ36-BL36</f>
        <v>#DIV/0!</v>
      </c>
      <c r="BN36" s="1224" t="e">
        <f t="shared" ref="BN36" ca="1" si="129">BK36-BL36</f>
        <v>#DIV/0!</v>
      </c>
      <c r="BO36" s="1240"/>
      <c r="BP36" s="94"/>
      <c r="BQ36" s="579"/>
      <c r="BR36" s="44">
        <f t="shared" ca="1" si="55"/>
        <v>0</v>
      </c>
      <c r="BS36" s="10">
        <f t="shared" si="9"/>
        <v>0</v>
      </c>
      <c r="BT36" s="513">
        <f t="shared" si="10"/>
        <v>0</v>
      </c>
      <c r="BU36" s="513">
        <f t="shared" ca="1" si="11"/>
        <v>0</v>
      </c>
      <c r="BV36" s="378">
        <f t="shared" ca="1" si="12"/>
        <v>0</v>
      </c>
      <c r="BW36" s="581"/>
      <c r="BX36" s="581"/>
      <c r="BY36" s="581"/>
      <c r="BZ36" s="578"/>
      <c r="CA36" s="579"/>
      <c r="CB36" s="1311">
        <f>SUMPRODUCT(([178]БП!$C$245:$N$245=$L36)*([178]БП!$C$246:$N$246))</f>
        <v>0</v>
      </c>
      <c r="CC36" s="1286" t="e">
        <f>CC34</f>
        <v>#DIV/0!</v>
      </c>
      <c r="CD36" s="581"/>
      <c r="CE36" s="581"/>
      <c r="CF36" s="581"/>
      <c r="CG36" s="581"/>
      <c r="CH36" s="1252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252" t="e">
        <f ca="1">(CB36-CC36)*AA36</f>
        <v>#DIV/0!</v>
      </c>
      <c r="CJ36" s="1252">
        <f t="shared" ref="CJ36" ca="1" si="130">CD36*$AA36</f>
        <v>0</v>
      </c>
      <c r="CK36" s="1252">
        <f t="shared" ref="CK36" ca="1" si="131">CE36*$AA36</f>
        <v>0</v>
      </c>
      <c r="CL36" s="1252">
        <f t="shared" ref="CL36" ca="1" si="132">CF36*$AA36</f>
        <v>0</v>
      </c>
      <c r="CM36" s="1238">
        <f>'Компания 1_факт_НДПИ (Platts)'!$N$14</f>
        <v>0</v>
      </c>
      <c r="CN36" s="1240"/>
      <c r="CO36" s="1240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#VALUE!</v>
      </c>
      <c r="CP36" s="1307" t="e">
        <f t="shared" ca="1" si="61"/>
        <v>#VALUE!</v>
      </c>
      <c r="CQ36" s="578"/>
      <c r="CR36" s="1347">
        <f>CR34</f>
        <v>0</v>
      </c>
      <c r="CS36" s="1264">
        <f ca="1">AA36*BK36/1000/1000</f>
        <v>-1.8034307792080002</v>
      </c>
      <c r="CT36" s="1264" t="e">
        <f ca="1">BL36*AA36</f>
        <v>#DIV/0!</v>
      </c>
      <c r="CU36" s="1264" t="e">
        <f t="shared" ref="CU36" ca="1" si="133">CS36-CT36</f>
        <v>#DIV/0!</v>
      </c>
      <c r="CV36" s="1252" t="e">
        <f ca="1">BL36/CR36*Y36*AA36</f>
        <v>#DIV/0!</v>
      </c>
      <c r="CW36" s="1252" t="e">
        <f ca="1">BL36/CR36*Z36*AA36</f>
        <v>#DIV/0!</v>
      </c>
      <c r="CX36" s="1264" t="e">
        <f t="shared" ref="CX36" ca="1" si="134">CV36-CT36</f>
        <v>#DIV/0!</v>
      </c>
      <c r="CY36" s="1323" t="e">
        <f ca="1">CW36-CH36</f>
        <v>#DIV/0!</v>
      </c>
      <c r="CZ36" s="1349" t="e">
        <f ca="1">(AI36+AI37)/AA36/(BR36+BP36)</f>
        <v>#DIV/0!</v>
      </c>
      <c r="DA36" s="1236" t="e">
        <f ca="1">CR36*AA36*BU36*CZ36/1000000</f>
        <v>#DIV/0!</v>
      </c>
      <c r="DB36" s="768" t="e">
        <f ca="1">CR36*AA36*BV36*CZ36/1000000</f>
        <v>#DIV/0!</v>
      </c>
      <c r="DC36" s="1236">
        <f t="shared" si="71"/>
        <v>0</v>
      </c>
      <c r="DD36" s="1236" t="e">
        <f t="shared" ca="1" si="109"/>
        <v>#DIV/0!</v>
      </c>
      <c r="DE36" s="1236" t="e">
        <f t="shared" ca="1" si="110"/>
        <v>#DIV/0!</v>
      </c>
      <c r="DF36" s="1236" t="e">
        <f t="shared" ca="1" si="111"/>
        <v>#DIV/0!</v>
      </c>
      <c r="DG36" s="1236" t="e">
        <f t="shared" ca="1" si="112"/>
        <v>#DIV/0!</v>
      </c>
      <c r="DH36" s="1236">
        <f t="shared" ca="1" si="113"/>
        <v>0</v>
      </c>
      <c r="DI36" s="1236">
        <f ca="1">AS36/1000000</f>
        <v>0</v>
      </c>
      <c r="DJ36" s="1236" t="e">
        <f t="shared" ca="1" si="114"/>
        <v>#DIV/0!</v>
      </c>
      <c r="DK36" s="1236" t="e">
        <f t="shared" ref="DK36:DK41" ca="1" si="135">CY36/1000/1000</f>
        <v>#DIV/0!</v>
      </c>
      <c r="DL36" s="1236" t="e">
        <f t="shared" ref="DL36:DL41" ca="1" si="136">CP36/1000/1000</f>
        <v>#VALUE!</v>
      </c>
      <c r="DM36" s="1329" t="e">
        <f t="shared" ca="1" si="81"/>
        <v>#DIV/0!</v>
      </c>
      <c r="DN36" s="68"/>
    </row>
    <row r="37" spans="1:118" s="69" customFormat="1" ht="15.95" customHeight="1" x14ac:dyDescent="0.25">
      <c r="A37" s="1206" cm="1">
        <f t="array" ref="A37">IFERROR(_xlfn.FILTERXML(Лист1!Q42,"//Value"),A36)</f>
        <v>83.409700000000001</v>
      </c>
      <c r="B37" s="1233"/>
      <c r="C37" s="1229"/>
      <c r="D37" s="1229"/>
      <c r="E37" s="1229"/>
      <c r="F37" s="577"/>
      <c r="G37" s="1229"/>
      <c r="H37" s="1233"/>
      <c r="I37" s="1231"/>
      <c r="J37" s="1364"/>
      <c r="K37" s="1316"/>
      <c r="L37" s="1218">
        <f t="shared" si="34"/>
        <v>44616</v>
      </c>
      <c r="M37" s="180">
        <v>44616</v>
      </c>
      <c r="N37" s="81">
        <v>44652</v>
      </c>
      <c r="O37" s="1219">
        <f t="shared" si="35"/>
        <v>44665</v>
      </c>
      <c r="P37" s="181">
        <v>44665</v>
      </c>
      <c r="Q37" s="658">
        <f>P37-M36</f>
        <v>50</v>
      </c>
      <c r="R37" s="679">
        <f t="shared" si="83"/>
        <v>13</v>
      </c>
      <c r="S37" s="687"/>
      <c r="T37" s="658"/>
      <c r="U37" s="658"/>
      <c r="V37" s="658"/>
      <c r="W37" s="658"/>
      <c r="X37" s="8" t="s">
        <v>400</v>
      </c>
      <c r="Y37" s="172" cm="1">
        <f t="array" ref="Y37">IFERROR(_xlfn.FILTERXML(Лист1!J55,"//Value"),Y36)</f>
        <v>80.419399999999996</v>
      </c>
      <c r="Z37" s="176" cm="1">
        <f t="array" ref="Z37">IFERROR(_xlfn.FILTERXML(Лист1!C66,"//Value"),Z36)</f>
        <v>79.627399999999994</v>
      </c>
      <c r="AA37" s="458">
        <f t="shared" ca="1" si="84"/>
        <v>22953</v>
      </c>
      <c r="AB37" s="1233"/>
      <c r="AC37" s="1229"/>
      <c r="AD37" s="1229"/>
      <c r="AE37" s="1229"/>
      <c r="AF37" s="1231"/>
      <c r="AG37" s="1348" t="e">
        <f t="shared" ref="AG37" si="137">K37/H37/7.16</f>
        <v>#DIV/0!</v>
      </c>
      <c r="AH37" s="656"/>
      <c r="AI37" s="8" t="e">
        <f t="shared" ca="1" si="37"/>
        <v>#DIV/0!</v>
      </c>
      <c r="AJ37" s="8" t="e">
        <f t="shared" ca="1" si="38"/>
        <v>#DIV/0!</v>
      </c>
      <c r="AK37" s="1312"/>
      <c r="AL37" s="1251"/>
      <c r="AM37" s="1251"/>
      <c r="AN37" s="1251"/>
      <c r="AO37" s="1251"/>
      <c r="AP37" s="1324"/>
      <c r="AQ37" s="1376"/>
      <c r="AR37" s="617" t="e">
        <f t="shared" ca="1" si="115"/>
        <v>#DIV/0!</v>
      </c>
      <c r="AS37" s="618" t="e">
        <f t="shared" ca="1" si="116"/>
        <v>#DIV/0!</v>
      </c>
      <c r="AT37" s="1312"/>
      <c r="AU37" s="1251"/>
      <c r="AV37" s="1251"/>
      <c r="AW37" s="1251">
        <f t="shared" ref="AW37:AX41" ca="1" si="138">(AE37-E37)*$CZ37*$AA37*$Y37/1000/1000</f>
        <v>0</v>
      </c>
      <c r="AX37" s="1251">
        <f t="shared" ca="1" si="138"/>
        <v>0</v>
      </c>
      <c r="AY37" s="1324"/>
      <c r="AZ37" s="1278"/>
      <c r="BA37" s="1251"/>
      <c r="BB37" s="1251"/>
      <c r="BC37" s="1298"/>
      <c r="BD37" s="1298"/>
      <c r="BE37" s="1298"/>
      <c r="BF37" s="1298"/>
      <c r="BG37" s="1241"/>
      <c r="BH37" s="1283"/>
      <c r="BI37" s="1283"/>
      <c r="BJ37" s="1300"/>
      <c r="BK37" s="1283"/>
      <c r="BL37" s="1456"/>
      <c r="BM37" s="1283"/>
      <c r="BN37" s="1225"/>
      <c r="BO37" s="1241"/>
      <c r="BP37" s="94"/>
      <c r="BQ37" s="579"/>
      <c r="BR37" s="44" t="e">
        <f t="shared" ca="1" si="55"/>
        <v>#DIV/0!</v>
      </c>
      <c r="BS37" s="10">
        <f t="shared" si="9"/>
        <v>0</v>
      </c>
      <c r="BT37" s="513">
        <f t="shared" si="10"/>
        <v>0</v>
      </c>
      <c r="BU37" s="513" t="e">
        <f t="shared" ca="1" si="11"/>
        <v>#DIV/0!</v>
      </c>
      <c r="BV37" s="378" t="e">
        <f t="shared" ca="1" si="12"/>
        <v>#DIV/0!</v>
      </c>
      <c r="BW37" s="581"/>
      <c r="BX37" s="581"/>
      <c r="BY37" s="581"/>
      <c r="BZ37" s="578"/>
      <c r="CA37" s="579"/>
      <c r="CB37" s="1312"/>
      <c r="CC37" s="1287"/>
      <c r="CD37" s="581"/>
      <c r="CE37" s="581"/>
      <c r="CF37" s="581"/>
      <c r="CG37" s="581"/>
      <c r="CH37" s="1253"/>
      <c r="CI37" s="1253"/>
      <c r="CJ37" s="1253"/>
      <c r="CK37" s="1253"/>
      <c r="CL37" s="1253"/>
      <c r="CM37" s="1309"/>
      <c r="CN37" s="1310"/>
      <c r="CO37" s="1241"/>
      <c r="CP37" s="1308">
        <f t="shared" si="61"/>
        <v>0</v>
      </c>
      <c r="CQ37" s="578"/>
      <c r="CR37" s="1348"/>
      <c r="CS37" s="1251"/>
      <c r="CT37" s="1251"/>
      <c r="CU37" s="1251"/>
      <c r="CV37" s="1253"/>
      <c r="CW37" s="1253"/>
      <c r="CX37" s="1251"/>
      <c r="CY37" s="1324"/>
      <c r="CZ37" s="1349"/>
      <c r="DA37" s="1237"/>
      <c r="DB37" s="769"/>
      <c r="DC37" s="1237">
        <f t="shared" si="71"/>
        <v>0</v>
      </c>
      <c r="DD37" s="1237">
        <f t="shared" ca="1" si="109"/>
        <v>0</v>
      </c>
      <c r="DE37" s="1237">
        <f t="shared" si="110"/>
        <v>0</v>
      </c>
      <c r="DF37" s="1237">
        <f t="shared" si="111"/>
        <v>0</v>
      </c>
      <c r="DG37" s="1237">
        <f t="shared" si="112"/>
        <v>0</v>
      </c>
      <c r="DH37" s="1237">
        <f t="shared" si="113"/>
        <v>0</v>
      </c>
      <c r="DI37" s="1237"/>
      <c r="DJ37" s="1237">
        <f t="shared" si="114"/>
        <v>0</v>
      </c>
      <c r="DK37" s="1237">
        <f t="shared" si="135"/>
        <v>0</v>
      </c>
      <c r="DL37" s="1237">
        <f t="shared" si="136"/>
        <v>0</v>
      </c>
      <c r="DM37" s="1330">
        <f t="shared" ca="1" si="81"/>
        <v>0</v>
      </c>
      <c r="DN37" s="68"/>
    </row>
    <row r="38" spans="1:118" s="69" customFormat="1" ht="15.95" customHeight="1" x14ac:dyDescent="0.25">
      <c r="A38" s="1206" cm="1">
        <f t="array" ref="A38">IFERROR(_xlfn.FILTERXML(Лист1!Q43,"//Value"),A37)</f>
        <v>83.409700000000001</v>
      </c>
      <c r="B38" s="1232"/>
      <c r="C38" s="1228"/>
      <c r="D38" s="1228"/>
      <c r="E38" s="1228"/>
      <c r="F38" s="576"/>
      <c r="G38" s="1228"/>
      <c r="H38" s="1232"/>
      <c r="I38" s="1230"/>
      <c r="J38" s="1363" t="s">
        <v>391</v>
      </c>
      <c r="K38" s="1315"/>
      <c r="L38" s="1218">
        <f t="shared" si="34"/>
        <v>44617</v>
      </c>
      <c r="M38" s="180">
        <v>44617</v>
      </c>
      <c r="N38" s="81">
        <v>44655</v>
      </c>
      <c r="O38" s="1219">
        <f t="shared" si="35"/>
        <v>44666</v>
      </c>
      <c r="P38" s="181">
        <v>44666</v>
      </c>
      <c r="Q38" s="793">
        <f>P38-M38</f>
        <v>49</v>
      </c>
      <c r="R38" s="679">
        <f t="shared" si="83"/>
        <v>11</v>
      </c>
      <c r="S38" s="684"/>
      <c r="T38" s="657"/>
      <c r="U38" s="657"/>
      <c r="V38" s="657"/>
      <c r="W38" s="657"/>
      <c r="X38" s="8" t="s">
        <v>400</v>
      </c>
      <c r="Y38" s="172" cm="1">
        <f t="array" ref="Y38">IFERROR(_xlfn.FILTERXML(Лист1!J56,"//Value"),Y37)</f>
        <v>86.928799999999995</v>
      </c>
      <c r="Z38" s="176" cm="1">
        <f t="array" ref="Z38">IFERROR(_xlfn.FILTERXML(Лист1!C67,"//Value"),Z37)</f>
        <v>79.627399999999994</v>
      </c>
      <c r="AA38" s="458">
        <f t="shared" ca="1" si="84"/>
        <v>26320</v>
      </c>
      <c r="AB38" s="1232"/>
      <c r="AC38" s="1228"/>
      <c r="AD38" s="1228"/>
      <c r="AE38" s="1228"/>
      <c r="AF38" s="1230"/>
      <c r="AG38" s="1347">
        <f t="shared" ref="AG38" ca="1" si="139">(AI38+AI39)/AA38/7.18</f>
        <v>0</v>
      </c>
      <c r="AH38" s="654"/>
      <c r="AI38" s="8">
        <f t="shared" ca="1" si="37"/>
        <v>0</v>
      </c>
      <c r="AJ38" s="8">
        <f t="shared" ca="1" si="38"/>
        <v>0</v>
      </c>
      <c r="AK38" s="1311" t="e">
        <f t="shared" ref="AK38:AP38" ca="1" si="140">AB38*$CZ38*$AA38*$Y38/1000/1000</f>
        <v>#DIV/0!</v>
      </c>
      <c r="AL38" s="1264" t="e">
        <f t="shared" ca="1" si="140"/>
        <v>#DIV/0!</v>
      </c>
      <c r="AM38" s="1264" t="e">
        <f t="shared" ca="1" si="140"/>
        <v>#DIV/0!</v>
      </c>
      <c r="AN38" s="1264" t="e">
        <f t="shared" ca="1" si="140"/>
        <v>#DIV/0!</v>
      </c>
      <c r="AO38" s="1264" t="e">
        <f t="shared" ca="1" si="140"/>
        <v>#DIV/0!</v>
      </c>
      <c r="AP38" s="1323" t="e">
        <f t="shared" ca="1" si="140"/>
        <v>#DIV/0!</v>
      </c>
      <c r="AQ38" s="1375" t="e">
        <f t="shared" ca="1" si="123"/>
        <v>#DIV/0!</v>
      </c>
      <c r="AR38" s="790">
        <f t="shared" ca="1" si="115"/>
        <v>0</v>
      </c>
      <c r="AS38" s="803">
        <f t="shared" ca="1" si="116"/>
        <v>0</v>
      </c>
      <c r="AT38" s="1311" t="e">
        <f ca="1">(AB38-B38)*$CZ38*$AA38*$Y38/1000/1000</f>
        <v>#DIV/0!</v>
      </c>
      <c r="AU38" s="1264" t="e">
        <f ca="1">(AC38-C38)*$CZ38*$AA38*$Y38/1000/1000</f>
        <v>#DIV/0!</v>
      </c>
      <c r="AV38" s="1264" t="e">
        <f ca="1">(AD38-D38)*$CZ38*$AA38*$Y38/1000/1000</f>
        <v>#DIV/0!</v>
      </c>
      <c r="AW38" s="1264" t="e">
        <f t="shared" ca="1" si="138"/>
        <v>#DIV/0!</v>
      </c>
      <c r="AX38" s="1264" t="e">
        <f t="shared" ca="1" si="138"/>
        <v>#DIV/0!</v>
      </c>
      <c r="AY38" s="1323" t="e">
        <f t="shared" ca="1" si="117"/>
        <v>#DIV/0!</v>
      </c>
      <c r="AZ38" s="1277">
        <f ca="1">BB38/AA38</f>
        <v>66.065888000000001</v>
      </c>
      <c r="BA38" s="1250" t="e">
        <f ca="1">(I38+D38)*AA38*CZ38*A38</f>
        <v>#DIV/0!</v>
      </c>
      <c r="BB38" s="1250">
        <f t="shared" ca="1" si="124"/>
        <v>1738854.1721600001</v>
      </c>
      <c r="BC38" s="1297"/>
      <c r="BD38" s="1297"/>
      <c r="BE38" s="1297"/>
      <c r="BF38" s="1297"/>
      <c r="BG38" s="1240"/>
      <c r="BH38" s="1282">
        <f t="shared" ca="1" si="49"/>
        <v>0</v>
      </c>
      <c r="BI38" s="1282">
        <f t="shared" ref="BI38" ca="1" si="141">BG38*AA38*Y38</f>
        <v>0</v>
      </c>
      <c r="BJ38" s="1299">
        <f t="shared" ref="BJ38" ca="1" si="142">AJ38/AA38-AZ38-BG38*Y38</f>
        <v>-66.065888000000001</v>
      </c>
      <c r="BK38" s="1282">
        <f t="shared" ref="BK38" ca="1" si="143">AR38/AA38-AZ38-BG38</f>
        <v>-66.065888000000001</v>
      </c>
      <c r="BL38" s="1455" t="e">
        <f>CC38</f>
        <v>#DIV/0!</v>
      </c>
      <c r="BM38" s="1282" t="e">
        <f t="shared" ref="BM38" ca="1" si="144">BJ38-BL38</f>
        <v>#DIV/0!</v>
      </c>
      <c r="BN38" s="1224" t="e">
        <f t="shared" ref="BN38" ca="1" si="145">BK38-BL38</f>
        <v>#DIV/0!</v>
      </c>
      <c r="BO38" s="1240"/>
      <c r="BP38" s="94"/>
      <c r="BQ38" s="579"/>
      <c r="BR38" s="44">
        <f t="shared" ca="1" si="55"/>
        <v>0</v>
      </c>
      <c r="BS38" s="10">
        <f t="shared" si="9"/>
        <v>0</v>
      </c>
      <c r="BT38" s="513">
        <f t="shared" si="10"/>
        <v>0</v>
      </c>
      <c r="BU38" s="513">
        <f t="shared" ca="1" si="11"/>
        <v>0</v>
      </c>
      <c r="BV38" s="378">
        <f t="shared" ca="1" si="12"/>
        <v>0</v>
      </c>
      <c r="BW38" s="581"/>
      <c r="BX38" s="581"/>
      <c r="BY38" s="581"/>
      <c r="BZ38" s="578"/>
      <c r="CA38" s="579"/>
      <c r="CB38" s="1311">
        <f>SUMPRODUCT(([178]БП!$C$245:$N$245=$L38)*([178]БП!$C$246:$N$246))</f>
        <v>0</v>
      </c>
      <c r="CC38" s="1286" t="e">
        <f>CC36</f>
        <v>#DIV/0!</v>
      </c>
      <c r="CD38" s="581"/>
      <c r="CE38" s="581"/>
      <c r="CF38" s="581"/>
      <c r="CG38" s="581"/>
      <c r="CH38" s="1252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252" t="e">
        <f t="shared" ref="CI38" ca="1" si="146">(CB38-CC38)*AA38</f>
        <v>#DIV/0!</v>
      </c>
      <c r="CJ38" s="1252">
        <f t="shared" ref="CJ38" ca="1" si="147">CD38*$AA38</f>
        <v>0</v>
      </c>
      <c r="CK38" s="1252">
        <f t="shared" ref="CK38" ca="1" si="148">CE38*$AA38</f>
        <v>0</v>
      </c>
      <c r="CL38" s="1252">
        <f t="shared" ref="CL38" ca="1" si="149">CF38*$AA38</f>
        <v>0</v>
      </c>
      <c r="CM38" s="1238">
        <f>'Компания 1_факт_НДПИ (Platts)'!$N$14</f>
        <v>0</v>
      </c>
      <c r="CN38" s="1240"/>
      <c r="CO38" s="1240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#VALUE!</v>
      </c>
      <c r="CP38" s="1307" t="e">
        <f t="shared" ca="1" si="61"/>
        <v>#VALUE!</v>
      </c>
      <c r="CQ38" s="578"/>
      <c r="CR38" s="1347">
        <f>CR36</f>
        <v>0</v>
      </c>
      <c r="CS38" s="1264">
        <f ca="1">AA38*BK38/1000/1000</f>
        <v>-1.357191537184</v>
      </c>
      <c r="CT38" s="1264" t="e">
        <f ca="1">BL38*AA38</f>
        <v>#DIV/0!</v>
      </c>
      <c r="CU38" s="1264" t="e">
        <f t="shared" ref="CU38" ca="1" si="150">CS38-CT38</f>
        <v>#DIV/0!</v>
      </c>
      <c r="CV38" s="1252" t="e">
        <f ca="1">BL38/CR38*Y38*AA38</f>
        <v>#DIV/0!</v>
      </c>
      <c r="CW38" s="1252" t="e">
        <f ca="1">BL38/CR38*Z38*AA38</f>
        <v>#DIV/0!</v>
      </c>
      <c r="CX38" s="1264" t="e">
        <f t="shared" ref="CX38" ca="1" si="151">CV38-CT38</f>
        <v>#DIV/0!</v>
      </c>
      <c r="CY38" s="1323" t="e">
        <f ca="1">CW38-CH38</f>
        <v>#DIV/0!</v>
      </c>
      <c r="CZ38" s="1349" t="e">
        <f ca="1">(AI38+AI39)/AA38/(BR38+BP38)</f>
        <v>#DIV/0!</v>
      </c>
      <c r="DA38" s="1236" t="e">
        <f ca="1">CR38*AA38*BU38*CZ38/1000000</f>
        <v>#DIV/0!</v>
      </c>
      <c r="DB38" s="1236" t="e">
        <f ca="1">CR38*AA38*BV38*CZ38/1000000</f>
        <v>#DIV/0!</v>
      </c>
      <c r="DC38" s="1236">
        <f t="shared" si="71"/>
        <v>0</v>
      </c>
      <c r="DD38" s="1236" t="e">
        <f t="shared" ca="1" si="109"/>
        <v>#DIV/0!</v>
      </c>
      <c r="DE38" s="1236" t="e">
        <f t="shared" ca="1" si="110"/>
        <v>#DIV/0!</v>
      </c>
      <c r="DF38" s="1236" t="e">
        <f t="shared" ca="1" si="111"/>
        <v>#DIV/0!</v>
      </c>
      <c r="DG38" s="1236" t="e">
        <f t="shared" ca="1" si="112"/>
        <v>#DIV/0!</v>
      </c>
      <c r="DH38" s="1236">
        <f t="shared" ca="1" si="113"/>
        <v>0</v>
      </c>
      <c r="DI38" s="1236">
        <f ca="1">AS38/1000000</f>
        <v>0</v>
      </c>
      <c r="DJ38" s="1236" t="e">
        <f t="shared" ca="1" si="114"/>
        <v>#DIV/0!</v>
      </c>
      <c r="DK38" s="1236" t="e">
        <f t="shared" ca="1" si="135"/>
        <v>#DIV/0!</v>
      </c>
      <c r="DL38" s="1236" t="e">
        <f t="shared" ca="1" si="136"/>
        <v>#VALUE!</v>
      </c>
      <c r="DM38" s="1329" t="e">
        <f t="shared" ca="1" si="81"/>
        <v>#DIV/0!</v>
      </c>
      <c r="DN38" s="68"/>
    </row>
    <row r="39" spans="1:118" s="69" customFormat="1" ht="15.95" customHeight="1" x14ac:dyDescent="0.25">
      <c r="A39" s="1206" cm="1">
        <f t="array" ref="A39">IFERROR(_xlfn.FILTERXML(Лист1!Q44,"//Value"),A38)</f>
        <v>83.593199999999996</v>
      </c>
      <c r="B39" s="1233"/>
      <c r="C39" s="1229"/>
      <c r="D39" s="1229"/>
      <c r="E39" s="1229"/>
      <c r="F39" s="577"/>
      <c r="G39" s="1229"/>
      <c r="H39" s="1233"/>
      <c r="I39" s="1231"/>
      <c r="J39" s="1364"/>
      <c r="K39" s="1316"/>
      <c r="L39" s="1218">
        <f t="shared" si="34"/>
        <v>44620</v>
      </c>
      <c r="M39" s="180">
        <v>44620</v>
      </c>
      <c r="N39" s="81">
        <v>44656</v>
      </c>
      <c r="O39" s="1219">
        <f t="shared" si="35"/>
        <v>44669</v>
      </c>
      <c r="P39" s="181">
        <v>44669</v>
      </c>
      <c r="Q39" s="658">
        <f>P39-M38</f>
        <v>52</v>
      </c>
      <c r="R39" s="679">
        <f t="shared" si="83"/>
        <v>13</v>
      </c>
      <c r="S39" s="687"/>
      <c r="T39" s="658"/>
      <c r="U39" s="658"/>
      <c r="V39" s="658"/>
      <c r="W39" s="658"/>
      <c r="X39" s="8" t="s">
        <v>400</v>
      </c>
      <c r="Y39" s="172" cm="1">
        <f t="array" ref="Y39">IFERROR(_xlfn.FILTERXML(Лист1!J57,"//Value"),Y38)</f>
        <v>86.928799999999995</v>
      </c>
      <c r="Z39" s="176" cm="1">
        <f t="array" ref="Z39">IFERROR(_xlfn.FILTERXML(Лист1!C68,"//Value"),Z38)</f>
        <v>79.627399999999994</v>
      </c>
      <c r="AA39" s="458">
        <f t="shared" ca="1" si="84"/>
        <v>30873</v>
      </c>
      <c r="AB39" s="1233"/>
      <c r="AC39" s="1229"/>
      <c r="AD39" s="1229"/>
      <c r="AE39" s="1229"/>
      <c r="AF39" s="1231"/>
      <c r="AG39" s="1348" t="e">
        <f t="shared" ref="AG39" si="152">K39/H39/7.16</f>
        <v>#DIV/0!</v>
      </c>
      <c r="AH39" s="656"/>
      <c r="AI39" s="8" t="e">
        <f t="shared" ca="1" si="37"/>
        <v>#DIV/0!</v>
      </c>
      <c r="AJ39" s="8" t="e">
        <f t="shared" ca="1" si="38"/>
        <v>#DIV/0!</v>
      </c>
      <c r="AK39" s="1312"/>
      <c r="AL39" s="1251"/>
      <c r="AM39" s="1251"/>
      <c r="AN39" s="1251"/>
      <c r="AO39" s="1251"/>
      <c r="AP39" s="1324"/>
      <c r="AQ39" s="1376"/>
      <c r="AR39" s="617" t="e">
        <f ca="1">AI39*Z39</f>
        <v>#DIV/0!</v>
      </c>
      <c r="AS39" s="618" t="e">
        <f t="shared" ca="1" si="116"/>
        <v>#DIV/0!</v>
      </c>
      <c r="AT39" s="1312"/>
      <c r="AU39" s="1251"/>
      <c r="AV39" s="1251"/>
      <c r="AW39" s="1251">
        <f t="shared" ca="1" si="138"/>
        <v>0</v>
      </c>
      <c r="AX39" s="1251">
        <f t="shared" ca="1" si="138"/>
        <v>0</v>
      </c>
      <c r="AY39" s="1324"/>
      <c r="AZ39" s="1278"/>
      <c r="BA39" s="1251"/>
      <c r="BB39" s="1251"/>
      <c r="BC39" s="1298"/>
      <c r="BD39" s="1298"/>
      <c r="BE39" s="1298"/>
      <c r="BF39" s="1298"/>
      <c r="BG39" s="1241"/>
      <c r="BH39" s="1283"/>
      <c r="BI39" s="1283"/>
      <c r="BJ39" s="1300"/>
      <c r="BK39" s="1283"/>
      <c r="BL39" s="1456"/>
      <c r="BM39" s="1283"/>
      <c r="BN39" s="1225"/>
      <c r="BO39" s="1241"/>
      <c r="BP39" s="94"/>
      <c r="BQ39" s="579"/>
      <c r="BR39" s="44" t="e">
        <f t="shared" ca="1" si="55"/>
        <v>#DIV/0!</v>
      </c>
      <c r="BS39" s="10">
        <f t="shared" si="9"/>
        <v>0</v>
      </c>
      <c r="BT39" s="513">
        <f t="shared" si="10"/>
        <v>0</v>
      </c>
      <c r="BU39" s="513" t="e">
        <f t="shared" ca="1" si="11"/>
        <v>#DIV/0!</v>
      </c>
      <c r="BV39" s="378" t="e">
        <f t="shared" ca="1" si="12"/>
        <v>#DIV/0!</v>
      </c>
      <c r="BW39" s="581"/>
      <c r="BX39" s="581"/>
      <c r="BY39" s="581"/>
      <c r="BZ39" s="578"/>
      <c r="CA39" s="579"/>
      <c r="CB39" s="1312"/>
      <c r="CC39" s="1287"/>
      <c r="CD39" s="581"/>
      <c r="CE39" s="581"/>
      <c r="CF39" s="581"/>
      <c r="CG39" s="581"/>
      <c r="CH39" s="1253"/>
      <c r="CI39" s="1253"/>
      <c r="CJ39" s="1253"/>
      <c r="CK39" s="1253"/>
      <c r="CL39" s="1253"/>
      <c r="CM39" s="1309"/>
      <c r="CN39" s="1310"/>
      <c r="CO39" s="1241"/>
      <c r="CP39" s="1308">
        <f t="shared" si="61"/>
        <v>0</v>
      </c>
      <c r="CQ39" s="578"/>
      <c r="CR39" s="1348"/>
      <c r="CS39" s="1251"/>
      <c r="CT39" s="1251"/>
      <c r="CU39" s="1251"/>
      <c r="CV39" s="1253"/>
      <c r="CW39" s="1253"/>
      <c r="CX39" s="1251"/>
      <c r="CY39" s="1324"/>
      <c r="CZ39" s="1349"/>
      <c r="DA39" s="1237"/>
      <c r="DB39" s="1237"/>
      <c r="DC39" s="1237">
        <f t="shared" si="71"/>
        <v>0</v>
      </c>
      <c r="DD39" s="1237">
        <f t="shared" ca="1" si="109"/>
        <v>0</v>
      </c>
      <c r="DE39" s="1237">
        <f t="shared" si="110"/>
        <v>0</v>
      </c>
      <c r="DF39" s="1237">
        <f t="shared" si="111"/>
        <v>0</v>
      </c>
      <c r="DG39" s="1237">
        <f t="shared" si="112"/>
        <v>0</v>
      </c>
      <c r="DH39" s="1237">
        <f t="shared" si="113"/>
        <v>0</v>
      </c>
      <c r="DI39" s="1237"/>
      <c r="DJ39" s="1237">
        <f t="shared" si="114"/>
        <v>0</v>
      </c>
      <c r="DK39" s="1237">
        <f t="shared" si="135"/>
        <v>0</v>
      </c>
      <c r="DL39" s="1237">
        <f t="shared" si="136"/>
        <v>0</v>
      </c>
      <c r="DM39" s="1330">
        <f t="shared" ca="1" si="81"/>
        <v>0</v>
      </c>
      <c r="DN39" s="68"/>
    </row>
    <row r="40" spans="1:118" s="69" customFormat="1" ht="15.95" customHeight="1" x14ac:dyDescent="0.25">
      <c r="A40" s="1206" cm="1">
        <f t="array" ref="A40">IFERROR(_xlfn.FILTERXML(Лист1!Q45,"//Value"),A39)</f>
        <v>83.352000000000004</v>
      </c>
      <c r="B40" s="1232"/>
      <c r="C40" s="1228"/>
      <c r="D40" s="1228"/>
      <c r="E40" s="1228"/>
      <c r="F40" s="576"/>
      <c r="G40" s="1228"/>
      <c r="H40" s="1232"/>
      <c r="I40" s="1230"/>
      <c r="J40" s="1363" t="s">
        <v>390</v>
      </c>
      <c r="K40" s="1315"/>
      <c r="L40" s="1218">
        <f t="shared" si="34"/>
        <v>44621</v>
      </c>
      <c r="M40" s="180">
        <v>44621</v>
      </c>
      <c r="N40" s="81">
        <v>44657</v>
      </c>
      <c r="O40" s="1219">
        <f t="shared" si="35"/>
        <v>44670</v>
      </c>
      <c r="P40" s="181">
        <v>44670</v>
      </c>
      <c r="Q40" s="793">
        <f>P40-M40</f>
        <v>49</v>
      </c>
      <c r="R40" s="679">
        <f t="shared" si="83"/>
        <v>13</v>
      </c>
      <c r="S40" s="684"/>
      <c r="T40" s="657"/>
      <c r="U40" s="657"/>
      <c r="V40" s="657"/>
      <c r="W40" s="657"/>
      <c r="X40" s="8" t="s">
        <v>400</v>
      </c>
      <c r="Y40" s="172" cm="1">
        <f t="array" ref="Y40">IFERROR(_xlfn.FILTERXML(Лист1!J58,"//Value"),Y39)</f>
        <v>93.558899999999994</v>
      </c>
      <c r="Z40" s="176" cm="1">
        <f t="array" ref="Z40">IFERROR(_xlfn.FILTERXML(Лист1!C69,"//Value"),Z39)</f>
        <v>79.627399999999994</v>
      </c>
      <c r="AA40" s="458">
        <f t="shared" ca="1" si="84"/>
        <v>35513</v>
      </c>
      <c r="AB40" s="1232"/>
      <c r="AC40" s="1228"/>
      <c r="AD40" s="1228"/>
      <c r="AE40" s="1228"/>
      <c r="AF40" s="1230"/>
      <c r="AG40" s="1347">
        <f t="shared" ref="AG40" ca="1" si="153">(AI40+AI41)/AA40/7.18</f>
        <v>0</v>
      </c>
      <c r="AH40" s="654"/>
      <c r="AI40" s="8">
        <f t="shared" ca="1" si="37"/>
        <v>0</v>
      </c>
      <c r="AJ40" s="8">
        <f t="shared" ca="1" si="38"/>
        <v>0</v>
      </c>
      <c r="AK40" s="1311" t="e">
        <f t="shared" ref="AK40:AP40" ca="1" si="154">AB40*$CZ40*$AA40*$Y40/1000/1000</f>
        <v>#DIV/0!</v>
      </c>
      <c r="AL40" s="1264" t="e">
        <f t="shared" ca="1" si="154"/>
        <v>#DIV/0!</v>
      </c>
      <c r="AM40" s="1264" t="e">
        <f t="shared" ca="1" si="154"/>
        <v>#DIV/0!</v>
      </c>
      <c r="AN40" s="1264" t="e">
        <f t="shared" ca="1" si="154"/>
        <v>#DIV/0!</v>
      </c>
      <c r="AO40" s="1264" t="e">
        <f t="shared" ca="1" si="154"/>
        <v>#DIV/0!</v>
      </c>
      <c r="AP40" s="1323" t="e">
        <f t="shared" ca="1" si="154"/>
        <v>#DIV/0!</v>
      </c>
      <c r="AQ40" s="1375" t="e">
        <f t="shared" ca="1" si="123"/>
        <v>#DIV/0!</v>
      </c>
      <c r="AR40" s="790">
        <f t="shared" ca="1" si="115"/>
        <v>0</v>
      </c>
      <c r="AS40" s="803">
        <f t="shared" ca="1" si="116"/>
        <v>0</v>
      </c>
      <c r="AT40" s="1311" t="e">
        <f ca="1">(AB40-B40)*$CZ40*$AA40*$Y40/1000/1000</f>
        <v>#DIV/0!</v>
      </c>
      <c r="AU40" s="1264" t="e">
        <f ca="1">(AC40-C40)*$CZ40*$AA40*$Y40/1000/1000</f>
        <v>#DIV/0!</v>
      </c>
      <c r="AV40" s="1264" t="e">
        <f ca="1">(AD40-D40)*$CZ40*$AA40*$Y40/1000/1000</f>
        <v>#DIV/0!</v>
      </c>
      <c r="AW40" s="1264" t="e">
        <f t="shared" ca="1" si="138"/>
        <v>#DIV/0!</v>
      </c>
      <c r="AX40" s="1264" t="e">
        <f t="shared" ca="1" si="138"/>
        <v>#DIV/0!</v>
      </c>
      <c r="AY40" s="1323" t="e">
        <f t="shared" ca="1" si="117"/>
        <v>#DIV/0!</v>
      </c>
      <c r="AZ40" s="1277">
        <f ca="1">BB40/AA40</f>
        <v>71.104764000000003</v>
      </c>
      <c r="BA40" s="1250" t="e">
        <f ca="1">(I40+D40)*AA40*CZ40*A40</f>
        <v>#DIV/0!</v>
      </c>
      <c r="BB40" s="1250">
        <f t="shared" ca="1" si="124"/>
        <v>2525143.4839320001</v>
      </c>
      <c r="BC40" s="1297"/>
      <c r="BD40" s="1297"/>
      <c r="BE40" s="1297"/>
      <c r="BF40" s="1297"/>
      <c r="BG40" s="1240"/>
      <c r="BH40" s="1282">
        <f t="shared" ca="1" si="49"/>
        <v>0</v>
      </c>
      <c r="BI40" s="1282">
        <f t="shared" ref="BI40" ca="1" si="155">BG40*AA40*Y40</f>
        <v>0</v>
      </c>
      <c r="BJ40" s="1299">
        <f t="shared" ref="BJ40" ca="1" si="156">AJ40/AA40-AZ40-BG40*Y40</f>
        <v>-71.104764000000003</v>
      </c>
      <c r="BK40" s="1282">
        <f t="shared" ref="BK40" ca="1" si="157">AR40/AA40-AZ40-BG40</f>
        <v>-71.104764000000003</v>
      </c>
      <c r="BL40" s="1455" t="e">
        <f>CC40</f>
        <v>#DIV/0!</v>
      </c>
      <c r="BM40" s="1282" t="e">
        <f t="shared" ref="BM40" ca="1" si="158">BJ40-BL40</f>
        <v>#DIV/0!</v>
      </c>
      <c r="BN40" s="1224" t="e">
        <f t="shared" ref="BN40" ca="1" si="159">BK40-BL40</f>
        <v>#DIV/0!</v>
      </c>
      <c r="BO40" s="1240"/>
      <c r="BP40" s="94"/>
      <c r="BQ40" s="579"/>
      <c r="BR40" s="44">
        <f t="shared" ca="1" si="55"/>
        <v>0</v>
      </c>
      <c r="BS40" s="10">
        <f t="shared" si="9"/>
        <v>0</v>
      </c>
      <c r="BT40" s="513">
        <f t="shared" si="10"/>
        <v>0</v>
      </c>
      <c r="BU40" s="513">
        <f t="shared" ca="1" si="11"/>
        <v>0</v>
      </c>
      <c r="BV40" s="378">
        <f t="shared" ca="1" si="12"/>
        <v>0</v>
      </c>
      <c r="BW40" s="581"/>
      <c r="BX40" s="581"/>
      <c r="BY40" s="581"/>
      <c r="BZ40" s="578"/>
      <c r="CA40" s="579"/>
      <c r="CB40" s="1311">
        <f>SUMPRODUCT(([178]БП!$C$245:$N$245=$L40)*([178]БП!$C$246:$N$246))</f>
        <v>0</v>
      </c>
      <c r="CC40" s="1286" t="e">
        <f>CC38</f>
        <v>#DIV/0!</v>
      </c>
      <c r="CD40" s="581"/>
      <c r="CE40" s="581"/>
      <c r="CF40" s="581"/>
      <c r="CG40" s="581"/>
      <c r="CH40" s="1252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252" t="e">
        <f t="shared" ref="CI40" ca="1" si="160">(CB40-CC40)*AA40</f>
        <v>#DIV/0!</v>
      </c>
      <c r="CJ40" s="1252">
        <f t="shared" ref="CJ40" ca="1" si="161">CD40*$AA40</f>
        <v>0</v>
      </c>
      <c r="CK40" s="1252">
        <f t="shared" ref="CK40" ca="1" si="162">CE40*$AA40</f>
        <v>0</v>
      </c>
      <c r="CL40" s="1252">
        <f t="shared" ref="CL40" ca="1" si="163">CF40*$AA40</f>
        <v>0</v>
      </c>
      <c r="CM40" s="1238">
        <f>'Компания 1_факт_НДПИ (Platts)'!$N$14</f>
        <v>0</v>
      </c>
      <c r="CN40" s="1240"/>
      <c r="CO40" s="1240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#VALUE!</v>
      </c>
      <c r="CP40" s="1307" t="e">
        <f t="shared" ca="1" si="61"/>
        <v>#VALUE!</v>
      </c>
      <c r="CQ40" s="578"/>
      <c r="CR40" s="1347">
        <f>CR38</f>
        <v>0</v>
      </c>
      <c r="CS40" s="1264">
        <f ca="1">AA40*BK40/1000/1000</f>
        <v>-2.4928619210760004</v>
      </c>
      <c r="CT40" s="1264" t="e">
        <f ca="1">BL40*AA40</f>
        <v>#DIV/0!</v>
      </c>
      <c r="CU40" s="1264" t="e">
        <f t="shared" ref="CU40" ca="1" si="164">CS40-CT40</f>
        <v>#DIV/0!</v>
      </c>
      <c r="CV40" s="1252" t="e">
        <f ca="1">BL40/CR40*Y40*AA40</f>
        <v>#DIV/0!</v>
      </c>
      <c r="CW40" s="1252" t="e">
        <f ca="1">BL40/CR40*Z40*AA40</f>
        <v>#DIV/0!</v>
      </c>
      <c r="CX40" s="1264" t="e">
        <f t="shared" ref="CX40" ca="1" si="165">CV40-CT40</f>
        <v>#DIV/0!</v>
      </c>
      <c r="CY40" s="1323" t="e">
        <f ca="1">CW40-CH40</f>
        <v>#DIV/0!</v>
      </c>
      <c r="CZ40" s="1349" t="e">
        <f ca="1">(AI40+AI41)/AA40/(BR40+BP40)</f>
        <v>#DIV/0!</v>
      </c>
      <c r="DA40" s="1236" t="e">
        <f ca="1">CR40*AA40*BU40*CZ40/1000000</f>
        <v>#DIV/0!</v>
      </c>
      <c r="DB40" s="1236" t="e">
        <f ca="1">CR40*AA40*BV40*CZ40/1000000</f>
        <v>#DIV/0!</v>
      </c>
      <c r="DC40" s="1236">
        <f t="shared" si="71"/>
        <v>0</v>
      </c>
      <c r="DD40" s="1236" t="e">
        <f t="shared" ca="1" si="109"/>
        <v>#DIV/0!</v>
      </c>
      <c r="DE40" s="1236" t="e">
        <f t="shared" ca="1" si="110"/>
        <v>#DIV/0!</v>
      </c>
      <c r="DF40" s="1236" t="e">
        <f t="shared" ca="1" si="111"/>
        <v>#DIV/0!</v>
      </c>
      <c r="DG40" s="1236" t="e">
        <f t="shared" ca="1" si="112"/>
        <v>#DIV/0!</v>
      </c>
      <c r="DH40" s="1236">
        <f t="shared" ca="1" si="113"/>
        <v>0</v>
      </c>
      <c r="DI40" s="1236">
        <f ca="1">AS40/1000000</f>
        <v>0</v>
      </c>
      <c r="DJ40" s="1236" t="e">
        <f t="shared" ca="1" si="114"/>
        <v>#DIV/0!</v>
      </c>
      <c r="DK40" s="1236" t="e">
        <f t="shared" ca="1" si="135"/>
        <v>#DIV/0!</v>
      </c>
      <c r="DL40" s="1236" t="e">
        <f t="shared" ca="1" si="136"/>
        <v>#VALUE!</v>
      </c>
      <c r="DM40" s="1329" t="e">
        <f t="shared" ca="1" si="81"/>
        <v>#DIV/0!</v>
      </c>
      <c r="DN40" s="68"/>
    </row>
    <row r="41" spans="1:118" s="69" customFormat="1" ht="15.95" customHeight="1" x14ac:dyDescent="0.25">
      <c r="A41" s="1206" cm="1">
        <f t="array" ref="A41">IFERROR(_xlfn.FILTERXML(Лист1!Q46,"//Value"),A40)</f>
        <v>82.596199999999996</v>
      </c>
      <c r="B41" s="1233"/>
      <c r="C41" s="1229"/>
      <c r="D41" s="1229"/>
      <c r="E41" s="1229"/>
      <c r="F41" s="577"/>
      <c r="G41" s="1229"/>
      <c r="H41" s="1233"/>
      <c r="I41" s="1231"/>
      <c r="J41" s="1364"/>
      <c r="K41" s="1316"/>
      <c r="L41" s="1218">
        <f t="shared" si="34"/>
        <v>44622</v>
      </c>
      <c r="M41" s="180">
        <v>44622</v>
      </c>
      <c r="N41" s="81">
        <v>44658</v>
      </c>
      <c r="O41" s="1219">
        <f t="shared" si="35"/>
        <v>44671</v>
      </c>
      <c r="P41" s="181">
        <v>44671</v>
      </c>
      <c r="Q41" s="658">
        <f>P41-M40</f>
        <v>50</v>
      </c>
      <c r="R41" s="679">
        <f t="shared" si="83"/>
        <v>13</v>
      </c>
      <c r="S41" s="687"/>
      <c r="T41" s="658"/>
      <c r="U41" s="658"/>
      <c r="V41" s="658"/>
      <c r="W41" s="658"/>
      <c r="X41" s="8" t="s">
        <v>400</v>
      </c>
      <c r="Y41" s="172" cm="1">
        <f t="array" ref="Y41">IFERROR(_xlfn.FILTERXML(Лист1!J59,"//Value"),Y40)</f>
        <v>91.745699999999999</v>
      </c>
      <c r="Z41" s="176" cm="1">
        <f t="array" ref="Z41">IFERROR(_xlfn.FILTERXML(Лист1!C70,"//Value"),Z40)</f>
        <v>79.627399999999994</v>
      </c>
      <c r="AA41" s="458">
        <f t="shared" ca="1" si="84"/>
        <v>29216</v>
      </c>
      <c r="AB41" s="1233"/>
      <c r="AC41" s="1229"/>
      <c r="AD41" s="1229"/>
      <c r="AE41" s="1229"/>
      <c r="AF41" s="1231"/>
      <c r="AG41" s="1348" t="e">
        <f t="shared" ref="AG41" si="166">K41/H41/7.16</f>
        <v>#DIV/0!</v>
      </c>
      <c r="AH41" s="656"/>
      <c r="AI41" s="8" t="e">
        <f t="shared" ca="1" si="37"/>
        <v>#DIV/0!</v>
      </c>
      <c r="AJ41" s="8" t="e">
        <f t="shared" ca="1" si="38"/>
        <v>#DIV/0!</v>
      </c>
      <c r="AK41" s="1312"/>
      <c r="AL41" s="1251"/>
      <c r="AM41" s="1251"/>
      <c r="AN41" s="1251"/>
      <c r="AO41" s="1251"/>
      <c r="AP41" s="1324"/>
      <c r="AQ41" s="1376"/>
      <c r="AR41" s="617" t="e">
        <f t="shared" ca="1" si="115"/>
        <v>#DIV/0!</v>
      </c>
      <c r="AS41" s="618" t="e">
        <f t="shared" ca="1" si="116"/>
        <v>#DIV/0!</v>
      </c>
      <c r="AT41" s="1312"/>
      <c r="AU41" s="1251"/>
      <c r="AV41" s="1251"/>
      <c r="AW41" s="1251">
        <f t="shared" ca="1" si="138"/>
        <v>0</v>
      </c>
      <c r="AX41" s="1251">
        <f t="shared" ca="1" si="138"/>
        <v>0</v>
      </c>
      <c r="AY41" s="1324"/>
      <c r="AZ41" s="1278"/>
      <c r="BA41" s="1251"/>
      <c r="BB41" s="1251"/>
      <c r="BC41" s="1298"/>
      <c r="BD41" s="1298"/>
      <c r="BE41" s="1298"/>
      <c r="BF41" s="1298"/>
      <c r="BG41" s="1241"/>
      <c r="BH41" s="1283"/>
      <c r="BI41" s="1283"/>
      <c r="BJ41" s="1300"/>
      <c r="BK41" s="1283"/>
      <c r="BL41" s="1456"/>
      <c r="BM41" s="1283"/>
      <c r="BN41" s="1225"/>
      <c r="BO41" s="1241"/>
      <c r="BP41" s="94"/>
      <c r="BQ41" s="579"/>
      <c r="BR41" s="44" t="e">
        <f t="shared" ca="1" si="55"/>
        <v>#DIV/0!</v>
      </c>
      <c r="BS41" s="10">
        <f t="shared" si="9"/>
        <v>0</v>
      </c>
      <c r="BT41" s="513">
        <f t="shared" si="10"/>
        <v>0</v>
      </c>
      <c r="BU41" s="513" t="e">
        <f t="shared" ca="1" si="11"/>
        <v>#DIV/0!</v>
      </c>
      <c r="BV41" s="378" t="e">
        <f t="shared" ca="1" si="12"/>
        <v>#DIV/0!</v>
      </c>
      <c r="BW41" s="581"/>
      <c r="BX41" s="581"/>
      <c r="BY41" s="581"/>
      <c r="BZ41" s="578"/>
      <c r="CA41" s="579"/>
      <c r="CB41" s="1312"/>
      <c r="CC41" s="1287"/>
      <c r="CD41" s="581"/>
      <c r="CE41" s="581"/>
      <c r="CF41" s="581"/>
      <c r="CG41" s="581"/>
      <c r="CH41" s="1253"/>
      <c r="CI41" s="1253"/>
      <c r="CJ41" s="1253"/>
      <c r="CK41" s="1253"/>
      <c r="CL41" s="1253"/>
      <c r="CM41" s="1309"/>
      <c r="CN41" s="1310"/>
      <c r="CO41" s="1241"/>
      <c r="CP41" s="1308">
        <f t="shared" si="61"/>
        <v>0</v>
      </c>
      <c r="CQ41" s="578"/>
      <c r="CR41" s="1348"/>
      <c r="CS41" s="1251"/>
      <c r="CT41" s="1251"/>
      <c r="CU41" s="1251"/>
      <c r="CV41" s="1253"/>
      <c r="CW41" s="1253"/>
      <c r="CX41" s="1251"/>
      <c r="CY41" s="1324"/>
      <c r="CZ41" s="1349"/>
      <c r="DA41" s="1237"/>
      <c r="DB41" s="1237"/>
      <c r="DC41" s="1237">
        <f t="shared" si="71"/>
        <v>0</v>
      </c>
      <c r="DD41" s="1237">
        <f t="shared" ca="1" si="109"/>
        <v>0</v>
      </c>
      <c r="DE41" s="1237">
        <f t="shared" si="110"/>
        <v>0</v>
      </c>
      <c r="DF41" s="1237">
        <f t="shared" si="111"/>
        <v>0</v>
      </c>
      <c r="DG41" s="1237">
        <f t="shared" si="112"/>
        <v>0</v>
      </c>
      <c r="DH41" s="1237">
        <f t="shared" si="113"/>
        <v>0</v>
      </c>
      <c r="DI41" s="1237"/>
      <c r="DJ41" s="1237">
        <f t="shared" si="114"/>
        <v>0</v>
      </c>
      <c r="DK41" s="1237">
        <f t="shared" si="135"/>
        <v>0</v>
      </c>
      <c r="DL41" s="1237">
        <f t="shared" si="136"/>
        <v>0</v>
      </c>
      <c r="DM41" s="1330">
        <f t="shared" ca="1" si="81"/>
        <v>0</v>
      </c>
      <c r="DN41" s="68"/>
    </row>
    <row r="42" spans="1:118" s="69" customFormat="1" ht="15.95" customHeight="1" outlineLevel="1" x14ac:dyDescent="0.25">
      <c r="A42" s="1232"/>
      <c r="B42" s="1232"/>
      <c r="C42" s="1228"/>
      <c r="D42" s="1228"/>
      <c r="E42" s="1228"/>
      <c r="F42" s="576"/>
      <c r="G42" s="1228"/>
      <c r="H42" s="1232"/>
      <c r="I42" s="1230"/>
      <c r="J42" s="1350"/>
      <c r="K42" s="1352"/>
      <c r="L42" s="1354"/>
      <c r="M42" s="1356"/>
      <c r="N42" s="1201"/>
      <c r="O42" s="613"/>
      <c r="P42" s="614"/>
      <c r="Q42" s="657"/>
      <c r="R42" s="672"/>
      <c r="S42" s="687"/>
      <c r="T42" s="657"/>
      <c r="U42" s="657"/>
      <c r="V42" s="657"/>
      <c r="W42" s="657"/>
      <c r="X42" s="1216"/>
      <c r="Y42" s="1358"/>
      <c r="Z42" s="615"/>
      <c r="AA42" s="1220"/>
      <c r="AB42" s="1232"/>
      <c r="AC42" s="1228"/>
      <c r="AD42" s="1228"/>
      <c r="AE42" s="1228"/>
      <c r="AF42" s="1230"/>
      <c r="AG42" s="1347"/>
      <c r="AH42" s="654"/>
      <c r="AI42" s="616"/>
      <c r="AJ42" s="617"/>
      <c r="AK42" s="1311"/>
      <c r="AL42" s="1264"/>
      <c r="AM42" s="1264"/>
      <c r="AN42" s="1264"/>
      <c r="AO42" s="1264"/>
      <c r="AP42" s="1323"/>
      <c r="AQ42" s="1375"/>
      <c r="AR42" s="617"/>
      <c r="AS42" s="618"/>
      <c r="AT42" s="1311"/>
      <c r="AU42" s="1264"/>
      <c r="AV42" s="1264"/>
      <c r="AW42" s="1264"/>
      <c r="AX42" s="1264"/>
      <c r="AY42" s="1323"/>
      <c r="AZ42" s="1277"/>
      <c r="BA42" s="1360"/>
      <c r="BB42" s="1360"/>
      <c r="BC42" s="1361"/>
      <c r="BD42" s="1361"/>
      <c r="BE42" s="1361"/>
      <c r="BF42" s="1361"/>
      <c r="BG42" s="1240"/>
      <c r="BH42" s="1282"/>
      <c r="BI42" s="1282"/>
      <c r="BJ42" s="1299"/>
      <c r="BK42" s="1282"/>
      <c r="BL42" s="1286"/>
      <c r="BM42" s="1282"/>
      <c r="BN42" s="1282"/>
      <c r="BO42" s="1240"/>
      <c r="BP42" s="94"/>
      <c r="BQ42" s="579"/>
      <c r="BR42" s="1238"/>
      <c r="BS42" s="1240"/>
      <c r="BT42" s="1242"/>
      <c r="BU42" s="1242"/>
      <c r="BV42" s="1280"/>
      <c r="BW42" s="581"/>
      <c r="BX42" s="581"/>
      <c r="BY42" s="581"/>
      <c r="BZ42" s="578"/>
      <c r="CA42" s="579"/>
      <c r="CB42" s="1311"/>
      <c r="CC42" s="1286"/>
      <c r="CD42" s="581"/>
      <c r="CE42" s="581"/>
      <c r="CF42" s="581"/>
      <c r="CG42" s="581"/>
      <c r="CH42" s="594"/>
      <c r="CI42" s="1252"/>
      <c r="CJ42" s="1252"/>
      <c r="CK42" s="1252"/>
      <c r="CL42" s="1252"/>
      <c r="CM42" s="1238"/>
      <c r="CN42" s="1240"/>
      <c r="CO42" s="1240"/>
      <c r="CP42" s="1307"/>
      <c r="CQ42" s="578"/>
      <c r="CR42" s="1347"/>
      <c r="CS42" s="1264"/>
      <c r="CT42" s="1264"/>
      <c r="CU42" s="1264"/>
      <c r="CV42" s="1252"/>
      <c r="CW42" s="1252"/>
      <c r="CX42" s="1264"/>
      <c r="CY42" s="1323"/>
      <c r="CZ42" s="1349"/>
      <c r="DA42" s="1236"/>
      <c r="DB42" s="768"/>
      <c r="DC42" s="1236"/>
      <c r="DD42" s="1236"/>
      <c r="DE42" s="1236"/>
      <c r="DF42" s="1236"/>
      <c r="DG42" s="1236"/>
      <c r="DH42" s="1236"/>
      <c r="DI42" s="1236"/>
      <c r="DJ42" s="1236"/>
      <c r="DK42" s="1236"/>
      <c r="DL42" s="1236"/>
      <c r="DM42" s="1329"/>
      <c r="DN42" s="68"/>
    </row>
    <row r="43" spans="1:118" s="69" customFormat="1" ht="15.95" customHeight="1" outlineLevel="1" x14ac:dyDescent="0.25">
      <c r="A43" s="1233"/>
      <c r="B43" s="1233"/>
      <c r="C43" s="1229"/>
      <c r="D43" s="1229"/>
      <c r="E43" s="1229"/>
      <c r="F43" s="577"/>
      <c r="G43" s="1229"/>
      <c r="H43" s="1233"/>
      <c r="I43" s="1231"/>
      <c r="J43" s="1351"/>
      <c r="K43" s="1353"/>
      <c r="L43" s="1355"/>
      <c r="M43" s="1357"/>
      <c r="N43" s="1201"/>
      <c r="O43" s="613"/>
      <c r="P43" s="614"/>
      <c r="Q43" s="658"/>
      <c r="R43" s="673"/>
      <c r="S43" s="687"/>
      <c r="T43" s="658"/>
      <c r="U43" s="658"/>
      <c r="V43" s="658"/>
      <c r="W43" s="658"/>
      <c r="X43" s="1217"/>
      <c r="Y43" s="1359"/>
      <c r="Z43" s="615"/>
      <c r="AA43" s="1221"/>
      <c r="AB43" s="1233"/>
      <c r="AC43" s="1229"/>
      <c r="AD43" s="1229"/>
      <c r="AE43" s="1229"/>
      <c r="AF43" s="1231"/>
      <c r="AG43" s="1348"/>
      <c r="AH43" s="656"/>
      <c r="AI43" s="616"/>
      <c r="AJ43" s="617"/>
      <c r="AK43" s="1312"/>
      <c r="AL43" s="1251"/>
      <c r="AM43" s="1251"/>
      <c r="AN43" s="1251"/>
      <c r="AO43" s="1251"/>
      <c r="AP43" s="1324"/>
      <c r="AQ43" s="1376"/>
      <c r="AR43" s="617"/>
      <c r="AS43" s="618"/>
      <c r="AT43" s="1312"/>
      <c r="AU43" s="1251"/>
      <c r="AV43" s="1251"/>
      <c r="AW43" s="1251"/>
      <c r="AX43" s="1251"/>
      <c r="AY43" s="1324"/>
      <c r="AZ43" s="1278"/>
      <c r="BA43" s="1283"/>
      <c r="BB43" s="1283"/>
      <c r="BC43" s="1362"/>
      <c r="BD43" s="1362"/>
      <c r="BE43" s="1362"/>
      <c r="BF43" s="1362"/>
      <c r="BG43" s="1241"/>
      <c r="BH43" s="1283"/>
      <c r="BI43" s="1283"/>
      <c r="BJ43" s="1300"/>
      <c r="BK43" s="1283"/>
      <c r="BL43" s="1287"/>
      <c r="BM43" s="1283"/>
      <c r="BN43" s="1283"/>
      <c r="BO43" s="1241"/>
      <c r="BP43" s="94"/>
      <c r="BQ43" s="579"/>
      <c r="BR43" s="1309"/>
      <c r="BS43" s="1310"/>
      <c r="BT43" s="1243"/>
      <c r="BU43" s="1279"/>
      <c r="BV43" s="1281"/>
      <c r="BW43" s="581"/>
      <c r="BX43" s="581"/>
      <c r="BY43" s="581"/>
      <c r="BZ43" s="578"/>
      <c r="CA43" s="579"/>
      <c r="CB43" s="1312"/>
      <c r="CC43" s="1287"/>
      <c r="CD43" s="581"/>
      <c r="CE43" s="581"/>
      <c r="CF43" s="581"/>
      <c r="CG43" s="581"/>
      <c r="CH43" s="594"/>
      <c r="CI43" s="1253"/>
      <c r="CJ43" s="1253"/>
      <c r="CK43" s="1253"/>
      <c r="CL43" s="1253"/>
      <c r="CM43" s="1309"/>
      <c r="CN43" s="1310"/>
      <c r="CO43" s="1310"/>
      <c r="CP43" s="1308"/>
      <c r="CQ43" s="578"/>
      <c r="CR43" s="1348"/>
      <c r="CS43" s="1251"/>
      <c r="CT43" s="1251"/>
      <c r="CU43" s="1251"/>
      <c r="CV43" s="1253"/>
      <c r="CW43" s="1253"/>
      <c r="CX43" s="1251"/>
      <c r="CY43" s="1324"/>
      <c r="CZ43" s="1349"/>
      <c r="DA43" s="1237"/>
      <c r="DB43" s="769"/>
      <c r="DC43" s="1237"/>
      <c r="DD43" s="1237"/>
      <c r="DE43" s="1237"/>
      <c r="DF43" s="1237"/>
      <c r="DG43" s="1237"/>
      <c r="DH43" s="1237"/>
      <c r="DI43" s="1237"/>
      <c r="DJ43" s="1237"/>
      <c r="DK43" s="1237"/>
      <c r="DL43" s="1237"/>
      <c r="DM43" s="1330"/>
      <c r="DN43" s="68"/>
    </row>
    <row r="44" spans="1:118" s="69" customFormat="1" ht="15.95" customHeight="1" outlineLevel="1" x14ac:dyDescent="0.25">
      <c r="A44" s="1232"/>
      <c r="B44" s="1232"/>
      <c r="C44" s="1228"/>
      <c r="D44" s="1228"/>
      <c r="E44" s="1228"/>
      <c r="F44" s="576"/>
      <c r="G44" s="1228"/>
      <c r="H44" s="1232"/>
      <c r="I44" s="1230"/>
      <c r="J44" s="1350"/>
      <c r="K44" s="1352"/>
      <c r="L44" s="1354"/>
      <c r="M44" s="1356"/>
      <c r="N44" s="1201"/>
      <c r="O44" s="613"/>
      <c r="P44" s="614"/>
      <c r="Q44" s="657"/>
      <c r="R44" s="672"/>
      <c r="S44" s="687"/>
      <c r="T44" s="657"/>
      <c r="U44" s="657"/>
      <c r="V44" s="657"/>
      <c r="W44" s="657"/>
      <c r="X44" s="1453"/>
      <c r="Y44" s="1358"/>
      <c r="Z44" s="615"/>
      <c r="AA44" s="1325"/>
      <c r="AB44" s="1232"/>
      <c r="AC44" s="1228"/>
      <c r="AD44" s="1228"/>
      <c r="AE44" s="1228"/>
      <c r="AF44" s="1230"/>
      <c r="AG44" s="1347"/>
      <c r="AH44" s="654"/>
      <c r="AI44" s="616"/>
      <c r="AJ44" s="617"/>
      <c r="AK44" s="1311"/>
      <c r="AL44" s="1264"/>
      <c r="AM44" s="1264"/>
      <c r="AN44" s="1264"/>
      <c r="AO44" s="1264"/>
      <c r="AP44" s="1323"/>
      <c r="AQ44" s="1375"/>
      <c r="AR44" s="617"/>
      <c r="AS44" s="618"/>
      <c r="AT44" s="1311"/>
      <c r="AU44" s="1264"/>
      <c r="AV44" s="1264"/>
      <c r="AW44" s="1264"/>
      <c r="AX44" s="1264"/>
      <c r="AY44" s="1323"/>
      <c r="AZ44" s="1277"/>
      <c r="BA44" s="1360"/>
      <c r="BB44" s="1360"/>
      <c r="BC44" s="1361"/>
      <c r="BD44" s="1361"/>
      <c r="BE44" s="1361"/>
      <c r="BF44" s="1361"/>
      <c r="BG44" s="1240"/>
      <c r="BH44" s="1282"/>
      <c r="BI44" s="1282"/>
      <c r="BJ44" s="1299"/>
      <c r="BK44" s="1282"/>
      <c r="BL44" s="1286"/>
      <c r="BM44" s="1282"/>
      <c r="BN44" s="1282"/>
      <c r="BO44" s="1240"/>
      <c r="BP44" s="94"/>
      <c r="BQ44" s="579"/>
      <c r="BR44" s="1238"/>
      <c r="BS44" s="1240"/>
      <c r="BT44" s="1242"/>
      <c r="BU44" s="1242"/>
      <c r="BV44" s="1280"/>
      <c r="BW44" s="581"/>
      <c r="BX44" s="581"/>
      <c r="BY44" s="581"/>
      <c r="BZ44" s="578"/>
      <c r="CA44" s="579"/>
      <c r="CB44" s="1311"/>
      <c r="CC44" s="1286"/>
      <c r="CD44" s="581"/>
      <c r="CE44" s="581"/>
      <c r="CF44" s="581"/>
      <c r="CG44" s="581"/>
      <c r="CH44" s="594"/>
      <c r="CI44" s="1252"/>
      <c r="CJ44" s="1252"/>
      <c r="CK44" s="1252"/>
      <c r="CL44" s="1252"/>
      <c r="CM44" s="1238"/>
      <c r="CN44" s="1240"/>
      <c r="CO44" s="1240"/>
      <c r="CP44" s="1307"/>
      <c r="CQ44" s="578"/>
      <c r="CR44" s="1347"/>
      <c r="CS44" s="1264"/>
      <c r="CT44" s="1264"/>
      <c r="CU44" s="1264"/>
      <c r="CV44" s="1252"/>
      <c r="CW44" s="1252"/>
      <c r="CX44" s="1264"/>
      <c r="CY44" s="1323"/>
      <c r="CZ44" s="1349"/>
      <c r="DA44" s="1236"/>
      <c r="DB44" s="768"/>
      <c r="DC44" s="1236"/>
      <c r="DD44" s="1236"/>
      <c r="DE44" s="1236"/>
      <c r="DF44" s="1236"/>
      <c r="DG44" s="1236"/>
      <c r="DH44" s="1236"/>
      <c r="DI44" s="1236"/>
      <c r="DJ44" s="1236"/>
      <c r="DK44" s="1236"/>
      <c r="DL44" s="1236"/>
      <c r="DM44" s="1329"/>
      <c r="DN44" s="68"/>
    </row>
    <row r="45" spans="1:118" s="69" customFormat="1" ht="15.95" customHeight="1" outlineLevel="1" x14ac:dyDescent="0.25">
      <c r="A45" s="1233"/>
      <c r="B45" s="1233"/>
      <c r="C45" s="1229"/>
      <c r="D45" s="1229"/>
      <c r="E45" s="1229"/>
      <c r="F45" s="577"/>
      <c r="G45" s="1229"/>
      <c r="H45" s="1233"/>
      <c r="I45" s="1231"/>
      <c r="J45" s="1351"/>
      <c r="K45" s="1353"/>
      <c r="L45" s="1355"/>
      <c r="M45" s="1357"/>
      <c r="N45" s="1201"/>
      <c r="O45" s="613"/>
      <c r="P45" s="614"/>
      <c r="Q45" s="658"/>
      <c r="R45" s="673"/>
      <c r="S45" s="687"/>
      <c r="T45" s="658"/>
      <c r="U45" s="658"/>
      <c r="V45" s="658"/>
      <c r="W45" s="658"/>
      <c r="X45" s="1454"/>
      <c r="Y45" s="1359"/>
      <c r="Z45" s="615"/>
      <c r="AA45" s="1326"/>
      <c r="AB45" s="1233"/>
      <c r="AC45" s="1229"/>
      <c r="AD45" s="1229"/>
      <c r="AE45" s="1229"/>
      <c r="AF45" s="1231"/>
      <c r="AG45" s="1348"/>
      <c r="AH45" s="656"/>
      <c r="AI45" s="616"/>
      <c r="AJ45" s="617"/>
      <c r="AK45" s="1312"/>
      <c r="AL45" s="1251"/>
      <c r="AM45" s="1251"/>
      <c r="AN45" s="1251"/>
      <c r="AO45" s="1251"/>
      <c r="AP45" s="1324"/>
      <c r="AQ45" s="1376"/>
      <c r="AR45" s="617"/>
      <c r="AS45" s="618"/>
      <c r="AT45" s="1312"/>
      <c r="AU45" s="1251"/>
      <c r="AV45" s="1251"/>
      <c r="AW45" s="1251"/>
      <c r="AX45" s="1251"/>
      <c r="AY45" s="1324"/>
      <c r="AZ45" s="1278"/>
      <c r="BA45" s="1283"/>
      <c r="BB45" s="1283"/>
      <c r="BC45" s="1362"/>
      <c r="BD45" s="1362"/>
      <c r="BE45" s="1362"/>
      <c r="BF45" s="1362"/>
      <c r="BG45" s="1241"/>
      <c r="BH45" s="1283"/>
      <c r="BI45" s="1283"/>
      <c r="BJ45" s="1300"/>
      <c r="BK45" s="1283"/>
      <c r="BL45" s="1287"/>
      <c r="BM45" s="1283"/>
      <c r="BN45" s="1283"/>
      <c r="BO45" s="1241"/>
      <c r="BP45" s="94"/>
      <c r="BQ45" s="579"/>
      <c r="BR45" s="1309"/>
      <c r="BS45" s="1310"/>
      <c r="BT45" s="1243"/>
      <c r="BU45" s="1279"/>
      <c r="BV45" s="1281"/>
      <c r="BW45" s="581"/>
      <c r="BX45" s="581"/>
      <c r="BY45" s="581"/>
      <c r="BZ45" s="578"/>
      <c r="CA45" s="579"/>
      <c r="CB45" s="1312"/>
      <c r="CC45" s="1287"/>
      <c r="CD45" s="581"/>
      <c r="CE45" s="581"/>
      <c r="CF45" s="581"/>
      <c r="CG45" s="581"/>
      <c r="CH45" s="594"/>
      <c r="CI45" s="1253"/>
      <c r="CJ45" s="1253"/>
      <c r="CK45" s="1253"/>
      <c r="CL45" s="1253"/>
      <c r="CM45" s="1309"/>
      <c r="CN45" s="1310"/>
      <c r="CO45" s="1310"/>
      <c r="CP45" s="1308"/>
      <c r="CQ45" s="578"/>
      <c r="CR45" s="1348"/>
      <c r="CS45" s="1251"/>
      <c r="CT45" s="1251"/>
      <c r="CU45" s="1251"/>
      <c r="CV45" s="1253"/>
      <c r="CW45" s="1253"/>
      <c r="CX45" s="1251"/>
      <c r="CY45" s="1324"/>
      <c r="CZ45" s="1349"/>
      <c r="DA45" s="1237"/>
      <c r="DB45" s="769"/>
      <c r="DC45" s="1237"/>
      <c r="DD45" s="1237"/>
      <c r="DE45" s="1237"/>
      <c r="DF45" s="1237"/>
      <c r="DG45" s="1237"/>
      <c r="DH45" s="1237"/>
      <c r="DI45" s="1237"/>
      <c r="DJ45" s="1237"/>
      <c r="DK45" s="1237"/>
      <c r="DL45" s="1237"/>
      <c r="DM45" s="1330"/>
      <c r="DN45" s="68"/>
    </row>
    <row r="46" spans="1:118" s="69" customFormat="1" ht="15.95" customHeight="1" outlineLevel="1" x14ac:dyDescent="0.25">
      <c r="A46" s="1232"/>
      <c r="B46" s="1232"/>
      <c r="C46" s="1228"/>
      <c r="D46" s="1228"/>
      <c r="E46" s="1228"/>
      <c r="F46" s="576"/>
      <c r="G46" s="1228"/>
      <c r="H46" s="1232"/>
      <c r="I46" s="1230"/>
      <c r="J46" s="1350"/>
      <c r="K46" s="1352"/>
      <c r="L46" s="1354"/>
      <c r="M46" s="1356"/>
      <c r="N46" s="1201"/>
      <c r="O46" s="613"/>
      <c r="P46" s="614"/>
      <c r="Q46" s="657"/>
      <c r="R46" s="672"/>
      <c r="S46" s="687"/>
      <c r="T46" s="657"/>
      <c r="U46" s="657"/>
      <c r="V46" s="657"/>
      <c r="W46" s="657"/>
      <c r="X46" s="1453"/>
      <c r="Y46" s="1358"/>
      <c r="Z46" s="615"/>
      <c r="AA46" s="1325"/>
      <c r="AB46" s="1232"/>
      <c r="AC46" s="1228"/>
      <c r="AD46" s="1228"/>
      <c r="AE46" s="1228"/>
      <c r="AF46" s="1230"/>
      <c r="AG46" s="1347"/>
      <c r="AH46" s="654"/>
      <c r="AI46" s="616"/>
      <c r="AJ46" s="617"/>
      <c r="AK46" s="1311"/>
      <c r="AL46" s="1264"/>
      <c r="AM46" s="1264"/>
      <c r="AN46" s="1264"/>
      <c r="AO46" s="1264"/>
      <c r="AP46" s="1323"/>
      <c r="AQ46" s="1375"/>
      <c r="AR46" s="617"/>
      <c r="AS46" s="618"/>
      <c r="AT46" s="1311"/>
      <c r="AU46" s="1264"/>
      <c r="AV46" s="1264"/>
      <c r="AW46" s="1264"/>
      <c r="AX46" s="1264"/>
      <c r="AY46" s="1323"/>
      <c r="AZ46" s="1277"/>
      <c r="BA46" s="1360"/>
      <c r="BB46" s="1360"/>
      <c r="BC46" s="1361"/>
      <c r="BD46" s="1361"/>
      <c r="BE46" s="1361"/>
      <c r="BF46" s="1361"/>
      <c r="BG46" s="1240"/>
      <c r="BH46" s="1282"/>
      <c r="BI46" s="1282"/>
      <c r="BJ46" s="1299"/>
      <c r="BK46" s="1282"/>
      <c r="BL46" s="1286"/>
      <c r="BM46" s="1282"/>
      <c r="BN46" s="1282"/>
      <c r="BO46" s="1240"/>
      <c r="BP46" s="94"/>
      <c r="BQ46" s="579"/>
      <c r="BR46" s="1238"/>
      <c r="BS46" s="1240"/>
      <c r="BT46" s="1242"/>
      <c r="BU46" s="1242"/>
      <c r="BV46" s="1280"/>
      <c r="BW46" s="581"/>
      <c r="BX46" s="581"/>
      <c r="BY46" s="581"/>
      <c r="BZ46" s="578"/>
      <c r="CA46" s="579"/>
      <c r="CB46" s="1311"/>
      <c r="CC46" s="1286"/>
      <c r="CD46" s="581"/>
      <c r="CE46" s="581"/>
      <c r="CF46" s="581"/>
      <c r="CG46" s="581"/>
      <c r="CH46" s="594"/>
      <c r="CI46" s="1252"/>
      <c r="CJ46" s="1252"/>
      <c r="CK46" s="1252"/>
      <c r="CL46" s="1252"/>
      <c r="CM46" s="1238"/>
      <c r="CN46" s="1240"/>
      <c r="CO46" s="1240"/>
      <c r="CP46" s="1307"/>
      <c r="CQ46" s="578"/>
      <c r="CR46" s="1347"/>
      <c r="CS46" s="1264"/>
      <c r="CT46" s="1264"/>
      <c r="CU46" s="1264"/>
      <c r="CV46" s="1252"/>
      <c r="CW46" s="1252"/>
      <c r="CX46" s="1264"/>
      <c r="CY46" s="1323"/>
      <c r="CZ46" s="1349"/>
      <c r="DA46" s="1236"/>
      <c r="DB46" s="768"/>
      <c r="DC46" s="1236"/>
      <c r="DD46" s="1236"/>
      <c r="DE46" s="1236"/>
      <c r="DF46" s="1236"/>
      <c r="DG46" s="1236"/>
      <c r="DH46" s="1236"/>
      <c r="DI46" s="1236"/>
      <c r="DJ46" s="1236"/>
      <c r="DK46" s="1236"/>
      <c r="DL46" s="1236"/>
      <c r="DM46" s="1329"/>
      <c r="DN46" s="68"/>
    </row>
    <row r="47" spans="1:118" s="69" customFormat="1" ht="15.95" customHeight="1" outlineLevel="1" x14ac:dyDescent="0.25">
      <c r="A47" s="1233"/>
      <c r="B47" s="1233"/>
      <c r="C47" s="1229"/>
      <c r="D47" s="1229"/>
      <c r="E47" s="1229"/>
      <c r="F47" s="577"/>
      <c r="G47" s="1229"/>
      <c r="H47" s="1233"/>
      <c r="I47" s="1231"/>
      <c r="J47" s="1351"/>
      <c r="K47" s="1353"/>
      <c r="L47" s="1355"/>
      <c r="M47" s="1357"/>
      <c r="N47" s="1201"/>
      <c r="O47" s="613"/>
      <c r="P47" s="614"/>
      <c r="Q47" s="658"/>
      <c r="R47" s="673"/>
      <c r="S47" s="687"/>
      <c r="T47" s="658"/>
      <c r="U47" s="658"/>
      <c r="V47" s="658"/>
      <c r="W47" s="658"/>
      <c r="X47" s="1454"/>
      <c r="Y47" s="1359"/>
      <c r="Z47" s="615"/>
      <c r="AA47" s="1326"/>
      <c r="AB47" s="1233"/>
      <c r="AC47" s="1229"/>
      <c r="AD47" s="1229"/>
      <c r="AE47" s="1229"/>
      <c r="AF47" s="1231"/>
      <c r="AG47" s="1348"/>
      <c r="AH47" s="656"/>
      <c r="AI47" s="616"/>
      <c r="AJ47" s="617"/>
      <c r="AK47" s="1312"/>
      <c r="AL47" s="1251"/>
      <c r="AM47" s="1251"/>
      <c r="AN47" s="1251"/>
      <c r="AO47" s="1251"/>
      <c r="AP47" s="1324"/>
      <c r="AQ47" s="1376"/>
      <c r="AR47" s="617"/>
      <c r="AS47" s="618"/>
      <c r="AT47" s="1312"/>
      <c r="AU47" s="1251"/>
      <c r="AV47" s="1251"/>
      <c r="AW47" s="1251"/>
      <c r="AX47" s="1251"/>
      <c r="AY47" s="1324"/>
      <c r="AZ47" s="1278"/>
      <c r="BA47" s="1283"/>
      <c r="BB47" s="1283"/>
      <c r="BC47" s="1362"/>
      <c r="BD47" s="1362"/>
      <c r="BE47" s="1362"/>
      <c r="BF47" s="1362"/>
      <c r="BG47" s="1241"/>
      <c r="BH47" s="1283"/>
      <c r="BI47" s="1283"/>
      <c r="BJ47" s="1300"/>
      <c r="BK47" s="1283"/>
      <c r="BL47" s="1287"/>
      <c r="BM47" s="1283"/>
      <c r="BN47" s="1283"/>
      <c r="BO47" s="1241"/>
      <c r="BP47" s="94"/>
      <c r="BQ47" s="579"/>
      <c r="BR47" s="1309"/>
      <c r="BS47" s="1310"/>
      <c r="BT47" s="1243"/>
      <c r="BU47" s="1279"/>
      <c r="BV47" s="1281"/>
      <c r="BW47" s="581"/>
      <c r="BX47" s="581"/>
      <c r="BY47" s="581"/>
      <c r="BZ47" s="578"/>
      <c r="CA47" s="579"/>
      <c r="CB47" s="1312"/>
      <c r="CC47" s="1287"/>
      <c r="CD47" s="581"/>
      <c r="CE47" s="581"/>
      <c r="CF47" s="581"/>
      <c r="CG47" s="581"/>
      <c r="CH47" s="594"/>
      <c r="CI47" s="1253"/>
      <c r="CJ47" s="1253"/>
      <c r="CK47" s="1253"/>
      <c r="CL47" s="1253"/>
      <c r="CM47" s="1309"/>
      <c r="CN47" s="1310"/>
      <c r="CO47" s="1310"/>
      <c r="CP47" s="1308"/>
      <c r="CQ47" s="578"/>
      <c r="CR47" s="1348"/>
      <c r="CS47" s="1251"/>
      <c r="CT47" s="1251"/>
      <c r="CU47" s="1251"/>
      <c r="CV47" s="1253"/>
      <c r="CW47" s="1253"/>
      <c r="CX47" s="1251"/>
      <c r="CY47" s="1324"/>
      <c r="CZ47" s="1349"/>
      <c r="DA47" s="1237"/>
      <c r="DB47" s="769"/>
      <c r="DC47" s="1237"/>
      <c r="DD47" s="1237"/>
      <c r="DE47" s="1237"/>
      <c r="DF47" s="1237"/>
      <c r="DG47" s="1237"/>
      <c r="DH47" s="1237"/>
      <c r="DI47" s="1237"/>
      <c r="DJ47" s="1237"/>
      <c r="DK47" s="1237"/>
      <c r="DL47" s="1237"/>
      <c r="DM47" s="1330"/>
      <c r="DN47" s="68"/>
    </row>
    <row r="48" spans="1:118" s="69" customFormat="1" ht="15.95" customHeight="1" outlineLevel="1" x14ac:dyDescent="0.25">
      <c r="A48" s="52"/>
      <c r="B48" s="52"/>
      <c r="C48" s="33"/>
      <c r="D48" s="33"/>
      <c r="E48" s="33"/>
      <c r="F48" s="33"/>
      <c r="G48" s="33"/>
      <c r="H48" s="52"/>
      <c r="I48" s="33"/>
      <c r="J48" s="610"/>
      <c r="K48" s="644"/>
      <c r="L48" s="641"/>
      <c r="M48" s="580"/>
      <c r="N48" s="1201"/>
      <c r="O48" s="581"/>
      <c r="P48" s="487"/>
      <c r="Q48" s="652"/>
      <c r="R48" s="432"/>
      <c r="S48" s="687"/>
      <c r="T48" s="652"/>
      <c r="U48" s="652"/>
      <c r="V48" s="652"/>
      <c r="W48" s="652"/>
      <c r="X48" s="581"/>
      <c r="Y48" s="573"/>
      <c r="Z48" s="574"/>
      <c r="AA48" s="583"/>
      <c r="AB48" s="576"/>
      <c r="AC48" s="576"/>
      <c r="AD48" s="576"/>
      <c r="AE48" s="576"/>
      <c r="AF48" s="576"/>
      <c r="AG48" s="585"/>
      <c r="AH48" s="640"/>
      <c r="AI48" s="581"/>
      <c r="AJ48" s="581"/>
      <c r="AK48" s="584"/>
      <c r="AL48" s="581"/>
      <c r="AM48" s="581"/>
      <c r="AN48" s="581"/>
      <c r="AO48" s="581"/>
      <c r="AP48" s="578"/>
      <c r="AQ48" s="591"/>
      <c r="AR48" s="581"/>
      <c r="AS48" s="578"/>
      <c r="AT48" s="581"/>
      <c r="AU48" s="581"/>
      <c r="AV48" s="581"/>
      <c r="AW48" s="581"/>
      <c r="AX48" s="581"/>
      <c r="AY48" s="578"/>
      <c r="AZ48" s="584"/>
      <c r="BA48" s="34"/>
      <c r="BB48" s="34"/>
      <c r="BC48" s="586"/>
      <c r="BD48" s="586"/>
      <c r="BE48" s="586"/>
      <c r="BF48" s="586"/>
      <c r="BG48" s="576"/>
      <c r="BH48" s="581"/>
      <c r="BI48" s="581"/>
      <c r="BJ48" s="441"/>
      <c r="BK48" s="581"/>
      <c r="BL48" s="581"/>
      <c r="BM48" s="581"/>
      <c r="BN48" s="581"/>
      <c r="BO48" s="576"/>
      <c r="BP48" s="94"/>
      <c r="BQ48" s="579"/>
      <c r="BR48" s="575"/>
      <c r="BS48" s="576"/>
      <c r="BT48" s="593"/>
      <c r="BU48" s="593"/>
      <c r="BV48" s="588"/>
      <c r="BW48" s="581"/>
      <c r="BX48" s="581"/>
      <c r="BY48" s="581"/>
      <c r="BZ48" s="578"/>
      <c r="CA48" s="579"/>
      <c r="CB48" s="584"/>
      <c r="CC48" s="581"/>
      <c r="CD48" s="581"/>
      <c r="CE48" s="581"/>
      <c r="CF48" s="581"/>
      <c r="CG48" s="581"/>
      <c r="CH48" s="594"/>
      <c r="CI48" s="594"/>
      <c r="CJ48" s="594"/>
      <c r="CK48" s="594"/>
      <c r="CL48" s="596"/>
      <c r="CM48" s="595"/>
      <c r="CN48" s="594"/>
      <c r="CO48" s="594"/>
      <c r="CP48" s="596"/>
      <c r="CQ48" s="578"/>
      <c r="CR48" s="590"/>
      <c r="CS48" s="581"/>
      <c r="CT48" s="581"/>
      <c r="CU48" s="581"/>
      <c r="CV48" s="594"/>
      <c r="CW48" s="594"/>
      <c r="CX48" s="581"/>
      <c r="CY48" s="578"/>
      <c r="CZ48" s="589"/>
      <c r="DA48" s="646"/>
      <c r="DB48" s="768"/>
      <c r="DC48" s="646"/>
      <c r="DD48" s="646"/>
      <c r="DE48" s="646"/>
      <c r="DF48" s="646"/>
      <c r="DG48" s="646"/>
      <c r="DH48" s="646"/>
      <c r="DI48" s="646"/>
      <c r="DJ48" s="646"/>
      <c r="DK48" s="646"/>
      <c r="DL48" s="646"/>
      <c r="DM48" s="648"/>
      <c r="DN48" s="68"/>
    </row>
    <row r="49" spans="1:119" s="69" customFormat="1" ht="15.95" customHeight="1" outlineLevel="1" x14ac:dyDescent="0.25">
      <c r="A49" s="52"/>
      <c r="B49" s="52"/>
      <c r="C49" s="33"/>
      <c r="D49" s="33"/>
      <c r="E49" s="33"/>
      <c r="F49" s="33"/>
      <c r="G49" s="33"/>
      <c r="H49" s="52"/>
      <c r="I49" s="33"/>
      <c r="J49" s="610"/>
      <c r="K49" s="644"/>
      <c r="L49" s="641"/>
      <c r="M49" s="580"/>
      <c r="N49" s="1201"/>
      <c r="O49" s="581"/>
      <c r="P49" s="487"/>
      <c r="Q49" s="652"/>
      <c r="R49" s="432"/>
      <c r="S49" s="688"/>
      <c r="T49" s="652"/>
      <c r="U49" s="652"/>
      <c r="V49" s="652"/>
      <c r="W49" s="652"/>
      <c r="X49" s="581"/>
      <c r="Y49" s="573"/>
      <c r="Z49" s="574"/>
      <c r="AA49" s="583"/>
      <c r="AB49" s="576"/>
      <c r="AC49" s="576"/>
      <c r="AD49" s="576"/>
      <c r="AE49" s="576"/>
      <c r="AF49" s="576"/>
      <c r="AG49" s="585"/>
      <c r="AH49" s="640"/>
      <c r="AI49" s="581"/>
      <c r="AJ49" s="581"/>
      <c r="AK49" s="584"/>
      <c r="AL49" s="581"/>
      <c r="AM49" s="581"/>
      <c r="AN49" s="581"/>
      <c r="AO49" s="581"/>
      <c r="AP49" s="578"/>
      <c r="AQ49" s="591"/>
      <c r="AR49" s="581"/>
      <c r="AS49" s="578"/>
      <c r="AT49" s="581"/>
      <c r="AU49" s="581"/>
      <c r="AV49" s="581"/>
      <c r="AW49" s="581"/>
      <c r="AX49" s="581"/>
      <c r="AY49" s="578"/>
      <c r="AZ49" s="584"/>
      <c r="BA49" s="34"/>
      <c r="BB49" s="34"/>
      <c r="BC49" s="586"/>
      <c r="BD49" s="586"/>
      <c r="BE49" s="586"/>
      <c r="BF49" s="586"/>
      <c r="BG49" s="576"/>
      <c r="BH49" s="581"/>
      <c r="BI49" s="581"/>
      <c r="BJ49" s="441"/>
      <c r="BK49" s="581"/>
      <c r="BL49" s="581"/>
      <c r="BM49" s="581"/>
      <c r="BN49" s="581"/>
      <c r="BO49" s="576"/>
      <c r="BP49" s="94"/>
      <c r="BQ49" s="579"/>
      <c r="BR49" s="575"/>
      <c r="BS49" s="576"/>
      <c r="BT49" s="593"/>
      <c r="BU49" s="593"/>
      <c r="BV49" s="588"/>
      <c r="BW49" s="581"/>
      <c r="BX49" s="581"/>
      <c r="BY49" s="581"/>
      <c r="BZ49" s="578"/>
      <c r="CA49" s="579"/>
      <c r="CB49" s="584"/>
      <c r="CC49" s="581"/>
      <c r="CD49" s="581"/>
      <c r="CE49" s="581"/>
      <c r="CF49" s="581"/>
      <c r="CG49" s="581"/>
      <c r="CH49" s="594"/>
      <c r="CI49" s="594"/>
      <c r="CJ49" s="594"/>
      <c r="CK49" s="594"/>
      <c r="CL49" s="596"/>
      <c r="CM49" s="595"/>
      <c r="CN49" s="594"/>
      <c r="CO49" s="594"/>
      <c r="CP49" s="596"/>
      <c r="CQ49" s="578"/>
      <c r="CR49" s="590"/>
      <c r="CS49" s="581"/>
      <c r="CT49" s="581"/>
      <c r="CU49" s="581"/>
      <c r="CV49" s="594"/>
      <c r="CW49" s="594"/>
      <c r="CX49" s="581"/>
      <c r="CY49" s="578"/>
      <c r="CZ49" s="589"/>
      <c r="DA49" s="646"/>
      <c r="DB49" s="768"/>
      <c r="DC49" s="646"/>
      <c r="DD49" s="646"/>
      <c r="DE49" s="646"/>
      <c r="DF49" s="646"/>
      <c r="DG49" s="646"/>
      <c r="DH49" s="646"/>
      <c r="DI49" s="646"/>
      <c r="DJ49" s="646"/>
      <c r="DK49" s="646"/>
      <c r="DL49" s="646"/>
      <c r="DM49" s="648"/>
      <c r="DN49" s="68"/>
    </row>
    <row r="50" spans="1:119" s="69" customFormat="1" ht="15.95" customHeight="1" outlineLevel="1" x14ac:dyDescent="0.25">
      <c r="A50" s="52"/>
      <c r="B50" s="52"/>
      <c r="C50" s="33"/>
      <c r="D50" s="33"/>
      <c r="E50" s="33"/>
      <c r="F50" s="33"/>
      <c r="G50" s="33"/>
      <c r="H50" s="52"/>
      <c r="I50" s="33"/>
      <c r="J50" s="610"/>
      <c r="K50" s="644"/>
      <c r="L50" s="641"/>
      <c r="M50" s="580"/>
      <c r="N50" s="1201"/>
      <c r="O50" s="581"/>
      <c r="P50" s="487"/>
      <c r="Q50" s="652"/>
      <c r="R50" s="432"/>
      <c r="S50" s="689"/>
      <c r="T50" s="652"/>
      <c r="U50" s="652"/>
      <c r="V50" s="652"/>
      <c r="W50" s="652"/>
      <c r="X50" s="581"/>
      <c r="Y50" s="573"/>
      <c r="Z50" s="574"/>
      <c r="AA50" s="583"/>
      <c r="AB50" s="576"/>
      <c r="AC50" s="576"/>
      <c r="AD50" s="576"/>
      <c r="AE50" s="576"/>
      <c r="AF50" s="576"/>
      <c r="AG50" s="585"/>
      <c r="AH50" s="640"/>
      <c r="AI50" s="581"/>
      <c r="AJ50" s="581"/>
      <c r="AK50" s="584"/>
      <c r="AL50" s="581"/>
      <c r="AM50" s="581"/>
      <c r="AN50" s="581"/>
      <c r="AO50" s="581"/>
      <c r="AP50" s="578"/>
      <c r="AQ50" s="591"/>
      <c r="AR50" s="581"/>
      <c r="AS50" s="578"/>
      <c r="AT50" s="581"/>
      <c r="AU50" s="581"/>
      <c r="AV50" s="581"/>
      <c r="AW50" s="581"/>
      <c r="AX50" s="581"/>
      <c r="AY50" s="578"/>
      <c r="AZ50" s="584"/>
      <c r="BA50" s="34"/>
      <c r="BB50" s="34"/>
      <c r="BC50" s="586"/>
      <c r="BD50" s="586"/>
      <c r="BE50" s="586"/>
      <c r="BF50" s="586"/>
      <c r="BG50" s="576"/>
      <c r="BH50" s="581"/>
      <c r="BI50" s="581"/>
      <c r="BJ50" s="441"/>
      <c r="BK50" s="581"/>
      <c r="BL50" s="581"/>
      <c r="BM50" s="581"/>
      <c r="BN50" s="581"/>
      <c r="BO50" s="576"/>
      <c r="BP50" s="94"/>
      <c r="BQ50" s="579"/>
      <c r="BR50" s="575"/>
      <c r="BS50" s="576"/>
      <c r="BT50" s="593"/>
      <c r="BU50" s="593"/>
      <c r="BV50" s="588"/>
      <c r="BW50" s="581"/>
      <c r="BX50" s="581"/>
      <c r="BY50" s="581"/>
      <c r="BZ50" s="578"/>
      <c r="CA50" s="579"/>
      <c r="CB50" s="584"/>
      <c r="CC50" s="581"/>
      <c r="CD50" s="581"/>
      <c r="CE50" s="581"/>
      <c r="CF50" s="581"/>
      <c r="CG50" s="581"/>
      <c r="CH50" s="594"/>
      <c r="CI50" s="594"/>
      <c r="CJ50" s="594"/>
      <c r="CK50" s="594"/>
      <c r="CL50" s="596"/>
      <c r="CM50" s="595"/>
      <c r="CN50" s="594"/>
      <c r="CO50" s="594"/>
      <c r="CP50" s="596"/>
      <c r="CQ50" s="578"/>
      <c r="CR50" s="590"/>
      <c r="CS50" s="581"/>
      <c r="CT50" s="581"/>
      <c r="CU50" s="581"/>
      <c r="CV50" s="594"/>
      <c r="CW50" s="594"/>
      <c r="CX50" s="581"/>
      <c r="CY50" s="578"/>
      <c r="CZ50" s="589"/>
      <c r="DA50" s="646"/>
      <c r="DB50" s="768"/>
      <c r="DC50" s="646"/>
      <c r="DD50" s="646"/>
      <c r="DE50" s="646"/>
      <c r="DF50" s="646"/>
      <c r="DG50" s="646"/>
      <c r="DH50" s="646"/>
      <c r="DI50" s="646"/>
      <c r="DJ50" s="646"/>
      <c r="DK50" s="646"/>
      <c r="DL50" s="646"/>
      <c r="DM50" s="648"/>
      <c r="DN50" s="68"/>
    </row>
    <row r="51" spans="1:119" s="69" customFormat="1" ht="15.95" customHeight="1" outlineLevel="1" x14ac:dyDescent="0.25">
      <c r="A51" s="52"/>
      <c r="B51" s="52"/>
      <c r="C51" s="33"/>
      <c r="D51" s="33"/>
      <c r="E51" s="33"/>
      <c r="F51" s="33"/>
      <c r="G51" s="33"/>
      <c r="H51" s="52"/>
      <c r="I51" s="33"/>
      <c r="J51" s="610"/>
      <c r="K51" s="644"/>
      <c r="L51" s="641"/>
      <c r="M51" s="580"/>
      <c r="N51" s="1201"/>
      <c r="O51" s="581"/>
      <c r="P51" s="487"/>
      <c r="Q51" s="652"/>
      <c r="R51" s="432"/>
      <c r="S51" s="432"/>
      <c r="T51" s="652"/>
      <c r="U51" s="652"/>
      <c r="V51" s="652"/>
      <c r="W51" s="652"/>
      <c r="X51" s="581"/>
      <c r="Y51" s="573"/>
      <c r="Z51" s="574"/>
      <c r="AA51" s="583"/>
      <c r="AB51" s="576"/>
      <c r="AC51" s="576"/>
      <c r="AD51" s="576"/>
      <c r="AE51" s="576"/>
      <c r="AF51" s="576"/>
      <c r="AG51" s="585"/>
      <c r="AH51" s="640"/>
      <c r="AI51" s="581"/>
      <c r="AJ51" s="581"/>
      <c r="AK51" s="584"/>
      <c r="AL51" s="581"/>
      <c r="AM51" s="581"/>
      <c r="AN51" s="581"/>
      <c r="AO51" s="581"/>
      <c r="AP51" s="578"/>
      <c r="AQ51" s="591"/>
      <c r="AR51" s="581"/>
      <c r="AS51" s="578"/>
      <c r="AT51" s="581"/>
      <c r="AU51" s="581"/>
      <c r="AV51" s="581"/>
      <c r="AW51" s="581"/>
      <c r="AX51" s="581"/>
      <c r="AY51" s="578"/>
      <c r="AZ51" s="584"/>
      <c r="BA51" s="34"/>
      <c r="BB51" s="34"/>
      <c r="BC51" s="586"/>
      <c r="BD51" s="586"/>
      <c r="BE51" s="586"/>
      <c r="BF51" s="586"/>
      <c r="BG51" s="576"/>
      <c r="BH51" s="581"/>
      <c r="BI51" s="581"/>
      <c r="BJ51" s="441"/>
      <c r="BK51" s="581"/>
      <c r="BL51" s="581"/>
      <c r="BM51" s="581"/>
      <c r="BN51" s="581"/>
      <c r="BO51" s="576"/>
      <c r="BP51" s="94"/>
      <c r="BQ51" s="579"/>
      <c r="BR51" s="575"/>
      <c r="BS51" s="576"/>
      <c r="BT51" s="593"/>
      <c r="BU51" s="593"/>
      <c r="BV51" s="588"/>
      <c r="BW51" s="581"/>
      <c r="BX51" s="581"/>
      <c r="BY51" s="581"/>
      <c r="BZ51" s="578"/>
      <c r="CA51" s="579"/>
      <c r="CB51" s="584"/>
      <c r="CC51" s="581"/>
      <c r="CD51" s="581"/>
      <c r="CE51" s="581"/>
      <c r="CF51" s="581"/>
      <c r="CG51" s="581"/>
      <c r="CH51" s="594"/>
      <c r="CI51" s="594"/>
      <c r="CJ51" s="594"/>
      <c r="CK51" s="594"/>
      <c r="CL51" s="596"/>
      <c r="CM51" s="595"/>
      <c r="CN51" s="594"/>
      <c r="CO51" s="594"/>
      <c r="CP51" s="596"/>
      <c r="CQ51" s="578"/>
      <c r="CR51" s="590"/>
      <c r="CS51" s="581"/>
      <c r="CT51" s="581"/>
      <c r="CU51" s="581"/>
      <c r="CV51" s="594"/>
      <c r="CW51" s="594"/>
      <c r="CX51" s="581"/>
      <c r="CY51" s="578"/>
      <c r="CZ51" s="589"/>
      <c r="DA51" s="646"/>
      <c r="DB51" s="768"/>
      <c r="DC51" s="646"/>
      <c r="DD51" s="646"/>
      <c r="DE51" s="646"/>
      <c r="DF51" s="646"/>
      <c r="DG51" s="646"/>
      <c r="DH51" s="646"/>
      <c r="DI51" s="646"/>
      <c r="DJ51" s="646"/>
      <c r="DK51" s="646"/>
      <c r="DL51" s="646"/>
      <c r="DM51" s="648"/>
      <c r="DN51" s="68"/>
    </row>
    <row r="52" spans="1:119" s="69" customFormat="1" ht="15.95" customHeight="1" outlineLevel="1" x14ac:dyDescent="0.25">
      <c r="A52" s="52"/>
      <c r="B52" s="52"/>
      <c r="C52" s="33"/>
      <c r="D52" s="33"/>
      <c r="E52" s="33"/>
      <c r="F52" s="33"/>
      <c r="G52" s="33"/>
      <c r="H52" s="52"/>
      <c r="I52" s="33"/>
      <c r="J52" s="610"/>
      <c r="K52" s="644"/>
      <c r="L52" s="641"/>
      <c r="M52" s="580"/>
      <c r="N52" s="432"/>
      <c r="O52" s="581"/>
      <c r="P52" s="487"/>
      <c r="Q52" s="652"/>
      <c r="R52" s="432"/>
      <c r="S52" s="432"/>
      <c r="T52" s="652"/>
      <c r="U52" s="652"/>
      <c r="V52" s="652"/>
      <c r="W52" s="652"/>
      <c r="X52" s="581"/>
      <c r="Y52" s="573"/>
      <c r="Z52" s="574"/>
      <c r="AA52" s="583"/>
      <c r="AB52" s="576"/>
      <c r="AC52" s="576"/>
      <c r="AD52" s="576"/>
      <c r="AE52" s="576"/>
      <c r="AF52" s="576"/>
      <c r="AG52" s="585"/>
      <c r="AH52" s="640"/>
      <c r="AI52" s="581"/>
      <c r="AJ52" s="581"/>
      <c r="AK52" s="584"/>
      <c r="AL52" s="581"/>
      <c r="AM52" s="581"/>
      <c r="AN52" s="581"/>
      <c r="AO52" s="581"/>
      <c r="AP52" s="578"/>
      <c r="AQ52" s="591"/>
      <c r="AR52" s="581"/>
      <c r="AS52" s="578"/>
      <c r="AT52" s="581"/>
      <c r="AU52" s="581"/>
      <c r="AV52" s="581"/>
      <c r="AW52" s="581"/>
      <c r="AX52" s="581"/>
      <c r="AY52" s="578"/>
      <c r="AZ52" s="584"/>
      <c r="BA52" s="34"/>
      <c r="BB52" s="34"/>
      <c r="BC52" s="586"/>
      <c r="BD52" s="586"/>
      <c r="BE52" s="586"/>
      <c r="BF52" s="586"/>
      <c r="BG52" s="576"/>
      <c r="BH52" s="581"/>
      <c r="BI52" s="581"/>
      <c r="BJ52" s="441"/>
      <c r="BK52" s="581"/>
      <c r="BL52" s="581"/>
      <c r="BM52" s="581"/>
      <c r="BN52" s="581"/>
      <c r="BO52" s="576"/>
      <c r="BP52" s="94"/>
      <c r="BQ52" s="579"/>
      <c r="BR52" s="575"/>
      <c r="BS52" s="576"/>
      <c r="BT52" s="593"/>
      <c r="BU52" s="593"/>
      <c r="BV52" s="588"/>
      <c r="BW52" s="581"/>
      <c r="BX52" s="581"/>
      <c r="BY52" s="581"/>
      <c r="BZ52" s="578"/>
      <c r="CA52" s="579"/>
      <c r="CB52" s="584"/>
      <c r="CC52" s="581"/>
      <c r="CD52" s="581"/>
      <c r="CE52" s="581"/>
      <c r="CF52" s="581"/>
      <c r="CG52" s="581"/>
      <c r="CH52" s="594"/>
      <c r="CI52" s="594"/>
      <c r="CJ52" s="594"/>
      <c r="CK52" s="594"/>
      <c r="CL52" s="596"/>
      <c r="CM52" s="595"/>
      <c r="CN52" s="594"/>
      <c r="CO52" s="594"/>
      <c r="CP52" s="596"/>
      <c r="CQ52" s="578"/>
      <c r="CR52" s="590"/>
      <c r="CS52" s="581"/>
      <c r="CT52" s="581"/>
      <c r="CU52" s="581"/>
      <c r="CV52" s="594"/>
      <c r="CW52" s="594"/>
      <c r="CX52" s="581"/>
      <c r="CY52" s="578"/>
      <c r="CZ52" s="589"/>
      <c r="DA52" s="646"/>
      <c r="DB52" s="768"/>
      <c r="DC52" s="646"/>
      <c r="DD52" s="646"/>
      <c r="DE52" s="646"/>
      <c r="DF52" s="646"/>
      <c r="DG52" s="646"/>
      <c r="DH52" s="646"/>
      <c r="DI52" s="646"/>
      <c r="DJ52" s="646"/>
      <c r="DK52" s="646"/>
      <c r="DL52" s="646"/>
      <c r="DM52" s="648"/>
      <c r="DN52" s="68"/>
    </row>
    <row r="53" spans="1:119" s="69" customFormat="1" ht="15.95" customHeight="1" outlineLevel="1" x14ac:dyDescent="0.25">
      <c r="A53" s="575"/>
      <c r="B53" s="575"/>
      <c r="C53" s="576"/>
      <c r="D53" s="576"/>
      <c r="E53" s="576"/>
      <c r="F53" s="576"/>
      <c r="G53" s="576"/>
      <c r="H53" s="575"/>
      <c r="I53" s="576"/>
      <c r="J53" s="610"/>
      <c r="K53" s="644"/>
      <c r="L53" s="641"/>
      <c r="M53" s="580"/>
      <c r="N53" s="432"/>
      <c r="O53" s="581"/>
      <c r="P53" s="487"/>
      <c r="Q53" s="652"/>
      <c r="R53" s="432"/>
      <c r="S53" s="432"/>
      <c r="T53" s="652"/>
      <c r="U53" s="652"/>
      <c r="V53" s="652"/>
      <c r="W53" s="652"/>
      <c r="X53" s="581"/>
      <c r="Y53" s="573"/>
      <c r="Z53" s="574"/>
      <c r="AA53" s="583"/>
      <c r="AB53" s="576"/>
      <c r="AC53" s="576"/>
      <c r="AD53" s="576"/>
      <c r="AE53" s="576"/>
      <c r="AF53" s="576"/>
      <c r="AG53" s="585"/>
      <c r="AH53" s="640"/>
      <c r="AI53" s="581"/>
      <c r="AJ53" s="581"/>
      <c r="AK53" s="584"/>
      <c r="AL53" s="581"/>
      <c r="AM53" s="581"/>
      <c r="AN53" s="581"/>
      <c r="AO53" s="581"/>
      <c r="AP53" s="578"/>
      <c r="AQ53" s="591"/>
      <c r="AR53" s="581"/>
      <c r="AS53" s="578"/>
      <c r="AT53" s="581"/>
      <c r="AU53" s="581"/>
      <c r="AV53" s="581"/>
      <c r="AW53" s="581"/>
      <c r="AX53" s="581"/>
      <c r="AY53" s="578"/>
      <c r="AZ53" s="584"/>
      <c r="BA53" s="582"/>
      <c r="BB53" s="582"/>
      <c r="BC53" s="586"/>
      <c r="BD53" s="586"/>
      <c r="BE53" s="586"/>
      <c r="BF53" s="586"/>
      <c r="BG53" s="576"/>
      <c r="BH53" s="581"/>
      <c r="BI53" s="581"/>
      <c r="BJ53" s="441"/>
      <c r="BK53" s="581"/>
      <c r="BL53" s="581"/>
      <c r="BM53" s="581"/>
      <c r="BN53" s="581"/>
      <c r="BO53" s="576"/>
      <c r="BP53" s="94"/>
      <c r="BQ53" s="579"/>
      <c r="BR53" s="575"/>
      <c r="BS53" s="576"/>
      <c r="BT53" s="593"/>
      <c r="BU53" s="593"/>
      <c r="BV53" s="588"/>
      <c r="BW53" s="581"/>
      <c r="BX53" s="581"/>
      <c r="BY53" s="581"/>
      <c r="BZ53" s="578"/>
      <c r="CA53" s="579"/>
      <c r="CB53" s="584"/>
      <c r="CC53" s="581"/>
      <c r="CD53" s="581"/>
      <c r="CE53" s="581"/>
      <c r="CF53" s="581"/>
      <c r="CG53" s="581"/>
      <c r="CH53" s="594"/>
      <c r="CI53" s="594"/>
      <c r="CJ53" s="594"/>
      <c r="CK53" s="594"/>
      <c r="CL53" s="596"/>
      <c r="CM53" s="595"/>
      <c r="CN53" s="594"/>
      <c r="CO53" s="594"/>
      <c r="CP53" s="596"/>
      <c r="CQ53" s="578"/>
      <c r="CR53" s="590"/>
      <c r="CS53" s="581"/>
      <c r="CT53" s="581"/>
      <c r="CU53" s="581"/>
      <c r="CV53" s="594"/>
      <c r="CW53" s="594"/>
      <c r="CX53" s="581"/>
      <c r="CY53" s="578"/>
      <c r="CZ53" s="589"/>
      <c r="DA53" s="646"/>
      <c r="DB53" s="768"/>
      <c r="DC53" s="646"/>
      <c r="DD53" s="646"/>
      <c r="DE53" s="646"/>
      <c r="DF53" s="646"/>
      <c r="DG53" s="646"/>
      <c r="DH53" s="646"/>
      <c r="DI53" s="646"/>
      <c r="DJ53" s="646"/>
      <c r="DK53" s="646"/>
      <c r="DL53" s="646"/>
      <c r="DM53" s="648"/>
      <c r="DN53" s="68"/>
    </row>
    <row r="54" spans="1:119" s="117" customFormat="1" ht="24.95" customHeight="1" x14ac:dyDescent="0.25">
      <c r="A54" s="393"/>
      <c r="B54" s="393"/>
      <c r="C54" s="393"/>
      <c r="D54" s="393"/>
      <c r="E54" s="393"/>
      <c r="F54" s="393"/>
      <c r="G54" s="393"/>
      <c r="H54" s="393"/>
      <c r="I54" s="407"/>
      <c r="J54" s="384" t="str">
        <f>J3</f>
        <v>Компания 1</v>
      </c>
      <c r="K54" s="708"/>
      <c r="L54" s="388"/>
      <c r="M54" s="674"/>
      <c r="N54" s="387"/>
      <c r="O54" s="388"/>
      <c r="P54" s="389"/>
      <c r="Q54" s="562"/>
      <c r="R54" s="674"/>
      <c r="S54" s="674"/>
      <c r="T54" s="562">
        <f>SUM(T4:T41)</f>
        <v>0</v>
      </c>
      <c r="U54" s="562">
        <f>SUM(U4:U41)</f>
        <v>0</v>
      </c>
      <c r="V54" s="562"/>
      <c r="W54" s="562"/>
      <c r="X54" s="388"/>
      <c r="Y54" s="394" t="e">
        <f ca="1">AJ54/AI54</f>
        <v>#DIV/0!</v>
      </c>
      <c r="Z54" s="394" t="e">
        <f ca="1">AR54/AI54</f>
        <v>#DIV/0!</v>
      </c>
      <c r="AA54" s="397">
        <f ca="1">SUM(AA4:AA53)</f>
        <v>1194380</v>
      </c>
      <c r="AB54" s="393"/>
      <c r="AC54" s="393"/>
      <c r="AD54" s="393"/>
      <c r="AE54" s="393"/>
      <c r="AF54" s="393"/>
      <c r="AG54" s="394"/>
      <c r="AH54" s="393"/>
      <c r="AI54" s="388">
        <f ca="1">SUM(AI4:AI53)</f>
        <v>42090439.002932556</v>
      </c>
      <c r="AJ54" s="388" t="e">
        <f ca="1">SUM(AJ4:AJ53)</f>
        <v>#DIV/0!</v>
      </c>
      <c r="AK54" s="395"/>
      <c r="AL54" s="388"/>
      <c r="AM54" s="388"/>
      <c r="AN54" s="388"/>
      <c r="AO54" s="388"/>
      <c r="AP54" s="385"/>
      <c r="AQ54" s="396"/>
      <c r="AR54" s="388" t="e">
        <f ca="1">SUM(AR4:AR53)</f>
        <v>#DIV/0!</v>
      </c>
      <c r="AS54" s="385" t="e">
        <f ca="1">SUM(AS4:AS53)</f>
        <v>#DIV/0!</v>
      </c>
      <c r="AT54" s="388"/>
      <c r="AU54" s="388"/>
      <c r="AV54" s="388"/>
      <c r="AW54" s="388"/>
      <c r="AX54" s="388"/>
      <c r="AY54" s="385"/>
      <c r="AZ54" s="395"/>
      <c r="BA54" s="388"/>
      <c r="BB54" s="388"/>
      <c r="BC54" s="442"/>
      <c r="BD54" s="388"/>
      <c r="BE54" s="388"/>
      <c r="BF54" s="388"/>
      <c r="BG54" s="393"/>
      <c r="BH54" s="388"/>
      <c r="BI54" s="388"/>
      <c r="BJ54" s="388"/>
      <c r="BK54" s="388"/>
      <c r="BL54" s="388"/>
      <c r="BM54" s="388"/>
      <c r="BN54" s="388"/>
      <c r="BO54" s="393"/>
      <c r="BP54" s="393"/>
      <c r="BQ54" s="373"/>
      <c r="BR54" s="392">
        <f ca="1">SUMPRODUCT(AA4:AA53,BR4:BR53)/AA54</f>
        <v>5.9436090631537848</v>
      </c>
      <c r="BS54" s="393">
        <f ca="1">SUMPRODUCT(AA4:AA53,BS4:BS53)/AA54</f>
        <v>2.2510693045764327</v>
      </c>
      <c r="BT54" s="524">
        <f ca="1">SUMPRODUCT($AA$4:$AA$53,BT4:BT53)/$AA$54</f>
        <v>2.5172416450375925</v>
      </c>
      <c r="BU54" s="517">
        <f ca="1">BR54-BS54</f>
        <v>3.2174015895450356</v>
      </c>
      <c r="BV54" s="424">
        <f ca="1">SUMPRODUCT($AA$4:$AA$53,BV4:BV53)/$AA$54</f>
        <v>2.8950476654086641</v>
      </c>
      <c r="BW54" s="443" t="e">
        <f ca="1">BU54*AA54*CZ54</f>
        <v>#DIV/0!</v>
      </c>
      <c r="BX54" s="443" t="e">
        <f ca="1">SUMPRODUCT(AA4:AA53,BU4:BU53,CZ4:CZ53,CR4:CR53)</f>
        <v>#DIV/0!</v>
      </c>
      <c r="BY54" s="443" t="e">
        <f ca="1">BV54*AA54*CZ54</f>
        <v>#DIV/0!</v>
      </c>
      <c r="BZ54" s="444" t="e">
        <f ca="1">SUMPRODUCT(AA4:AA53,BV4:BV53,CZ4:CZ53,CR4:CR53)</f>
        <v>#DIV/0!</v>
      </c>
      <c r="CA54" s="373"/>
      <c r="CB54" s="395"/>
      <c r="CC54" s="388"/>
      <c r="CD54" s="388"/>
      <c r="CE54" s="388"/>
      <c r="CF54" s="388"/>
      <c r="CG54" s="388"/>
      <c r="CH54" s="404" t="e">
        <f ca="1">SUM(CH4:CH53)</f>
        <v>#DIV/0!</v>
      </c>
      <c r="CI54" s="404" t="e">
        <f ca="1">SUM(CI4:CI53)</f>
        <v>#DIV/0!</v>
      </c>
      <c r="CJ54" s="404"/>
      <c r="CK54" s="404"/>
      <c r="CL54" s="406"/>
      <c r="CM54" s="405">
        <f ca="1">SUMPRODUCT(AA4:AA53,CM4:CM53)/AA54</f>
        <v>2.5466664880523786</v>
      </c>
      <c r="CN54" s="404">
        <f ca="1">SUMPRODUCT(AA4:AA53,CN4:CN53)/AA54</f>
        <v>2.2804941475912184</v>
      </c>
      <c r="CO54" s="404" t="e">
        <f ca="1">SUM(CO4:CO53)</f>
        <v>#VALUE!</v>
      </c>
      <c r="CP54" s="406" t="e">
        <f ca="1">SUM(CP4:CP53)</f>
        <v>#VALUE!</v>
      </c>
      <c r="CQ54" s="385"/>
      <c r="CR54" s="407"/>
      <c r="CS54" s="388"/>
      <c r="CT54" s="388"/>
      <c r="CU54" s="388"/>
      <c r="CV54" s="404" t="e">
        <f ca="1">SUM(CV4:CV53)</f>
        <v>#DIV/0!</v>
      </c>
      <c r="CW54" s="404" t="e">
        <f ca="1">SUM(CW4:CW53)</f>
        <v>#DIV/0!</v>
      </c>
      <c r="CX54" s="388"/>
      <c r="CY54" s="385" t="e">
        <f ca="1">SUM(CY4:CY53)</f>
        <v>#DIV/0!</v>
      </c>
      <c r="CZ54" s="445" t="e">
        <f ca="1">SUMPRODUCT(AA4:AA53,CZ4:CZ53)/AA54</f>
        <v>#DIV/0!</v>
      </c>
      <c r="DA54" s="388" t="e">
        <f t="shared" ref="DA54:DL54" ca="1" si="167">SUM(DA4:DA53)</f>
        <v>#DIV/0!</v>
      </c>
      <c r="DB54" s="388" t="e">
        <f t="shared" ref="DB54" ca="1" si="168">SUM(DB4:DB53)</f>
        <v>#DIV/0!</v>
      </c>
      <c r="DC54" s="388">
        <f t="shared" si="167"/>
        <v>0</v>
      </c>
      <c r="DD54" s="388" t="e">
        <f t="shared" ca="1" si="167"/>
        <v>#DIV/0!</v>
      </c>
      <c r="DE54" s="388" t="e">
        <f t="shared" ca="1" si="167"/>
        <v>#DIV/0!</v>
      </c>
      <c r="DF54" s="388" t="e">
        <f t="shared" ca="1" si="167"/>
        <v>#DIV/0!</v>
      </c>
      <c r="DG54" s="388" t="e">
        <f t="shared" ca="1" si="167"/>
        <v>#DIV/0!</v>
      </c>
      <c r="DH54" s="388">
        <f t="shared" ca="1" si="167"/>
        <v>37.215638575199989</v>
      </c>
      <c r="DI54" s="388">
        <f t="shared" ca="1" si="167"/>
        <v>-20.498265200963974</v>
      </c>
      <c r="DJ54" s="388" t="e">
        <f t="shared" ca="1" si="167"/>
        <v>#DIV/0!</v>
      </c>
      <c r="DK54" s="388" t="e">
        <f t="shared" ca="1" si="167"/>
        <v>#DIV/0!</v>
      </c>
      <c r="DL54" s="388" t="e">
        <f t="shared" ca="1" si="167"/>
        <v>#VALUE!</v>
      </c>
      <c r="DM54" s="754" t="e">
        <f ca="1">SUM(DM4:DM53)</f>
        <v>#DIV/0!</v>
      </c>
      <c r="DN54" s="116"/>
      <c r="DO54" s="69"/>
    </row>
    <row r="55" spans="1:119" s="213" customFormat="1" ht="20.100000000000001" customHeight="1" outlineLevel="1" x14ac:dyDescent="0.25">
      <c r="A55" s="110"/>
      <c r="B55" s="110"/>
      <c r="C55" s="110"/>
      <c r="D55" s="110"/>
      <c r="E55" s="110"/>
      <c r="F55" s="110"/>
      <c r="G55" s="110"/>
      <c r="H55" s="110"/>
      <c r="I55" s="110"/>
      <c r="J55" s="205" t="s">
        <v>88</v>
      </c>
      <c r="K55" s="206"/>
      <c r="L55" s="207"/>
      <c r="M55" s="208"/>
      <c r="N55" s="208"/>
      <c r="O55" s="207"/>
      <c r="P55" s="208"/>
      <c r="Q55" s="202"/>
      <c r="R55" s="208"/>
      <c r="S55" s="208"/>
      <c r="T55" s="202"/>
      <c r="U55" s="202"/>
      <c r="V55" s="202"/>
      <c r="W55" s="202"/>
      <c r="X55" s="207"/>
      <c r="Y55" s="110"/>
      <c r="Z55" s="110"/>
      <c r="AA55" s="202"/>
      <c r="AB55" s="106"/>
      <c r="AC55" s="110"/>
      <c r="AD55" s="110"/>
      <c r="AE55" s="110"/>
      <c r="AF55" s="110"/>
      <c r="AG55" s="209"/>
      <c r="AH55" s="110"/>
      <c r="AI55" s="202"/>
      <c r="AJ55" s="202"/>
      <c r="AK55" s="106"/>
      <c r="AL55" s="202"/>
      <c r="AM55" s="202"/>
      <c r="AN55" s="202"/>
      <c r="AO55" s="202"/>
      <c r="AP55" s="210"/>
      <c r="AQ55" s="109"/>
      <c r="AR55" s="290"/>
      <c r="AS55" s="292"/>
      <c r="AT55" s="110"/>
      <c r="AU55" s="202"/>
      <c r="AV55" s="202"/>
      <c r="AW55" s="202"/>
      <c r="AX55" s="202"/>
      <c r="AY55" s="210"/>
      <c r="AZ55" s="200"/>
      <c r="BA55" s="110"/>
      <c r="BB55" s="202"/>
      <c r="BC55" s="202"/>
      <c r="BD55" s="202"/>
      <c r="BE55" s="202"/>
      <c r="BF55" s="202"/>
      <c r="BG55" s="110"/>
      <c r="BH55" s="202"/>
      <c r="BI55" s="202"/>
      <c r="BJ55" s="202"/>
      <c r="BK55" s="202"/>
      <c r="BL55" s="202"/>
      <c r="BM55" s="202"/>
      <c r="BN55" s="202"/>
      <c r="BO55" s="110"/>
      <c r="BP55" s="110"/>
      <c r="BQ55" s="210"/>
      <c r="BR55" s="104" t="e">
        <f ca="1">BR54*$AA54*$CZ54</f>
        <v>#DIV/0!</v>
      </c>
      <c r="BS55" s="100" t="e">
        <f ca="1">BS54*$AA54*$CZ54</f>
        <v>#DIV/0!</v>
      </c>
      <c r="BT55" s="100" t="e">
        <f ca="1">BT54*$AA54*$CZ54</f>
        <v>#DIV/0!</v>
      </c>
      <c r="BU55" s="518"/>
      <c r="BV55" s="380"/>
      <c r="BW55" s="202"/>
      <c r="BX55" s="202"/>
      <c r="BY55" s="202"/>
      <c r="BZ55" s="210"/>
      <c r="CA55" s="210"/>
      <c r="CB55" s="113"/>
      <c r="CC55" s="202"/>
      <c r="CD55" s="202"/>
      <c r="CE55" s="202"/>
      <c r="CF55" s="202"/>
      <c r="CG55" s="202"/>
      <c r="CH55" s="202"/>
      <c r="CI55" s="202"/>
      <c r="CJ55" s="202"/>
      <c r="CK55" s="202"/>
      <c r="CL55" s="210"/>
      <c r="CM55" s="558" t="e">
        <f ca="1">CM54*$AA54*$CZ54</f>
        <v>#DIV/0!</v>
      </c>
      <c r="CN55" s="559" t="e">
        <f ca="1">CN54*$AA54*$CZ54</f>
        <v>#DIV/0!</v>
      </c>
      <c r="CO55" s="202"/>
      <c r="CP55" s="210"/>
      <c r="CQ55" s="210"/>
      <c r="CR55" s="222"/>
      <c r="CS55" s="110"/>
      <c r="CT55" s="107"/>
      <c r="CU55" s="107"/>
      <c r="CV55" s="202"/>
      <c r="CW55" s="202"/>
      <c r="CX55" s="107"/>
      <c r="CY55" s="503" t="e">
        <f ca="1">CW54-CH54</f>
        <v>#DIV/0!</v>
      </c>
      <c r="CZ55" s="308"/>
      <c r="DA55" s="211"/>
      <c r="DB55" s="211"/>
      <c r="DC55" s="211"/>
      <c r="DD55" s="211"/>
      <c r="DE55" s="211"/>
      <c r="DF55" s="211"/>
      <c r="DG55" s="211"/>
      <c r="DH55" s="211"/>
      <c r="DI55" s="211"/>
      <c r="DJ55" s="211"/>
      <c r="DK55" s="211"/>
      <c r="DL55" s="211"/>
      <c r="DM55" s="212"/>
      <c r="DO55" s="69"/>
    </row>
    <row r="56" spans="1:119" s="213" customFormat="1" ht="20.100000000000001" customHeight="1" outlineLevel="1" x14ac:dyDescent="0.25">
      <c r="A56" s="110"/>
      <c r="B56" s="110"/>
      <c r="C56" s="110"/>
      <c r="D56" s="110"/>
      <c r="E56" s="110"/>
      <c r="F56" s="110"/>
      <c r="G56" s="110"/>
      <c r="H56" s="110"/>
      <c r="I56" s="110"/>
      <c r="J56" s="205" t="s">
        <v>87</v>
      </c>
      <c r="K56" s="206"/>
      <c r="L56" s="207"/>
      <c r="M56" s="208"/>
      <c r="N56" s="208"/>
      <c r="O56" s="207"/>
      <c r="P56" s="208"/>
      <c r="Q56" s="202"/>
      <c r="R56" s="208"/>
      <c r="S56" s="208"/>
      <c r="T56" s="202"/>
      <c r="U56" s="202"/>
      <c r="V56" s="202"/>
      <c r="W56" s="202"/>
      <c r="X56" s="207"/>
      <c r="Y56" s="110"/>
      <c r="Z56" s="110"/>
      <c r="AA56" s="202"/>
      <c r="AB56" s="106"/>
      <c r="AC56" s="110"/>
      <c r="AD56" s="110"/>
      <c r="AE56" s="110"/>
      <c r="AF56" s="110"/>
      <c r="AG56" s="209"/>
      <c r="AH56" s="110"/>
      <c r="AI56" s="202"/>
      <c r="AJ56" s="202"/>
      <c r="AK56" s="106"/>
      <c r="AL56" s="202"/>
      <c r="AM56" s="202"/>
      <c r="AN56" s="202"/>
      <c r="AO56" s="202"/>
      <c r="AP56" s="210"/>
      <c r="AQ56" s="109"/>
      <c r="AR56" s="290"/>
      <c r="AS56" s="292"/>
      <c r="AT56" s="110"/>
      <c r="AU56" s="202"/>
      <c r="AV56" s="202"/>
      <c r="AW56" s="202"/>
      <c r="AX56" s="202"/>
      <c r="AY56" s="210"/>
      <c r="AZ56" s="200"/>
      <c r="BA56" s="110"/>
      <c r="BB56" s="202"/>
      <c r="BC56" s="202"/>
      <c r="BD56" s="202"/>
      <c r="BE56" s="202"/>
      <c r="BF56" s="202"/>
      <c r="BG56" s="110"/>
      <c r="BH56" s="202"/>
      <c r="BI56" s="202"/>
      <c r="BJ56" s="202"/>
      <c r="BK56" s="202"/>
      <c r="BL56" s="202"/>
      <c r="BM56" s="202"/>
      <c r="BN56" s="202"/>
      <c r="BO56" s="110"/>
      <c r="BP56" s="110"/>
      <c r="BQ56" s="210"/>
      <c r="BR56" s="106"/>
      <c r="BS56" s="110"/>
      <c r="BT56" s="523"/>
      <c r="BU56" s="523"/>
      <c r="BV56" s="380"/>
      <c r="BW56" s="202"/>
      <c r="BX56" s="202"/>
      <c r="BY56" s="202"/>
      <c r="BZ56" s="210"/>
      <c r="CA56" s="210"/>
      <c r="CB56" s="113"/>
      <c r="CC56" s="202"/>
      <c r="CD56" s="202"/>
      <c r="CE56" s="202"/>
      <c r="CF56" s="202"/>
      <c r="CG56" s="202"/>
      <c r="CH56" s="202"/>
      <c r="CI56" s="202"/>
      <c r="CJ56" s="202"/>
      <c r="CK56" s="202"/>
      <c r="CL56" s="210"/>
      <c r="CM56" s="200"/>
      <c r="CN56" s="202"/>
      <c r="CO56" s="202"/>
      <c r="CP56" s="210"/>
      <c r="CQ56" s="210"/>
      <c r="CR56" s="222"/>
      <c r="CS56" s="110"/>
      <c r="CT56" s="107"/>
      <c r="CU56" s="107"/>
      <c r="CV56" s="202"/>
      <c r="CW56" s="202"/>
      <c r="CX56" s="107"/>
      <c r="CY56" s="108"/>
      <c r="CZ56" s="308"/>
      <c r="DA56" s="211"/>
      <c r="DB56" s="211"/>
      <c r="DC56" s="211"/>
      <c r="DD56" s="211"/>
      <c r="DE56" s="211"/>
      <c r="DF56" s="211"/>
      <c r="DG56" s="211"/>
      <c r="DH56" s="211"/>
      <c r="DI56" s="211"/>
      <c r="DJ56" s="211"/>
      <c r="DK56" s="211"/>
      <c r="DL56" s="211"/>
      <c r="DM56" s="212"/>
      <c r="DO56" s="69"/>
    </row>
    <row r="57" spans="1:119" s="213" customFormat="1" ht="20.100000000000001" customHeight="1" outlineLevel="1" x14ac:dyDescent="0.25">
      <c r="A57" s="110"/>
      <c r="B57" s="110"/>
      <c r="C57" s="110"/>
      <c r="D57" s="110"/>
      <c r="E57" s="110"/>
      <c r="F57" s="110"/>
      <c r="G57" s="110"/>
      <c r="H57" s="110"/>
      <c r="I57" s="110"/>
      <c r="J57" s="611" t="s">
        <v>96</v>
      </c>
      <c r="K57" s="206"/>
      <c r="L57" s="207"/>
      <c r="M57" s="208"/>
      <c r="N57" s="208"/>
      <c r="O57" s="207"/>
      <c r="P57" s="208"/>
      <c r="Q57" s="202"/>
      <c r="R57" s="208"/>
      <c r="S57" s="208"/>
      <c r="T57" s="202"/>
      <c r="U57" s="202"/>
      <c r="V57" s="202"/>
      <c r="W57" s="202"/>
      <c r="X57" s="207"/>
      <c r="Y57" s="110"/>
      <c r="Z57" s="110"/>
      <c r="AA57" s="202"/>
      <c r="AB57" s="106"/>
      <c r="AC57" s="110"/>
      <c r="AD57" s="110"/>
      <c r="AE57" s="110"/>
      <c r="AF57" s="110"/>
      <c r="AG57" s="209"/>
      <c r="AH57" s="110"/>
      <c r="AI57" s="202"/>
      <c r="AJ57" s="202"/>
      <c r="AK57" s="106"/>
      <c r="AL57" s="202"/>
      <c r="AM57" s="202"/>
      <c r="AN57" s="202"/>
      <c r="AO57" s="202"/>
      <c r="AP57" s="210"/>
      <c r="AQ57" s="109"/>
      <c r="AR57" s="290"/>
      <c r="AS57" s="292"/>
      <c r="AT57" s="110"/>
      <c r="AU57" s="202"/>
      <c r="AV57" s="202"/>
      <c r="AW57" s="202"/>
      <c r="AX57" s="202"/>
      <c r="AY57" s="210"/>
      <c r="AZ57" s="200"/>
      <c r="BA57" s="110"/>
      <c r="BB57" s="202"/>
      <c r="BC57" s="202"/>
      <c r="BD57" s="202"/>
      <c r="BE57" s="202"/>
      <c r="BF57" s="202"/>
      <c r="BG57" s="110"/>
      <c r="BH57" s="202"/>
      <c r="BI57" s="202"/>
      <c r="BJ57" s="202"/>
      <c r="BK57" s="202"/>
      <c r="BL57" s="202"/>
      <c r="BM57" s="202"/>
      <c r="BN57" s="202"/>
      <c r="BO57" s="110"/>
      <c r="BP57" s="110"/>
      <c r="BQ57" s="210"/>
      <c r="BR57" s="106"/>
      <c r="BS57" s="110"/>
      <c r="BT57" s="523"/>
      <c r="BU57" s="523"/>
      <c r="BV57" s="380"/>
      <c r="BW57" s="202"/>
      <c r="BX57" s="202"/>
      <c r="BY57" s="202"/>
      <c r="BZ57" s="210"/>
      <c r="CA57" s="210"/>
      <c r="CB57" s="113"/>
      <c r="CC57" s="202"/>
      <c r="CD57" s="202"/>
      <c r="CE57" s="202"/>
      <c r="CF57" s="202"/>
      <c r="CG57" s="202"/>
      <c r="CH57" s="202"/>
      <c r="CI57" s="202"/>
      <c r="CJ57" s="202"/>
      <c r="CK57" s="202"/>
      <c r="CL57" s="210"/>
      <c r="CM57" s="200"/>
      <c r="CN57" s="202"/>
      <c r="CO57" s="202"/>
      <c r="CP57" s="210"/>
      <c r="CQ57" s="210"/>
      <c r="CR57" s="222"/>
      <c r="CS57" s="110"/>
      <c r="CT57" s="107"/>
      <c r="CU57" s="107"/>
      <c r="CV57" s="202"/>
      <c r="CW57" s="202"/>
      <c r="CX57" s="107"/>
      <c r="CY57" s="108"/>
      <c r="CZ57" s="308"/>
      <c r="DA57" s="211"/>
      <c r="DB57" s="211"/>
      <c r="DC57" s="211"/>
      <c r="DD57" s="211"/>
      <c r="DE57" s="211"/>
      <c r="DF57" s="211"/>
      <c r="DG57" s="211"/>
      <c r="DH57" s="211"/>
      <c r="DI57" s="211"/>
      <c r="DJ57" s="211"/>
      <c r="DK57" s="211"/>
      <c r="DL57" s="211"/>
      <c r="DM57" s="212"/>
      <c r="DO57" s="69"/>
    </row>
    <row r="58" spans="1:119" s="169" customFormat="1" ht="21" customHeight="1" outlineLevel="1" x14ac:dyDescent="0.25">
      <c r="A58" s="162"/>
      <c r="B58" s="162"/>
      <c r="C58" s="163"/>
      <c r="D58" s="163"/>
      <c r="E58" s="163"/>
      <c r="F58" s="163"/>
      <c r="G58" s="163"/>
      <c r="H58" s="162"/>
      <c r="I58" s="163"/>
      <c r="J58" s="384" t="s">
        <v>379</v>
      </c>
      <c r="K58" s="384"/>
      <c r="L58" s="385"/>
      <c r="M58" s="386"/>
      <c r="N58" s="387"/>
      <c r="O58" s="388"/>
      <c r="P58" s="389"/>
      <c r="Q58" s="562"/>
      <c r="R58" s="674"/>
      <c r="S58" s="674"/>
      <c r="T58" s="562"/>
      <c r="U58" s="562"/>
      <c r="V58" s="562"/>
      <c r="W58" s="562"/>
      <c r="X58" s="388"/>
      <c r="Y58" s="390"/>
      <c r="Z58" s="391"/>
      <c r="AA58" s="388"/>
      <c r="AB58" s="392"/>
      <c r="AC58" s="393"/>
      <c r="AD58" s="393"/>
      <c r="AE58" s="393"/>
      <c r="AF58" s="393"/>
      <c r="AG58" s="394"/>
      <c r="AH58" s="393"/>
      <c r="AI58" s="388"/>
      <c r="AJ58" s="388"/>
      <c r="AK58" s="395"/>
      <c r="AL58" s="388"/>
      <c r="AM58" s="388"/>
      <c r="AN58" s="388"/>
      <c r="AO58" s="388"/>
      <c r="AP58" s="385"/>
      <c r="AQ58" s="396"/>
      <c r="AR58" s="388"/>
      <c r="AS58" s="385"/>
      <c r="AT58" s="164"/>
      <c r="AU58" s="164"/>
      <c r="AV58" s="164"/>
      <c r="AW58" s="164"/>
      <c r="AX58" s="164"/>
      <c r="AY58" s="166"/>
      <c r="AZ58" s="165"/>
      <c r="BA58" s="164"/>
      <c r="BB58" s="164"/>
      <c r="BC58" s="164"/>
      <c r="BD58" s="164"/>
      <c r="BE58" s="164"/>
      <c r="BF58" s="164"/>
      <c r="BG58" s="163"/>
      <c r="BH58" s="164"/>
      <c r="BI58" s="164"/>
      <c r="BJ58" s="164"/>
      <c r="BK58" s="164"/>
      <c r="BL58" s="164"/>
      <c r="BM58" s="164"/>
      <c r="BN58" s="164"/>
      <c r="BO58" s="163"/>
      <c r="BP58" s="163"/>
      <c r="BQ58" s="164"/>
      <c r="BR58" s="392"/>
      <c r="BS58" s="393"/>
      <c r="BT58" s="524"/>
      <c r="BU58" s="524"/>
      <c r="BV58" s="408"/>
      <c r="BW58" s="388"/>
      <c r="BX58" s="388"/>
      <c r="BY58" s="388"/>
      <c r="BZ58" s="385"/>
      <c r="CA58" s="166"/>
      <c r="CB58" s="165"/>
      <c r="CC58" s="164"/>
      <c r="CD58" s="164"/>
      <c r="CE58" s="164"/>
      <c r="CF58" s="164"/>
      <c r="CG58" s="164"/>
      <c r="CH58" s="560"/>
      <c r="CI58" s="555"/>
      <c r="CJ58" s="555"/>
      <c r="CK58" s="555"/>
      <c r="CL58" s="555"/>
      <c r="CM58" s="561"/>
      <c r="CN58" s="404"/>
      <c r="CO58" s="562"/>
      <c r="CP58" s="474"/>
      <c r="CQ58" s="469"/>
      <c r="CR58" s="470"/>
      <c r="CS58" s="468"/>
      <c r="CT58" s="471"/>
      <c r="CU58" s="471"/>
      <c r="CV58" s="561"/>
      <c r="CW58" s="562"/>
      <c r="CX58" s="476"/>
      <c r="CY58" s="477"/>
      <c r="CZ58" s="306"/>
      <c r="DA58" s="764"/>
      <c r="DB58" s="764"/>
      <c r="DC58" s="764"/>
      <c r="DD58" s="764"/>
      <c r="DE58" s="764"/>
      <c r="DF58" s="764"/>
      <c r="DG58" s="764"/>
      <c r="DH58" s="764"/>
      <c r="DI58" s="764"/>
      <c r="DJ58" s="764"/>
      <c r="DK58" s="764"/>
      <c r="DL58" s="764"/>
      <c r="DM58" s="167"/>
      <c r="DN58" s="168"/>
      <c r="DO58" s="69"/>
    </row>
    <row r="59" spans="1:119" s="213" customFormat="1" ht="12.75" x14ac:dyDescent="0.25">
      <c r="A59" s="110"/>
      <c r="B59" s="110"/>
      <c r="C59" s="110"/>
      <c r="D59" s="110"/>
      <c r="E59" s="110"/>
      <c r="F59" s="110"/>
      <c r="G59" s="110"/>
      <c r="H59" s="110"/>
      <c r="I59" s="110"/>
      <c r="J59" s="205"/>
      <c r="K59" s="206"/>
      <c r="L59" s="207"/>
      <c r="M59" s="208"/>
      <c r="N59" s="208"/>
      <c r="O59" s="207"/>
      <c r="P59" s="208"/>
      <c r="Q59" s="202"/>
      <c r="R59" s="208"/>
      <c r="S59" s="208"/>
      <c r="T59" s="202"/>
      <c r="U59" s="202"/>
      <c r="V59" s="202"/>
      <c r="W59" s="202"/>
      <c r="X59" s="207"/>
      <c r="Y59" s="110"/>
      <c r="Z59" s="110"/>
      <c r="AA59" s="202"/>
      <c r="AB59" s="106"/>
      <c r="AC59" s="110"/>
      <c r="AD59" s="110"/>
      <c r="AE59" s="110"/>
      <c r="AF59" s="110"/>
      <c r="AG59" s="209"/>
      <c r="AH59" s="110"/>
      <c r="AI59" s="202"/>
      <c r="AJ59" s="202"/>
      <c r="AK59" s="106"/>
      <c r="AL59" s="202"/>
      <c r="AM59" s="202"/>
      <c r="AN59" s="202"/>
      <c r="AO59" s="202"/>
      <c r="AP59" s="210"/>
      <c r="AQ59" s="109"/>
      <c r="AR59" s="202"/>
      <c r="AS59" s="292"/>
      <c r="AT59" s="110"/>
      <c r="AU59" s="202"/>
      <c r="AV59" s="202"/>
      <c r="AW59" s="202"/>
      <c r="AX59" s="202"/>
      <c r="AY59" s="210"/>
      <c r="AZ59" s="200"/>
      <c r="BA59" s="110"/>
      <c r="BB59" s="202"/>
      <c r="BC59" s="202"/>
      <c r="BD59" s="202"/>
      <c r="BE59" s="202"/>
      <c r="BF59" s="202"/>
      <c r="BG59" s="110"/>
      <c r="BH59" s="202"/>
      <c r="BI59" s="202"/>
      <c r="BJ59" s="202"/>
      <c r="BK59" s="202"/>
      <c r="BL59" s="202"/>
      <c r="BM59" s="202"/>
      <c r="BN59" s="202"/>
      <c r="BO59" s="110"/>
      <c r="BP59" s="110"/>
      <c r="BQ59" s="210"/>
      <c r="BR59" s="106"/>
      <c r="BS59" s="110"/>
      <c r="BT59" s="523"/>
      <c r="BU59" s="523"/>
      <c r="BV59" s="380"/>
      <c r="BW59" s="202"/>
      <c r="BX59" s="202"/>
      <c r="BY59" s="202"/>
      <c r="BZ59" s="210"/>
      <c r="CA59" s="210"/>
      <c r="CB59" s="113"/>
      <c r="CC59" s="202"/>
      <c r="CD59" s="202"/>
      <c r="CE59" s="202"/>
      <c r="CF59" s="202"/>
      <c r="CG59" s="202"/>
      <c r="CH59" s="202"/>
      <c r="CI59" s="202"/>
      <c r="CJ59" s="202"/>
      <c r="CK59" s="202"/>
      <c r="CL59" s="210"/>
      <c r="CM59" s="200"/>
      <c r="CN59" s="202"/>
      <c r="CO59" s="202"/>
      <c r="CP59" s="210"/>
      <c r="CQ59" s="210"/>
      <c r="CR59" s="222"/>
      <c r="CS59" s="110"/>
      <c r="CT59" s="107"/>
      <c r="CU59" s="107"/>
      <c r="CV59" s="202"/>
      <c r="CW59" s="202"/>
      <c r="CX59" s="107"/>
      <c r="CY59" s="529"/>
      <c r="CZ59" s="308"/>
      <c r="DA59" s="211"/>
      <c r="DB59" s="211"/>
      <c r="DC59" s="211"/>
      <c r="DD59" s="211"/>
      <c r="DE59" s="211"/>
      <c r="DF59" s="211"/>
      <c r="DG59" s="211"/>
      <c r="DH59" s="211"/>
      <c r="DI59" s="211"/>
      <c r="DJ59" s="211"/>
      <c r="DK59" s="211"/>
      <c r="DL59" s="211"/>
      <c r="DM59" s="212"/>
      <c r="DO59" s="69"/>
    </row>
    <row r="60" spans="1:119" s="25" customFormat="1" ht="15" x14ac:dyDescent="0.25">
      <c r="A60" s="100"/>
      <c r="B60" s="100"/>
      <c r="C60" s="100"/>
      <c r="D60" s="100"/>
      <c r="E60" s="100"/>
      <c r="F60" s="100"/>
      <c r="G60" s="100"/>
      <c r="H60" s="100"/>
      <c r="I60" s="100"/>
      <c r="J60" s="101"/>
      <c r="K60" s="102"/>
      <c r="L60" s="102"/>
      <c r="M60" s="103"/>
      <c r="N60" s="103"/>
      <c r="O60" s="102"/>
      <c r="P60" s="103"/>
      <c r="Q60" s="122"/>
      <c r="R60" s="103"/>
      <c r="S60" s="103"/>
      <c r="T60" s="122"/>
      <c r="U60" s="122"/>
      <c r="V60" s="122"/>
      <c r="W60" s="122"/>
      <c r="X60" s="102"/>
      <c r="Y60" s="100"/>
      <c r="Z60" s="100"/>
      <c r="AA60" s="102"/>
      <c r="AB60" s="104"/>
      <c r="AC60" s="100"/>
      <c r="AD60" s="100"/>
      <c r="AE60" s="100"/>
      <c r="AF60" s="100"/>
      <c r="AG60" s="105"/>
      <c r="AH60" s="100"/>
      <c r="AI60" s="102"/>
      <c r="AJ60" s="102"/>
      <c r="AK60" s="106"/>
      <c r="AL60" s="107"/>
      <c r="AM60" s="107"/>
      <c r="AN60" s="107"/>
      <c r="AO60" s="107"/>
      <c r="AP60" s="108"/>
      <c r="AQ60" s="109"/>
      <c r="AR60" s="102"/>
      <c r="AS60" s="293"/>
      <c r="AT60" s="110"/>
      <c r="AU60" s="107"/>
      <c r="AV60" s="107"/>
      <c r="AW60" s="107"/>
      <c r="AX60" s="107"/>
      <c r="AY60" s="108"/>
      <c r="AZ60" s="101"/>
      <c r="BA60" s="100"/>
      <c r="BB60" s="102"/>
      <c r="BC60" s="107"/>
      <c r="BD60" s="107"/>
      <c r="BE60" s="107"/>
      <c r="BF60" s="107"/>
      <c r="BG60" s="100"/>
      <c r="BH60" s="102"/>
      <c r="BI60" s="102"/>
      <c r="BJ60" s="102"/>
      <c r="BK60" s="102"/>
      <c r="BL60" s="102"/>
      <c r="BM60" s="102"/>
      <c r="BN60" s="102"/>
      <c r="BO60" s="111"/>
      <c r="BP60" s="112"/>
      <c r="BQ60" s="108"/>
      <c r="BR60" s="104"/>
      <c r="BS60" s="100"/>
      <c r="BT60" s="518"/>
      <c r="BU60" s="518"/>
      <c r="BV60" s="381"/>
      <c r="BW60" s="202"/>
      <c r="BX60" s="107"/>
      <c r="BY60" s="202"/>
      <c r="BZ60" s="108"/>
      <c r="CA60" s="108"/>
      <c r="CB60" s="113"/>
      <c r="CC60" s="107"/>
      <c r="CD60" s="107"/>
      <c r="CE60" s="107"/>
      <c r="CF60" s="107"/>
      <c r="CG60" s="107"/>
      <c r="CH60" s="202"/>
      <c r="CI60" s="202"/>
      <c r="CJ60" s="202"/>
      <c r="CK60" s="202"/>
      <c r="CL60" s="210"/>
      <c r="CM60" s="200"/>
      <c r="CN60" s="122"/>
      <c r="CO60" s="202"/>
      <c r="CP60" s="210"/>
      <c r="CQ60" s="108"/>
      <c r="CR60" s="223"/>
      <c r="CS60" s="114"/>
      <c r="CT60" s="114"/>
      <c r="CU60" s="530"/>
      <c r="CV60" s="545"/>
      <c r="CW60" s="545"/>
      <c r="CX60" s="531"/>
      <c r="CY60" s="532"/>
      <c r="CZ60" s="309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4"/>
      <c r="DO60" s="69"/>
    </row>
    <row r="61" spans="1:119" s="152" customFormat="1" ht="20.100000000000001" customHeight="1" x14ac:dyDescent="0.25">
      <c r="A61" s="139"/>
      <c r="B61" s="139"/>
      <c r="C61" s="140"/>
      <c r="D61" s="140"/>
      <c r="E61" s="140"/>
      <c r="F61" s="140"/>
      <c r="G61" s="140"/>
      <c r="H61" s="139"/>
      <c r="I61" s="140"/>
      <c r="J61" s="384" t="s">
        <v>379</v>
      </c>
      <c r="K61" s="141"/>
      <c r="L61" s="191"/>
      <c r="M61" s="178"/>
      <c r="N61" s="143"/>
      <c r="O61" s="142"/>
      <c r="P61" s="179"/>
      <c r="Q61" s="449"/>
      <c r="R61" s="143"/>
      <c r="S61" s="143"/>
      <c r="T61" s="449"/>
      <c r="U61" s="449"/>
      <c r="V61" s="449"/>
      <c r="W61" s="449"/>
      <c r="X61" s="142"/>
      <c r="Y61" s="170"/>
      <c r="Z61" s="174"/>
      <c r="AA61" s="144"/>
      <c r="AB61" s="139"/>
      <c r="AC61" s="140"/>
      <c r="AD61" s="140"/>
      <c r="AE61" s="140"/>
      <c r="AF61" s="140"/>
      <c r="AG61" s="145"/>
      <c r="AH61" s="140"/>
      <c r="AI61" s="144"/>
      <c r="AJ61" s="144"/>
      <c r="AK61" s="139"/>
      <c r="AL61" s="144"/>
      <c r="AM61" s="144"/>
      <c r="AN61" s="144"/>
      <c r="AO61" s="144"/>
      <c r="AP61" s="146"/>
      <c r="AQ61" s="147"/>
      <c r="AR61" s="144"/>
      <c r="AS61" s="291"/>
      <c r="AT61" s="140"/>
      <c r="AU61" s="144"/>
      <c r="AV61" s="144"/>
      <c r="AW61" s="144"/>
      <c r="AX61" s="144"/>
      <c r="AY61" s="146"/>
      <c r="AZ61" s="148"/>
      <c r="BA61" s="144"/>
      <c r="BB61" s="144"/>
      <c r="BC61" s="149"/>
      <c r="BD61" s="149"/>
      <c r="BE61" s="149"/>
      <c r="BF61" s="149"/>
      <c r="BG61" s="140"/>
      <c r="BH61" s="144"/>
      <c r="BI61" s="144"/>
      <c r="BJ61" s="144"/>
      <c r="BK61" s="144"/>
      <c r="BL61" s="144"/>
      <c r="BM61" s="144"/>
      <c r="BN61" s="144"/>
      <c r="BO61" s="140"/>
      <c r="BP61" s="140"/>
      <c r="BQ61" s="371"/>
      <c r="BR61" s="139"/>
      <c r="BS61" s="140"/>
      <c r="BT61" s="512"/>
      <c r="BU61" s="512"/>
      <c r="BV61" s="377"/>
      <c r="BW61" s="144"/>
      <c r="BX61" s="144"/>
      <c r="BY61" s="144"/>
      <c r="BZ61" s="146"/>
      <c r="CA61" s="371"/>
      <c r="CB61" s="150"/>
      <c r="CC61" s="144"/>
      <c r="CD61" s="144"/>
      <c r="CE61" s="144"/>
      <c r="CF61" s="144"/>
      <c r="CG61" s="144"/>
      <c r="CH61" s="449"/>
      <c r="CI61" s="144"/>
      <c r="CJ61" s="144"/>
      <c r="CK61" s="144"/>
      <c r="CL61" s="146"/>
      <c r="CM61" s="148"/>
      <c r="CN61" s="144"/>
      <c r="CO61" s="144"/>
      <c r="CP61" s="146"/>
      <c r="CQ61" s="146"/>
      <c r="CR61" s="232"/>
      <c r="CS61" s="151"/>
      <c r="CT61" s="151"/>
      <c r="CU61" s="151"/>
      <c r="CV61" s="144"/>
      <c r="CW61" s="144"/>
      <c r="CX61" s="151"/>
      <c r="CY61" s="318"/>
      <c r="CZ61" s="472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473"/>
      <c r="DO61" s="69"/>
    </row>
    <row r="62" spans="1:119" s="69" customFormat="1" ht="15.95" customHeight="1" x14ac:dyDescent="0.25">
      <c r="A62" s="10"/>
      <c r="B62" s="44"/>
      <c r="C62" s="10"/>
      <c r="D62" s="10"/>
      <c r="E62" s="10"/>
      <c r="F62" s="10"/>
      <c r="G62" s="12"/>
      <c r="H62" s="10"/>
      <c r="I62" s="10"/>
      <c r="J62" s="80" t="s">
        <v>392</v>
      </c>
      <c r="K62" s="58"/>
      <c r="L62" s="59"/>
      <c r="M62" s="180"/>
      <c r="N62" s="81"/>
      <c r="O62" s="8"/>
      <c r="P62" s="181"/>
      <c r="Q62" s="712">
        <f t="shared" ref="Q62:Q86" si="169">P62-M62</f>
        <v>0</v>
      </c>
      <c r="R62" s="679">
        <f t="shared" ref="R62:R86" si="170">P62-N62</f>
        <v>0</v>
      </c>
      <c r="S62" s="716"/>
      <c r="T62" s="717"/>
      <c r="U62" s="718"/>
      <c r="V62" s="718"/>
      <c r="W62" s="718"/>
      <c r="X62" s="8"/>
      <c r="Y62" s="171"/>
      <c r="Z62" s="175"/>
      <c r="AA62" s="459"/>
      <c r="AB62" s="44"/>
      <c r="AC62" s="10"/>
      <c r="AD62" s="10"/>
      <c r="AE62" s="10"/>
      <c r="AF62" s="10"/>
      <c r="AG62" s="82">
        <f>SUM(AB62:AF62)</f>
        <v>0</v>
      </c>
      <c r="AH62" s="10"/>
      <c r="AI62" s="8"/>
      <c r="AJ62" s="8"/>
      <c r="AK62" s="58" t="e">
        <f t="shared" ref="AK62:AK86" si="171">AB62*$CZ62*$AA62*$Y62/1000/1000</f>
        <v>#DIV/0!</v>
      </c>
      <c r="AL62" s="8" t="e">
        <f t="shared" ref="AL62:AL86" si="172">AC62*$CZ62*$AA62*$Y62/1000/1000</f>
        <v>#DIV/0!</v>
      </c>
      <c r="AM62" s="8"/>
      <c r="AN62" s="8" t="e">
        <f t="shared" ref="AN62:AN86" si="173">AE62*$CZ62*$AA62*$Y62/1000/1000</f>
        <v>#DIV/0!</v>
      </c>
      <c r="AO62" s="8" t="e">
        <f t="shared" ref="AO62:AO86" si="174">AF62*$CZ62*$AA62*$Y62/1000/1000</f>
        <v>#DIV/0!</v>
      </c>
      <c r="AP62" s="59" t="e">
        <f t="shared" ref="AP62:AP86" si="175">AG62*$CZ62*$AA62*$Y62/1000/1000</f>
        <v>#DIV/0!</v>
      </c>
      <c r="AQ62" s="83" t="e">
        <f t="shared" ref="AQ62:AQ85" si="176">AJ62/1000/1000-AP62</f>
        <v>#DIV/0!</v>
      </c>
      <c r="AR62" s="8">
        <f t="shared" ref="AR62:AR85" si="177">AI62*Z62</f>
        <v>0</v>
      </c>
      <c r="AS62" s="59">
        <f t="shared" ref="AS62:AS85" si="178">AR62-AJ62</f>
        <v>0</v>
      </c>
      <c r="AT62" s="8" t="e">
        <f t="shared" ref="AT62:AT89" si="179">(AB62-B62)*$CZ62*$AA62*$Y62/1000/1000</f>
        <v>#DIV/0!</v>
      </c>
      <c r="AU62" s="8" t="e">
        <f t="shared" ref="AU62:AU89" si="180">(AC62-C62)*$CZ62*$AA62*$Y62/1000/1000</f>
        <v>#DIV/0!</v>
      </c>
      <c r="AV62" s="8"/>
      <c r="AW62" s="8" t="e">
        <f t="shared" ref="AW62:AW89" si="181">(AE62-E62)*$CZ62*$AA62*$Y62/1000/1000</f>
        <v>#DIV/0!</v>
      </c>
      <c r="AX62" s="8" t="e">
        <f t="shared" ref="AX62:AX89" si="182">(AF62-F62)*$CZ62*$AA62*$Y62/1000/1000</f>
        <v>#DIV/0!</v>
      </c>
      <c r="AY62" s="59" t="e">
        <f t="shared" ref="AY62:AY85" si="183">SUM(AT62:AX62)</f>
        <v>#DIV/0!</v>
      </c>
      <c r="AZ62" s="58"/>
      <c r="BA62" s="91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4">H62*A62*AA62</f>
        <v>0</v>
      </c>
      <c r="BI62" s="8">
        <f t="shared" ref="BI62:BI85" si="185">BG62*AA62*Y62</f>
        <v>0</v>
      </c>
      <c r="BJ62" s="8" t="e">
        <f t="shared" ref="BJ62:BJ85" si="186">AJ62/AA62-AZ62-BG62</f>
        <v>#DIV/0!</v>
      </c>
      <c r="BK62" s="8" t="e">
        <f t="shared" ref="BK62:BK85" si="187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5"/>
      <c r="BQ62" s="372"/>
      <c r="BR62" s="44" t="e">
        <f>AI62/AA62/7.2</f>
        <v>#DIV/0!</v>
      </c>
      <c r="BS62" s="10">
        <f t="shared" ref="BS62:BS85" si="188">CN62-BO62</f>
        <v>0</v>
      </c>
      <c r="BT62" s="513">
        <f t="shared" ref="BT62:BT85" si="189">CM62-BO62</f>
        <v>0</v>
      </c>
      <c r="BU62" s="513" t="e">
        <f t="shared" ref="BU62:BU85" si="190">BR62-BS62</f>
        <v>#DIV/0!</v>
      </c>
      <c r="BV62" s="378" t="e">
        <f t="shared" ref="BV62:BV85" si="191">BR62-BT62</f>
        <v>#DIV/0!</v>
      </c>
      <c r="BW62" s="8"/>
      <c r="BX62" s="8"/>
      <c r="BY62" s="8"/>
      <c r="BZ62" s="59"/>
      <c r="CA62" s="372"/>
      <c r="CB62" s="58">
        <f>SUMPRODUCT(([179]НДПИ_расчет!$C$5:$N$5=$L62)*([179]НДПИ_расчет!$C$73:$N$73))</f>
        <v>0</v>
      </c>
      <c r="CC62" s="8">
        <f>SUMPRODUCT(('[180]Динамика NB'!$E$157:$P$157=$L62)*('[180]Динамика NB'!$E$169:$P$169))</f>
        <v>0</v>
      </c>
      <c r="CD62" s="8"/>
      <c r="CE62" s="8"/>
      <c r="CF62" s="8"/>
      <c r="CG62" s="8"/>
      <c r="CH62" s="43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3">
        <f t="shared" ref="CI62:CI85" si="192">(CB62-CC62)*AA62</f>
        <v>0</v>
      </c>
      <c r="CJ62" s="43"/>
      <c r="CK62" s="43"/>
      <c r="CL62" s="38"/>
      <c r="CM62" s="129"/>
      <c r="CN62" s="43"/>
      <c r="CO62" s="43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8" t="e">
        <f t="shared" ref="CP62:CP89" si="193">CO62-CH62</f>
        <v>#DIV/0!</v>
      </c>
      <c r="CQ62" s="59"/>
      <c r="CR62" s="12"/>
      <c r="CS62" s="8" t="e">
        <f t="shared" ref="CS62:CS86" si="194">AA62*BK62/1000/1000</f>
        <v>#DIV/0!</v>
      </c>
      <c r="CT62" s="8">
        <f t="shared" ref="CT62:CT86" si="195">BL62*AA62</f>
        <v>0</v>
      </c>
      <c r="CU62" s="8" t="e">
        <f t="shared" ref="CU62:CU85" si="196">CS62-CT62</f>
        <v>#DIV/0!</v>
      </c>
      <c r="CV62" s="43" t="e">
        <f t="shared" ref="CV62:CV86" si="197">BL62/CR62*Y62*AA62</f>
        <v>#DIV/0!</v>
      </c>
      <c r="CW62" s="43" t="e">
        <f t="shared" ref="CW62:CW86" si="198">BL62/CR62*Z62*AA62</f>
        <v>#DIV/0!</v>
      </c>
      <c r="CX62" s="8" t="e">
        <f>CV62-CT62</f>
        <v>#DIV/0!</v>
      </c>
      <c r="CY62" s="279" t="e">
        <f t="shared" ref="CY62:CY86" si="199">CW62-CH62</f>
        <v>#DIV/0!</v>
      </c>
      <c r="CZ62" s="304" t="e">
        <f t="shared" ref="CZ62:CZ85" si="200">AI62/AA62/BR62</f>
        <v>#DIV/0!</v>
      </c>
      <c r="DA62" s="761" t="e">
        <f t="shared" ref="DA62:DA86" si="201">BU62*CZ62*AA62*CR62/1000000</f>
        <v>#DIV/0!</v>
      </c>
      <c r="DB62" s="771" t="e">
        <f t="shared" ref="DB62:DB86" si="202">BV62*CZ62*AA62*CR62/1000000</f>
        <v>#DIV/0!</v>
      </c>
      <c r="DC62" s="761"/>
      <c r="DD62" s="761" t="e">
        <f t="shared" ref="DD62:DD86" si="203">SUM(AT62,AW62,AX62)</f>
        <v>#DIV/0!</v>
      </c>
      <c r="DE62" s="761" t="e">
        <f t="shared" ref="DE62:DE86" si="204">AL62</f>
        <v>#DIV/0!</v>
      </c>
      <c r="DF62" s="761"/>
      <c r="DG62" s="761">
        <f t="shared" ref="DG62:DG86" si="205">(BA62-BB62)/1000/1000</f>
        <v>0</v>
      </c>
      <c r="DH62" s="761">
        <f t="shared" ref="DH62:DH86" si="206">(BH62-BI62)/1000/1000</f>
        <v>0</v>
      </c>
      <c r="DI62" s="761">
        <f t="shared" ref="DI62:DI86" si="207">AS62/1000000</f>
        <v>0</v>
      </c>
      <c r="DJ62" s="761">
        <f t="shared" ref="DJ62:DJ86" si="208">CI62/1000/1000</f>
        <v>0</v>
      </c>
      <c r="DK62" s="761" t="e">
        <f t="shared" ref="DK62:DK85" si="209">CY62/1000/1000</f>
        <v>#DIV/0!</v>
      </c>
      <c r="DL62" s="761" t="e">
        <f t="shared" ref="DL62:DL85" si="210">CP62/1000/1000</f>
        <v>#DIV/0!</v>
      </c>
      <c r="DM62" s="633" t="e">
        <f t="shared" ref="DM62:DM85" si="211">SUM(DA62:DL62)</f>
        <v>#DIV/0!</v>
      </c>
    </row>
    <row r="63" spans="1:119" s="69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80" t="s">
        <v>392</v>
      </c>
      <c r="K63" s="61"/>
      <c r="L63" s="639"/>
      <c r="M63" s="284"/>
      <c r="N63" s="72"/>
      <c r="O63" s="91"/>
      <c r="P63" s="182"/>
      <c r="Q63" s="713">
        <f t="shared" si="169"/>
        <v>0</v>
      </c>
      <c r="R63" s="679">
        <f t="shared" si="170"/>
        <v>0</v>
      </c>
      <c r="S63" s="719"/>
      <c r="T63" s="720"/>
      <c r="U63" s="720"/>
      <c r="V63" s="720"/>
      <c r="W63" s="720"/>
      <c r="X63" s="91"/>
      <c r="Y63" s="172"/>
      <c r="Z63" s="176"/>
      <c r="AA63" s="458"/>
      <c r="AB63" s="18"/>
      <c r="AC63" s="11"/>
      <c r="AD63" s="11"/>
      <c r="AE63" s="11"/>
      <c r="AF63" s="11"/>
      <c r="AG63" s="75">
        <f t="shared" ref="AG63:AG85" si="212">SUM(AB63:AF63)</f>
        <v>0</v>
      </c>
      <c r="AH63" s="11"/>
      <c r="AI63" s="91"/>
      <c r="AJ63" s="91"/>
      <c r="AK63" s="61" t="e">
        <f t="shared" si="171"/>
        <v>#DIV/0!</v>
      </c>
      <c r="AL63" s="91" t="e">
        <f t="shared" si="172"/>
        <v>#DIV/0!</v>
      </c>
      <c r="AM63" s="91"/>
      <c r="AN63" s="91" t="e">
        <f t="shared" si="173"/>
        <v>#DIV/0!</v>
      </c>
      <c r="AO63" s="91" t="e">
        <f t="shared" si="174"/>
        <v>#DIV/0!</v>
      </c>
      <c r="AP63" s="287" t="e">
        <f t="shared" si="175"/>
        <v>#DIV/0!</v>
      </c>
      <c r="AQ63" s="86" t="e">
        <f t="shared" si="176"/>
        <v>#DIV/0!</v>
      </c>
      <c r="AR63" s="91">
        <f t="shared" si="177"/>
        <v>0</v>
      </c>
      <c r="AS63" s="287">
        <f t="shared" si="178"/>
        <v>0</v>
      </c>
      <c r="AT63" s="91" t="e">
        <f t="shared" si="179"/>
        <v>#DIV/0!</v>
      </c>
      <c r="AU63" s="91" t="e">
        <f t="shared" si="180"/>
        <v>#DIV/0!</v>
      </c>
      <c r="AV63" s="91"/>
      <c r="AW63" s="91" t="e">
        <f t="shared" si="181"/>
        <v>#DIV/0!</v>
      </c>
      <c r="AX63" s="91" t="e">
        <f t="shared" si="182"/>
        <v>#DIV/0!</v>
      </c>
      <c r="AY63" s="287" t="e">
        <f t="shared" si="183"/>
        <v>#DIV/0!</v>
      </c>
      <c r="AZ63" s="61"/>
      <c r="BA63" s="91"/>
      <c r="BB63" s="91">
        <f t="shared" ref="BB63:BB89" si="213">AZ63*AA63</f>
        <v>0</v>
      </c>
      <c r="BC63" s="13"/>
      <c r="BD63" s="13"/>
      <c r="BE63" s="91"/>
      <c r="BF63" s="91"/>
      <c r="BG63" s="11"/>
      <c r="BH63" s="91">
        <f t="shared" si="184"/>
        <v>0</v>
      </c>
      <c r="BI63" s="91">
        <f t="shared" si="185"/>
        <v>0</v>
      </c>
      <c r="BJ63" s="91" t="e">
        <f t="shared" si="186"/>
        <v>#DIV/0!</v>
      </c>
      <c r="BK63" s="91" t="e">
        <f t="shared" si="187"/>
        <v>#DIV/0!</v>
      </c>
      <c r="BL63" s="91"/>
      <c r="BM63" s="91" t="e">
        <f t="shared" ref="BM63:BM85" si="214">BJ63-BL63</f>
        <v>#DIV/0!</v>
      </c>
      <c r="BN63" s="91" t="e">
        <f>BK63-BL63</f>
        <v>#DIV/0!</v>
      </c>
      <c r="BO63" s="11"/>
      <c r="BP63" s="88"/>
      <c r="BQ63" s="372"/>
      <c r="BR63" s="18" t="e">
        <f>AI63/AA63/7.208</f>
        <v>#DIV/0!</v>
      </c>
      <c r="BS63" s="11">
        <f t="shared" si="188"/>
        <v>0</v>
      </c>
      <c r="BT63" s="514">
        <f t="shared" si="189"/>
        <v>0</v>
      </c>
      <c r="BU63" s="514" t="e">
        <f t="shared" si="190"/>
        <v>#DIV/0!</v>
      </c>
      <c r="BV63" s="501" t="e">
        <f t="shared" si="191"/>
        <v>#DIV/0!</v>
      </c>
      <c r="BW63" s="91"/>
      <c r="BX63" s="506"/>
      <c r="BY63" s="506"/>
      <c r="BZ63" s="508"/>
      <c r="CA63" s="372"/>
      <c r="CB63" s="61">
        <f>SUMPRODUCT(([179]НДПИ_расчет!$C$5:$N$5=$L63)*([179]НДПИ_расчет!$C$73:$N$73))</f>
        <v>0</v>
      </c>
      <c r="CC63" s="360">
        <f>SUMPRODUCT(('[180]Динамика NB'!$E$157:$P$157=$L63)*('[180]Динамика NB'!$E$169:$P$169))</f>
        <v>0</v>
      </c>
      <c r="CD63" s="360"/>
      <c r="CE63" s="360"/>
      <c r="CF63" s="360"/>
      <c r="CG63" s="360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92"/>
        <v>0</v>
      </c>
      <c r="CJ63" s="16"/>
      <c r="CK63" s="16"/>
      <c r="CL63" s="40"/>
      <c r="CM63" s="131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40" t="e">
        <f t="shared" si="193"/>
        <v>#DIV/0!</v>
      </c>
      <c r="CQ63" s="287"/>
      <c r="CR63" s="14"/>
      <c r="CS63" s="91" t="e">
        <f t="shared" si="194"/>
        <v>#DIV/0!</v>
      </c>
      <c r="CT63" s="91">
        <f t="shared" si="195"/>
        <v>0</v>
      </c>
      <c r="CU63" s="91" t="e">
        <f t="shared" si="196"/>
        <v>#DIV/0!</v>
      </c>
      <c r="CV63" s="16" t="e">
        <f t="shared" si="197"/>
        <v>#DIV/0!</v>
      </c>
      <c r="CW63" s="16" t="e">
        <f t="shared" si="198"/>
        <v>#DIV/0!</v>
      </c>
      <c r="CX63" s="91" t="e">
        <f>CV63-CT63</f>
        <v>#DIV/0!</v>
      </c>
      <c r="CY63" s="287" t="e">
        <f t="shared" si="199"/>
        <v>#DIV/0!</v>
      </c>
      <c r="CZ63" s="305" t="e">
        <f t="shared" si="200"/>
        <v>#DIV/0!</v>
      </c>
      <c r="DA63" s="761" t="e">
        <f t="shared" si="201"/>
        <v>#DIV/0!</v>
      </c>
      <c r="DB63" s="771" t="e">
        <f t="shared" si="202"/>
        <v>#DIV/0!</v>
      </c>
      <c r="DC63" s="761"/>
      <c r="DD63" s="761" t="e">
        <f t="shared" si="203"/>
        <v>#DIV/0!</v>
      </c>
      <c r="DE63" s="761" t="e">
        <f t="shared" si="204"/>
        <v>#DIV/0!</v>
      </c>
      <c r="DF63" s="761"/>
      <c r="DG63" s="761">
        <f t="shared" si="205"/>
        <v>0</v>
      </c>
      <c r="DH63" s="761">
        <f t="shared" si="206"/>
        <v>0</v>
      </c>
      <c r="DI63" s="761">
        <f t="shared" si="207"/>
        <v>0</v>
      </c>
      <c r="DJ63" s="761">
        <f t="shared" si="208"/>
        <v>0</v>
      </c>
      <c r="DK63" s="761" t="e">
        <f t="shared" si="209"/>
        <v>#DIV/0!</v>
      </c>
      <c r="DL63" s="761" t="e">
        <f t="shared" si="210"/>
        <v>#DIV/0!</v>
      </c>
      <c r="DM63" s="633" t="e">
        <f t="shared" si="211"/>
        <v>#DIV/0!</v>
      </c>
    </row>
    <row r="64" spans="1:119" s="69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80" t="s">
        <v>392</v>
      </c>
      <c r="K64" s="61"/>
      <c r="L64" s="639"/>
      <c r="M64" s="284"/>
      <c r="N64" s="72"/>
      <c r="O64" s="91"/>
      <c r="P64" s="182"/>
      <c r="Q64" s="713">
        <f t="shared" si="169"/>
        <v>0</v>
      </c>
      <c r="R64" s="679">
        <f t="shared" si="170"/>
        <v>0</v>
      </c>
      <c r="S64" s="719"/>
      <c r="T64" s="720"/>
      <c r="U64" s="720"/>
      <c r="V64" s="720"/>
      <c r="W64" s="720"/>
      <c r="X64" s="91"/>
      <c r="Y64" s="172"/>
      <c r="Z64" s="176"/>
      <c r="AA64" s="458"/>
      <c r="AB64" s="18"/>
      <c r="AC64" s="11"/>
      <c r="AD64" s="11"/>
      <c r="AE64" s="11"/>
      <c r="AF64" s="11"/>
      <c r="AG64" s="75">
        <f t="shared" si="212"/>
        <v>0</v>
      </c>
      <c r="AH64" s="11"/>
      <c r="AI64" s="91"/>
      <c r="AJ64" s="91"/>
      <c r="AK64" s="61" t="e">
        <f t="shared" si="171"/>
        <v>#DIV/0!</v>
      </c>
      <c r="AL64" s="91" t="e">
        <f t="shared" si="172"/>
        <v>#DIV/0!</v>
      </c>
      <c r="AM64" s="91"/>
      <c r="AN64" s="91" t="e">
        <f t="shared" si="173"/>
        <v>#DIV/0!</v>
      </c>
      <c r="AO64" s="91" t="e">
        <f t="shared" si="174"/>
        <v>#DIV/0!</v>
      </c>
      <c r="AP64" s="287" t="e">
        <f t="shared" si="175"/>
        <v>#DIV/0!</v>
      </c>
      <c r="AQ64" s="86" t="e">
        <f t="shared" si="176"/>
        <v>#DIV/0!</v>
      </c>
      <c r="AR64" s="91">
        <f t="shared" si="177"/>
        <v>0</v>
      </c>
      <c r="AS64" s="287">
        <f t="shared" si="178"/>
        <v>0</v>
      </c>
      <c r="AT64" s="91" t="e">
        <f t="shared" si="179"/>
        <v>#DIV/0!</v>
      </c>
      <c r="AU64" s="91" t="e">
        <f t="shared" si="180"/>
        <v>#DIV/0!</v>
      </c>
      <c r="AV64" s="91"/>
      <c r="AW64" s="91" t="e">
        <f t="shared" si="181"/>
        <v>#DIV/0!</v>
      </c>
      <c r="AX64" s="91" t="e">
        <f t="shared" si="182"/>
        <v>#DIV/0!</v>
      </c>
      <c r="AY64" s="287" t="e">
        <f t="shared" si="183"/>
        <v>#DIV/0!</v>
      </c>
      <c r="AZ64" s="61"/>
      <c r="BA64" s="91"/>
      <c r="BB64" s="91">
        <f t="shared" si="213"/>
        <v>0</v>
      </c>
      <c r="BC64" s="13"/>
      <c r="BD64" s="13"/>
      <c r="BE64" s="91"/>
      <c r="BF64" s="91"/>
      <c r="BG64" s="11"/>
      <c r="BH64" s="91">
        <f t="shared" si="184"/>
        <v>0</v>
      </c>
      <c r="BI64" s="91">
        <f t="shared" si="185"/>
        <v>0</v>
      </c>
      <c r="BJ64" s="91" t="e">
        <f t="shared" si="186"/>
        <v>#DIV/0!</v>
      </c>
      <c r="BK64" s="91" t="e">
        <f t="shared" si="187"/>
        <v>#DIV/0!</v>
      </c>
      <c r="BL64" s="91"/>
      <c r="BM64" s="91" t="e">
        <f t="shared" si="214"/>
        <v>#DIV/0!</v>
      </c>
      <c r="BN64" s="91" t="e">
        <f t="shared" ref="BN64:BN84" si="215">BK64-BL64</f>
        <v>#DIV/0!</v>
      </c>
      <c r="BO64" s="11"/>
      <c r="BP64" s="88"/>
      <c r="BQ64" s="372"/>
      <c r="BR64" s="18" t="e">
        <f>AI64/AA64/7.2</f>
        <v>#DIV/0!</v>
      </c>
      <c r="BS64" s="11">
        <f t="shared" si="188"/>
        <v>0</v>
      </c>
      <c r="BT64" s="514">
        <f t="shared" si="189"/>
        <v>0</v>
      </c>
      <c r="BU64" s="514" t="e">
        <f t="shared" si="190"/>
        <v>#DIV/0!</v>
      </c>
      <c r="BV64" s="501" t="e">
        <f t="shared" si="191"/>
        <v>#DIV/0!</v>
      </c>
      <c r="BW64" s="91"/>
      <c r="BX64" s="506"/>
      <c r="BY64" s="506"/>
      <c r="BZ64" s="508"/>
      <c r="CA64" s="372"/>
      <c r="CB64" s="61">
        <f>SUMPRODUCT(([179]НДПИ_расчет!$C$5:$N$5=$L64)*([179]НДПИ_расчет!$C$73:$N$73))</f>
        <v>0</v>
      </c>
      <c r="CC64" s="360">
        <f>SUMPRODUCT(('[180]Динамика NB'!$E$157:$P$157=$L64)*('[180]Динамика NB'!$E$169:$P$169))</f>
        <v>0</v>
      </c>
      <c r="CD64" s="360"/>
      <c r="CE64" s="360"/>
      <c r="CF64" s="360"/>
      <c r="CG64" s="360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92"/>
        <v>0</v>
      </c>
      <c r="CJ64" s="16"/>
      <c r="CK64" s="16"/>
      <c r="CL64" s="40"/>
      <c r="CM64" s="131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40" t="e">
        <f t="shared" si="193"/>
        <v>#DIV/0!</v>
      </c>
      <c r="CQ64" s="287"/>
      <c r="CR64" s="14"/>
      <c r="CS64" s="91" t="e">
        <f t="shared" si="194"/>
        <v>#DIV/0!</v>
      </c>
      <c r="CT64" s="91">
        <f t="shared" si="195"/>
        <v>0</v>
      </c>
      <c r="CU64" s="91" t="e">
        <f t="shared" si="196"/>
        <v>#DIV/0!</v>
      </c>
      <c r="CV64" s="16" t="e">
        <f t="shared" si="197"/>
        <v>#DIV/0!</v>
      </c>
      <c r="CW64" s="16" t="e">
        <f t="shared" si="198"/>
        <v>#DIV/0!</v>
      </c>
      <c r="CX64" s="91" t="e">
        <f t="shared" ref="CX64:CX85" si="216">CV64-CT64</f>
        <v>#DIV/0!</v>
      </c>
      <c r="CY64" s="287" t="e">
        <f t="shared" si="199"/>
        <v>#DIV/0!</v>
      </c>
      <c r="CZ64" s="305" t="e">
        <f t="shared" si="200"/>
        <v>#DIV/0!</v>
      </c>
      <c r="DA64" s="761" t="e">
        <f t="shared" si="201"/>
        <v>#DIV/0!</v>
      </c>
      <c r="DB64" s="771" t="e">
        <f t="shared" si="202"/>
        <v>#DIV/0!</v>
      </c>
      <c r="DC64" s="761"/>
      <c r="DD64" s="761" t="e">
        <f t="shared" si="203"/>
        <v>#DIV/0!</v>
      </c>
      <c r="DE64" s="761" t="e">
        <f t="shared" si="204"/>
        <v>#DIV/0!</v>
      </c>
      <c r="DF64" s="761"/>
      <c r="DG64" s="761">
        <f t="shared" si="205"/>
        <v>0</v>
      </c>
      <c r="DH64" s="761">
        <f t="shared" si="206"/>
        <v>0</v>
      </c>
      <c r="DI64" s="761">
        <f t="shared" si="207"/>
        <v>0</v>
      </c>
      <c r="DJ64" s="761">
        <f t="shared" si="208"/>
        <v>0</v>
      </c>
      <c r="DK64" s="761" t="e">
        <f t="shared" si="209"/>
        <v>#DIV/0!</v>
      </c>
      <c r="DL64" s="761" t="e">
        <f t="shared" si="210"/>
        <v>#DIV/0!</v>
      </c>
      <c r="DM64" s="633" t="e">
        <f t="shared" si="211"/>
        <v>#DIV/0!</v>
      </c>
    </row>
    <row r="65" spans="1:117" s="69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80" t="s">
        <v>392</v>
      </c>
      <c r="K65" s="61"/>
      <c r="L65" s="639"/>
      <c r="M65" s="284"/>
      <c r="N65" s="72"/>
      <c r="O65" s="91"/>
      <c r="P65" s="182"/>
      <c r="Q65" s="713">
        <f t="shared" si="169"/>
        <v>0</v>
      </c>
      <c r="R65" s="679">
        <f t="shared" si="170"/>
        <v>0</v>
      </c>
      <c r="S65" s="719"/>
      <c r="T65" s="720"/>
      <c r="U65" s="720"/>
      <c r="V65" s="720"/>
      <c r="W65" s="720"/>
      <c r="X65" s="91"/>
      <c r="Y65" s="172"/>
      <c r="Z65" s="176"/>
      <c r="AA65" s="458"/>
      <c r="AB65" s="18"/>
      <c r="AC65" s="11"/>
      <c r="AD65" s="11"/>
      <c r="AE65" s="11"/>
      <c r="AF65" s="11"/>
      <c r="AG65" s="75">
        <f t="shared" si="212"/>
        <v>0</v>
      </c>
      <c r="AH65" s="11"/>
      <c r="AI65" s="91"/>
      <c r="AJ65" s="91"/>
      <c r="AK65" s="61" t="e">
        <f t="shared" si="171"/>
        <v>#DIV/0!</v>
      </c>
      <c r="AL65" s="91" t="e">
        <f t="shared" si="172"/>
        <v>#DIV/0!</v>
      </c>
      <c r="AM65" s="91"/>
      <c r="AN65" s="91" t="e">
        <f t="shared" si="173"/>
        <v>#DIV/0!</v>
      </c>
      <c r="AO65" s="91" t="e">
        <f t="shared" si="174"/>
        <v>#DIV/0!</v>
      </c>
      <c r="AP65" s="287" t="e">
        <f t="shared" si="175"/>
        <v>#DIV/0!</v>
      </c>
      <c r="AQ65" s="86" t="e">
        <f t="shared" si="176"/>
        <v>#DIV/0!</v>
      </c>
      <c r="AR65" s="91">
        <f t="shared" si="177"/>
        <v>0</v>
      </c>
      <c r="AS65" s="287">
        <f t="shared" si="178"/>
        <v>0</v>
      </c>
      <c r="AT65" s="91" t="e">
        <f t="shared" si="179"/>
        <v>#DIV/0!</v>
      </c>
      <c r="AU65" s="91" t="e">
        <f t="shared" si="180"/>
        <v>#DIV/0!</v>
      </c>
      <c r="AV65" s="91"/>
      <c r="AW65" s="91" t="e">
        <f t="shared" si="181"/>
        <v>#DIV/0!</v>
      </c>
      <c r="AX65" s="91" t="e">
        <f t="shared" si="182"/>
        <v>#DIV/0!</v>
      </c>
      <c r="AY65" s="287" t="e">
        <f t="shared" si="183"/>
        <v>#DIV/0!</v>
      </c>
      <c r="AZ65" s="61"/>
      <c r="BA65" s="91"/>
      <c r="BB65" s="91">
        <f t="shared" si="213"/>
        <v>0</v>
      </c>
      <c r="BC65" s="13"/>
      <c r="BD65" s="13"/>
      <c r="BE65" s="91"/>
      <c r="BF65" s="91"/>
      <c r="BG65" s="11"/>
      <c r="BH65" s="91">
        <f t="shared" si="184"/>
        <v>0</v>
      </c>
      <c r="BI65" s="91">
        <f t="shared" si="185"/>
        <v>0</v>
      </c>
      <c r="BJ65" s="91" t="e">
        <f t="shared" si="186"/>
        <v>#DIV/0!</v>
      </c>
      <c r="BK65" s="91" t="e">
        <f t="shared" si="187"/>
        <v>#DIV/0!</v>
      </c>
      <c r="BL65" s="91"/>
      <c r="BM65" s="91" t="e">
        <f t="shared" si="214"/>
        <v>#DIV/0!</v>
      </c>
      <c r="BN65" s="91" t="e">
        <f t="shared" si="215"/>
        <v>#DIV/0!</v>
      </c>
      <c r="BO65" s="11"/>
      <c r="BP65" s="88"/>
      <c r="BQ65" s="372"/>
      <c r="BR65" s="18" t="e">
        <f>AI65/AA65/7.2</f>
        <v>#DIV/0!</v>
      </c>
      <c r="BS65" s="11">
        <f t="shared" si="188"/>
        <v>0</v>
      </c>
      <c r="BT65" s="514">
        <f t="shared" si="189"/>
        <v>0</v>
      </c>
      <c r="BU65" s="514" t="e">
        <f t="shared" si="190"/>
        <v>#DIV/0!</v>
      </c>
      <c r="BV65" s="501" t="e">
        <f t="shared" si="191"/>
        <v>#DIV/0!</v>
      </c>
      <c r="BW65" s="91"/>
      <c r="BX65" s="506"/>
      <c r="BY65" s="506"/>
      <c r="BZ65" s="508"/>
      <c r="CA65" s="372"/>
      <c r="CB65" s="61">
        <f>SUMPRODUCT(([179]НДПИ_расчет!$C$5:$N$5=$L65)*([179]НДПИ_расчет!$C$73:$N$73))</f>
        <v>0</v>
      </c>
      <c r="CC65" s="360">
        <f>SUMPRODUCT(('[180]Динамика NB'!$E$157:$P$157=$L65)*('[180]Динамика NB'!$E$169:$P$169))</f>
        <v>0</v>
      </c>
      <c r="CD65" s="360"/>
      <c r="CE65" s="360"/>
      <c r="CF65" s="360"/>
      <c r="CG65" s="360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92"/>
        <v>0</v>
      </c>
      <c r="CJ65" s="16"/>
      <c r="CK65" s="16"/>
      <c r="CL65" s="40"/>
      <c r="CM65" s="131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40" t="e">
        <f t="shared" si="193"/>
        <v>#DIV/0!</v>
      </c>
      <c r="CQ65" s="287"/>
      <c r="CR65" s="14"/>
      <c r="CS65" s="91" t="e">
        <f t="shared" si="194"/>
        <v>#DIV/0!</v>
      </c>
      <c r="CT65" s="91">
        <f t="shared" si="195"/>
        <v>0</v>
      </c>
      <c r="CU65" s="91" t="e">
        <f t="shared" si="196"/>
        <v>#DIV/0!</v>
      </c>
      <c r="CV65" s="16" t="e">
        <f t="shared" si="197"/>
        <v>#DIV/0!</v>
      </c>
      <c r="CW65" s="16" t="e">
        <f t="shared" si="198"/>
        <v>#DIV/0!</v>
      </c>
      <c r="CX65" s="91" t="e">
        <f t="shared" si="216"/>
        <v>#DIV/0!</v>
      </c>
      <c r="CY65" s="287" t="e">
        <f t="shared" si="199"/>
        <v>#DIV/0!</v>
      </c>
      <c r="CZ65" s="305" t="e">
        <f t="shared" si="200"/>
        <v>#DIV/0!</v>
      </c>
      <c r="DA65" s="761" t="e">
        <f t="shared" si="201"/>
        <v>#DIV/0!</v>
      </c>
      <c r="DB65" s="771" t="e">
        <f t="shared" si="202"/>
        <v>#DIV/0!</v>
      </c>
      <c r="DC65" s="761"/>
      <c r="DD65" s="761" t="e">
        <f t="shared" si="203"/>
        <v>#DIV/0!</v>
      </c>
      <c r="DE65" s="761" t="e">
        <f t="shared" si="204"/>
        <v>#DIV/0!</v>
      </c>
      <c r="DF65" s="761"/>
      <c r="DG65" s="761">
        <f t="shared" si="205"/>
        <v>0</v>
      </c>
      <c r="DH65" s="761">
        <f t="shared" si="206"/>
        <v>0</v>
      </c>
      <c r="DI65" s="761">
        <f t="shared" si="207"/>
        <v>0</v>
      </c>
      <c r="DJ65" s="761">
        <f t="shared" si="208"/>
        <v>0</v>
      </c>
      <c r="DK65" s="761" t="e">
        <f t="shared" si="209"/>
        <v>#DIV/0!</v>
      </c>
      <c r="DL65" s="761" t="e">
        <f t="shared" si="210"/>
        <v>#DIV/0!</v>
      </c>
      <c r="DM65" s="633" t="e">
        <f t="shared" si="211"/>
        <v>#DIV/0!</v>
      </c>
    </row>
    <row r="66" spans="1:117" s="69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80" t="s">
        <v>392</v>
      </c>
      <c r="K66" s="61"/>
      <c r="L66" s="639"/>
      <c r="M66" s="284"/>
      <c r="N66" s="72"/>
      <c r="O66" s="91"/>
      <c r="P66" s="182"/>
      <c r="Q66" s="713">
        <f t="shared" si="169"/>
        <v>0</v>
      </c>
      <c r="R66" s="679">
        <f t="shared" si="170"/>
        <v>0</v>
      </c>
      <c r="S66" s="683"/>
      <c r="T66" s="717"/>
      <c r="U66" s="718"/>
      <c r="V66" s="718"/>
      <c r="W66" s="718"/>
      <c r="X66" s="91"/>
      <c r="Y66" s="172"/>
      <c r="Z66" s="176"/>
      <c r="AA66" s="458"/>
      <c r="AB66" s="18"/>
      <c r="AC66" s="11"/>
      <c r="AD66" s="11"/>
      <c r="AE66" s="11"/>
      <c r="AF66" s="11"/>
      <c r="AG66" s="75">
        <f t="shared" si="212"/>
        <v>0</v>
      </c>
      <c r="AH66" s="11"/>
      <c r="AI66" s="91"/>
      <c r="AJ66" s="91"/>
      <c r="AK66" s="61" t="e">
        <f t="shared" si="171"/>
        <v>#DIV/0!</v>
      </c>
      <c r="AL66" s="91" t="e">
        <f t="shared" si="172"/>
        <v>#DIV/0!</v>
      </c>
      <c r="AM66" s="91"/>
      <c r="AN66" s="91" t="e">
        <f t="shared" si="173"/>
        <v>#DIV/0!</v>
      </c>
      <c r="AO66" s="91" t="e">
        <f t="shared" si="174"/>
        <v>#DIV/0!</v>
      </c>
      <c r="AP66" s="287" t="e">
        <f t="shared" si="175"/>
        <v>#DIV/0!</v>
      </c>
      <c r="AQ66" s="86" t="e">
        <f t="shared" si="176"/>
        <v>#DIV/0!</v>
      </c>
      <c r="AR66" s="91">
        <f t="shared" si="177"/>
        <v>0</v>
      </c>
      <c r="AS66" s="287">
        <f t="shared" si="178"/>
        <v>0</v>
      </c>
      <c r="AT66" s="91" t="e">
        <f t="shared" si="179"/>
        <v>#DIV/0!</v>
      </c>
      <c r="AU66" s="91" t="e">
        <f t="shared" si="180"/>
        <v>#DIV/0!</v>
      </c>
      <c r="AV66" s="91"/>
      <c r="AW66" s="91" t="e">
        <f t="shared" si="181"/>
        <v>#DIV/0!</v>
      </c>
      <c r="AX66" s="91" t="e">
        <f t="shared" si="182"/>
        <v>#DIV/0!</v>
      </c>
      <c r="AY66" s="287" t="e">
        <f t="shared" si="183"/>
        <v>#DIV/0!</v>
      </c>
      <c r="AZ66" s="61"/>
      <c r="BA66" s="91"/>
      <c r="BB66" s="91">
        <f t="shared" si="213"/>
        <v>0</v>
      </c>
      <c r="BC66" s="13"/>
      <c r="BD66" s="13"/>
      <c r="BE66" s="91"/>
      <c r="BF66" s="91"/>
      <c r="BG66" s="11"/>
      <c r="BH66" s="91">
        <f t="shared" si="184"/>
        <v>0</v>
      </c>
      <c r="BI66" s="91">
        <f t="shared" si="185"/>
        <v>0</v>
      </c>
      <c r="BJ66" s="91" t="e">
        <f t="shared" si="186"/>
        <v>#DIV/0!</v>
      </c>
      <c r="BK66" s="91" t="e">
        <f t="shared" si="187"/>
        <v>#DIV/0!</v>
      </c>
      <c r="BL66" s="91"/>
      <c r="BM66" s="91" t="e">
        <f t="shared" si="214"/>
        <v>#DIV/0!</v>
      </c>
      <c r="BN66" s="91" t="e">
        <f t="shared" si="215"/>
        <v>#DIV/0!</v>
      </c>
      <c r="BO66" s="11"/>
      <c r="BP66" s="88"/>
      <c r="BQ66" s="372"/>
      <c r="BR66" s="18" t="e">
        <f>AI66/AA66/7.216</f>
        <v>#DIV/0!</v>
      </c>
      <c r="BS66" s="11">
        <f>CN66-BO66</f>
        <v>0</v>
      </c>
      <c r="BT66" s="514">
        <f t="shared" si="189"/>
        <v>0</v>
      </c>
      <c r="BU66" s="514" t="e">
        <f t="shared" si="190"/>
        <v>#DIV/0!</v>
      </c>
      <c r="BV66" s="501" t="e">
        <f t="shared" si="191"/>
        <v>#DIV/0!</v>
      </c>
      <c r="BW66" s="91"/>
      <c r="BX66" s="506"/>
      <c r="BY66" s="506"/>
      <c r="BZ66" s="508"/>
      <c r="CA66" s="372"/>
      <c r="CB66" s="61">
        <f>SUMPRODUCT(([179]НДПИ_расчет!$C$5:$N$5=$L66)*([179]НДПИ_расчет!$C$73:$N$73))</f>
        <v>0</v>
      </c>
      <c r="CC66" s="360">
        <f>SUMPRODUCT(('[180]Динамика NB'!$E$157:$P$157=$L66)*('[180]Динамика NB'!$E$169:$P$169))</f>
        <v>0</v>
      </c>
      <c r="CD66" s="360"/>
      <c r="CE66" s="360"/>
      <c r="CF66" s="360"/>
      <c r="CG66" s="360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92"/>
        <v>0</v>
      </c>
      <c r="CJ66" s="16"/>
      <c r="CK66" s="16"/>
      <c r="CL66" s="40"/>
      <c r="CM66" s="131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40" t="e">
        <f t="shared" si="193"/>
        <v>#DIV/0!</v>
      </c>
      <c r="CQ66" s="287"/>
      <c r="CR66" s="14"/>
      <c r="CS66" s="91" t="e">
        <f t="shared" si="194"/>
        <v>#DIV/0!</v>
      </c>
      <c r="CT66" s="91">
        <f t="shared" si="195"/>
        <v>0</v>
      </c>
      <c r="CU66" s="91" t="e">
        <f t="shared" si="196"/>
        <v>#DIV/0!</v>
      </c>
      <c r="CV66" s="16" t="e">
        <f t="shared" si="197"/>
        <v>#DIV/0!</v>
      </c>
      <c r="CW66" s="16" t="e">
        <f t="shared" si="198"/>
        <v>#DIV/0!</v>
      </c>
      <c r="CX66" s="91" t="e">
        <f t="shared" si="216"/>
        <v>#DIV/0!</v>
      </c>
      <c r="CY66" s="287" t="e">
        <f t="shared" si="199"/>
        <v>#DIV/0!</v>
      </c>
      <c r="CZ66" s="305" t="e">
        <f t="shared" si="200"/>
        <v>#DIV/0!</v>
      </c>
      <c r="DA66" s="761" t="e">
        <f t="shared" si="201"/>
        <v>#DIV/0!</v>
      </c>
      <c r="DB66" s="771" t="e">
        <f t="shared" si="202"/>
        <v>#DIV/0!</v>
      </c>
      <c r="DC66" s="761"/>
      <c r="DD66" s="761" t="e">
        <f t="shared" si="203"/>
        <v>#DIV/0!</v>
      </c>
      <c r="DE66" s="761" t="e">
        <f t="shared" si="204"/>
        <v>#DIV/0!</v>
      </c>
      <c r="DF66" s="761"/>
      <c r="DG66" s="761">
        <f t="shared" si="205"/>
        <v>0</v>
      </c>
      <c r="DH66" s="761">
        <f t="shared" si="206"/>
        <v>0</v>
      </c>
      <c r="DI66" s="761">
        <f t="shared" si="207"/>
        <v>0</v>
      </c>
      <c r="DJ66" s="761">
        <f t="shared" si="208"/>
        <v>0</v>
      </c>
      <c r="DK66" s="761" t="e">
        <f t="shared" si="209"/>
        <v>#DIV/0!</v>
      </c>
      <c r="DL66" s="761" t="e">
        <f t="shared" si="210"/>
        <v>#DIV/0!</v>
      </c>
      <c r="DM66" s="633" t="e">
        <f t="shared" si="211"/>
        <v>#DIV/0!</v>
      </c>
    </row>
    <row r="67" spans="1:117" s="69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80" t="s">
        <v>392</v>
      </c>
      <c r="K67" s="61"/>
      <c r="L67" s="639"/>
      <c r="M67" s="284"/>
      <c r="N67" s="72"/>
      <c r="O67" s="91"/>
      <c r="P67" s="182"/>
      <c r="Q67" s="713">
        <f t="shared" si="169"/>
        <v>0</v>
      </c>
      <c r="R67" s="679">
        <f t="shared" si="170"/>
        <v>0</v>
      </c>
      <c r="S67" s="719"/>
      <c r="T67" s="720"/>
      <c r="U67" s="720"/>
      <c r="V67" s="720"/>
      <c r="W67" s="720"/>
      <c r="X67" s="91"/>
      <c r="Y67" s="172"/>
      <c r="Z67" s="176"/>
      <c r="AA67" s="458"/>
      <c r="AB67" s="18"/>
      <c r="AC67" s="11"/>
      <c r="AD67" s="11"/>
      <c r="AE67" s="11"/>
      <c r="AF67" s="11"/>
      <c r="AG67" s="75">
        <f t="shared" si="212"/>
        <v>0</v>
      </c>
      <c r="AH67" s="11"/>
      <c r="AI67" s="91"/>
      <c r="AJ67" s="91"/>
      <c r="AK67" s="61" t="e">
        <f t="shared" si="171"/>
        <v>#DIV/0!</v>
      </c>
      <c r="AL67" s="91" t="e">
        <f t="shared" si="172"/>
        <v>#DIV/0!</v>
      </c>
      <c r="AM67" s="91"/>
      <c r="AN67" s="91" t="e">
        <f t="shared" si="173"/>
        <v>#DIV/0!</v>
      </c>
      <c r="AO67" s="91" t="e">
        <f t="shared" si="174"/>
        <v>#DIV/0!</v>
      </c>
      <c r="AP67" s="287" t="e">
        <f t="shared" si="175"/>
        <v>#DIV/0!</v>
      </c>
      <c r="AQ67" s="86" t="e">
        <f t="shared" si="176"/>
        <v>#DIV/0!</v>
      </c>
      <c r="AR67" s="91">
        <f t="shared" si="177"/>
        <v>0</v>
      </c>
      <c r="AS67" s="287">
        <f t="shared" si="178"/>
        <v>0</v>
      </c>
      <c r="AT67" s="91" t="e">
        <f t="shared" si="179"/>
        <v>#DIV/0!</v>
      </c>
      <c r="AU67" s="91" t="e">
        <f t="shared" si="180"/>
        <v>#DIV/0!</v>
      </c>
      <c r="AV67" s="91"/>
      <c r="AW67" s="91" t="e">
        <f t="shared" si="181"/>
        <v>#DIV/0!</v>
      </c>
      <c r="AX67" s="91" t="e">
        <f t="shared" si="182"/>
        <v>#DIV/0!</v>
      </c>
      <c r="AY67" s="287" t="e">
        <f t="shared" si="183"/>
        <v>#DIV/0!</v>
      </c>
      <c r="AZ67" s="61"/>
      <c r="BA67" s="91"/>
      <c r="BB67" s="91">
        <f t="shared" si="213"/>
        <v>0</v>
      </c>
      <c r="BC67" s="13"/>
      <c r="BD67" s="13"/>
      <c r="BE67" s="91"/>
      <c r="BF67" s="91"/>
      <c r="BG67" s="11"/>
      <c r="BH67" s="91">
        <f t="shared" si="184"/>
        <v>0</v>
      </c>
      <c r="BI67" s="91">
        <f t="shared" si="185"/>
        <v>0</v>
      </c>
      <c r="BJ67" s="91" t="e">
        <f t="shared" si="186"/>
        <v>#DIV/0!</v>
      </c>
      <c r="BK67" s="91" t="e">
        <f t="shared" si="187"/>
        <v>#DIV/0!</v>
      </c>
      <c r="BL67" s="91"/>
      <c r="BM67" s="91" t="e">
        <f t="shared" si="214"/>
        <v>#DIV/0!</v>
      </c>
      <c r="BN67" s="91" t="e">
        <f t="shared" si="215"/>
        <v>#DIV/0!</v>
      </c>
      <c r="BO67" s="11"/>
      <c r="BP67" s="88"/>
      <c r="BQ67" s="372"/>
      <c r="BR67" s="18" t="e">
        <f>AI67/AA67/7.2136</f>
        <v>#DIV/0!</v>
      </c>
      <c r="BS67" s="11">
        <f t="shared" si="188"/>
        <v>0</v>
      </c>
      <c r="BT67" s="514">
        <f t="shared" si="189"/>
        <v>0</v>
      </c>
      <c r="BU67" s="514" t="e">
        <f t="shared" si="190"/>
        <v>#DIV/0!</v>
      </c>
      <c r="BV67" s="501" t="e">
        <f t="shared" si="191"/>
        <v>#DIV/0!</v>
      </c>
      <c r="BW67" s="91"/>
      <c r="BX67" s="506"/>
      <c r="BY67" s="506"/>
      <c r="BZ67" s="508"/>
      <c r="CA67" s="372"/>
      <c r="CB67" s="61">
        <f>SUMPRODUCT(([179]НДПИ_расчет!$C$5:$N$5=$L67)*([179]НДПИ_расчет!$C$73:$N$73))</f>
        <v>0</v>
      </c>
      <c r="CC67" s="360">
        <f>SUMPRODUCT(('[180]Динамика NB'!$E$157:$P$157=$L67)*('[180]Динамика NB'!$E$169:$P$169))</f>
        <v>0</v>
      </c>
      <c r="CD67" s="360"/>
      <c r="CE67" s="360"/>
      <c r="CF67" s="360"/>
      <c r="CG67" s="360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92"/>
        <v>0</v>
      </c>
      <c r="CJ67" s="16"/>
      <c r="CK67" s="16"/>
      <c r="CL67" s="40"/>
      <c r="CM67" s="131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40" t="e">
        <f t="shared" si="193"/>
        <v>#DIV/0!</v>
      </c>
      <c r="CQ67" s="287"/>
      <c r="CR67" s="14"/>
      <c r="CS67" s="91" t="e">
        <f t="shared" si="194"/>
        <v>#DIV/0!</v>
      </c>
      <c r="CT67" s="91">
        <f t="shared" si="195"/>
        <v>0</v>
      </c>
      <c r="CU67" s="91" t="e">
        <f t="shared" si="196"/>
        <v>#DIV/0!</v>
      </c>
      <c r="CV67" s="16" t="e">
        <f t="shared" si="197"/>
        <v>#DIV/0!</v>
      </c>
      <c r="CW67" s="16" t="e">
        <f t="shared" si="198"/>
        <v>#DIV/0!</v>
      </c>
      <c r="CX67" s="91" t="e">
        <f t="shared" si="216"/>
        <v>#DIV/0!</v>
      </c>
      <c r="CY67" s="287" t="e">
        <f t="shared" si="199"/>
        <v>#DIV/0!</v>
      </c>
      <c r="CZ67" s="305" t="e">
        <f t="shared" si="200"/>
        <v>#DIV/0!</v>
      </c>
      <c r="DA67" s="761" t="e">
        <f t="shared" si="201"/>
        <v>#DIV/0!</v>
      </c>
      <c r="DB67" s="771" t="e">
        <f t="shared" si="202"/>
        <v>#DIV/0!</v>
      </c>
      <c r="DC67" s="761"/>
      <c r="DD67" s="761" t="e">
        <f t="shared" si="203"/>
        <v>#DIV/0!</v>
      </c>
      <c r="DE67" s="761" t="e">
        <f t="shared" si="204"/>
        <v>#DIV/0!</v>
      </c>
      <c r="DF67" s="761"/>
      <c r="DG67" s="761">
        <f t="shared" si="205"/>
        <v>0</v>
      </c>
      <c r="DH67" s="761">
        <f t="shared" si="206"/>
        <v>0</v>
      </c>
      <c r="DI67" s="761">
        <f t="shared" si="207"/>
        <v>0</v>
      </c>
      <c r="DJ67" s="761">
        <f t="shared" si="208"/>
        <v>0</v>
      </c>
      <c r="DK67" s="761" t="e">
        <f t="shared" si="209"/>
        <v>#DIV/0!</v>
      </c>
      <c r="DL67" s="761" t="e">
        <f t="shared" si="210"/>
        <v>#DIV/0!</v>
      </c>
      <c r="DM67" s="633" t="e">
        <f t="shared" si="211"/>
        <v>#DIV/0!</v>
      </c>
    </row>
    <row r="68" spans="1:117" s="69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80" t="s">
        <v>392</v>
      </c>
      <c r="K68" s="61"/>
      <c r="L68" s="639"/>
      <c r="M68" s="284"/>
      <c r="N68" s="72"/>
      <c r="O68" s="91"/>
      <c r="P68" s="182"/>
      <c r="Q68" s="713">
        <f t="shared" si="169"/>
        <v>0</v>
      </c>
      <c r="R68" s="679">
        <f t="shared" si="170"/>
        <v>0</v>
      </c>
      <c r="S68" s="719"/>
      <c r="T68" s="720"/>
      <c r="U68" s="720"/>
      <c r="V68" s="720"/>
      <c r="W68" s="720"/>
      <c r="X68" s="91"/>
      <c r="Y68" s="172"/>
      <c r="Z68" s="176"/>
      <c r="AA68" s="458"/>
      <c r="AB68" s="18"/>
      <c r="AC68" s="11"/>
      <c r="AD68" s="11"/>
      <c r="AE68" s="11"/>
      <c r="AF68" s="11"/>
      <c r="AG68" s="75">
        <f t="shared" si="212"/>
        <v>0</v>
      </c>
      <c r="AH68" s="11"/>
      <c r="AI68" s="91"/>
      <c r="AJ68" s="91"/>
      <c r="AK68" s="61" t="e">
        <f t="shared" si="171"/>
        <v>#DIV/0!</v>
      </c>
      <c r="AL68" s="275" t="e">
        <f t="shared" si="172"/>
        <v>#DIV/0!</v>
      </c>
      <c r="AM68" s="275"/>
      <c r="AN68" s="275" t="e">
        <f t="shared" si="173"/>
        <v>#DIV/0!</v>
      </c>
      <c r="AO68" s="275" t="e">
        <f t="shared" si="174"/>
        <v>#DIV/0!</v>
      </c>
      <c r="AP68" s="278" t="e">
        <f t="shared" si="175"/>
        <v>#DIV/0!</v>
      </c>
      <c r="AQ68" s="90" t="e">
        <f t="shared" si="176"/>
        <v>#DIV/0!</v>
      </c>
      <c r="AR68" s="91">
        <f t="shared" si="177"/>
        <v>0</v>
      </c>
      <c r="AS68" s="287">
        <f t="shared" si="178"/>
        <v>0</v>
      </c>
      <c r="AT68" s="91" t="e">
        <f t="shared" si="179"/>
        <v>#DIV/0!</v>
      </c>
      <c r="AU68" s="275" t="e">
        <f t="shared" si="180"/>
        <v>#DIV/0!</v>
      </c>
      <c r="AV68" s="275"/>
      <c r="AW68" s="275" t="e">
        <f t="shared" si="181"/>
        <v>#DIV/0!</v>
      </c>
      <c r="AX68" s="275" t="e">
        <f t="shared" si="182"/>
        <v>#DIV/0!</v>
      </c>
      <c r="AY68" s="278" t="e">
        <f t="shared" si="183"/>
        <v>#DIV/0!</v>
      </c>
      <c r="AZ68" s="61"/>
      <c r="BA68" s="275"/>
      <c r="BB68" s="275">
        <f t="shared" si="213"/>
        <v>0</v>
      </c>
      <c r="BC68" s="17"/>
      <c r="BD68" s="17"/>
      <c r="BE68" s="275"/>
      <c r="BF68" s="275"/>
      <c r="BG68" s="11"/>
      <c r="BH68" s="275">
        <f t="shared" si="184"/>
        <v>0</v>
      </c>
      <c r="BI68" s="275">
        <f t="shared" si="185"/>
        <v>0</v>
      </c>
      <c r="BJ68" s="91" t="e">
        <f t="shared" si="186"/>
        <v>#DIV/0!</v>
      </c>
      <c r="BK68" s="91" t="e">
        <f t="shared" si="187"/>
        <v>#DIV/0!</v>
      </c>
      <c r="BL68" s="91"/>
      <c r="BM68" s="91" t="e">
        <f t="shared" si="214"/>
        <v>#DIV/0!</v>
      </c>
      <c r="BN68" s="91" t="e">
        <f t="shared" si="215"/>
        <v>#DIV/0!</v>
      </c>
      <c r="BO68" s="11"/>
      <c r="BP68" s="88"/>
      <c r="BQ68" s="372"/>
      <c r="BR68" s="18" t="e">
        <f>AI68/AA68/7.2048</f>
        <v>#DIV/0!</v>
      </c>
      <c r="BS68" s="11">
        <f t="shared" si="188"/>
        <v>0</v>
      </c>
      <c r="BT68" s="514">
        <f t="shared" si="189"/>
        <v>0</v>
      </c>
      <c r="BU68" s="514" t="e">
        <f t="shared" si="190"/>
        <v>#DIV/0!</v>
      </c>
      <c r="BV68" s="501" t="e">
        <f t="shared" si="191"/>
        <v>#DIV/0!</v>
      </c>
      <c r="BW68" s="91"/>
      <c r="BX68" s="506"/>
      <c r="BY68" s="506"/>
      <c r="BZ68" s="508"/>
      <c r="CA68" s="372"/>
      <c r="CB68" s="61">
        <f>SUMPRODUCT(([179]НДПИ_расчет!$C$5:$N$5=$L68)*([179]НДПИ_расчет!$C$73:$N$73))</f>
        <v>0</v>
      </c>
      <c r="CC68" s="353">
        <f>SUMPRODUCT(('[180]Динамика NB'!$E$157:$P$157=$L68)*('[180]Динамика NB'!$E$169:$P$169))</f>
        <v>0</v>
      </c>
      <c r="CD68" s="353"/>
      <c r="CE68" s="353"/>
      <c r="CF68" s="353"/>
      <c r="CG68" s="353"/>
      <c r="CH68" s="28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8">
        <f t="shared" si="192"/>
        <v>0</v>
      </c>
      <c r="CJ68" s="28"/>
      <c r="CK68" s="28"/>
      <c r="CL68" s="41"/>
      <c r="CM68" s="131"/>
      <c r="CN68" s="16"/>
      <c r="CO68" s="28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41" t="e">
        <f t="shared" si="193"/>
        <v>#DIV/0!</v>
      </c>
      <c r="CQ68" s="287"/>
      <c r="CR68" s="14"/>
      <c r="CS68" s="91" t="e">
        <f t="shared" si="194"/>
        <v>#DIV/0!</v>
      </c>
      <c r="CT68" s="91">
        <f t="shared" si="195"/>
        <v>0</v>
      </c>
      <c r="CU68" s="91" t="e">
        <f t="shared" si="196"/>
        <v>#DIV/0!</v>
      </c>
      <c r="CV68" s="16" t="e">
        <f t="shared" si="197"/>
        <v>#DIV/0!</v>
      </c>
      <c r="CW68" s="16" t="e">
        <f t="shared" si="198"/>
        <v>#DIV/0!</v>
      </c>
      <c r="CX68" s="91" t="e">
        <f t="shared" si="216"/>
        <v>#DIV/0!</v>
      </c>
      <c r="CY68" s="287" t="e">
        <f t="shared" si="199"/>
        <v>#DIV/0!</v>
      </c>
      <c r="CZ68" s="305" t="e">
        <f t="shared" si="200"/>
        <v>#DIV/0!</v>
      </c>
      <c r="DA68" s="761" t="e">
        <f t="shared" si="201"/>
        <v>#DIV/0!</v>
      </c>
      <c r="DB68" s="771" t="e">
        <f t="shared" si="202"/>
        <v>#DIV/0!</v>
      </c>
      <c r="DC68" s="761"/>
      <c r="DD68" s="761" t="e">
        <f t="shared" si="203"/>
        <v>#DIV/0!</v>
      </c>
      <c r="DE68" s="761" t="e">
        <f t="shared" si="204"/>
        <v>#DIV/0!</v>
      </c>
      <c r="DF68" s="761"/>
      <c r="DG68" s="761">
        <f t="shared" si="205"/>
        <v>0</v>
      </c>
      <c r="DH68" s="761">
        <f t="shared" si="206"/>
        <v>0</v>
      </c>
      <c r="DI68" s="761">
        <f t="shared" si="207"/>
        <v>0</v>
      </c>
      <c r="DJ68" s="761">
        <f t="shared" si="208"/>
        <v>0</v>
      </c>
      <c r="DK68" s="761" t="e">
        <f t="shared" si="209"/>
        <v>#DIV/0!</v>
      </c>
      <c r="DL68" s="761" t="e">
        <f t="shared" si="210"/>
        <v>#DIV/0!</v>
      </c>
      <c r="DM68" s="633" t="e">
        <f t="shared" si="211"/>
        <v>#DIV/0!</v>
      </c>
    </row>
    <row r="69" spans="1:117" s="69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80" t="s">
        <v>392</v>
      </c>
      <c r="K69" s="61"/>
      <c r="L69" s="639"/>
      <c r="M69" s="284"/>
      <c r="N69" s="72"/>
      <c r="O69" s="91"/>
      <c r="P69" s="182"/>
      <c r="Q69" s="713">
        <f t="shared" si="169"/>
        <v>0</v>
      </c>
      <c r="R69" s="679">
        <f t="shared" si="170"/>
        <v>0</v>
      </c>
      <c r="S69" s="719"/>
      <c r="T69" s="720"/>
      <c r="U69" s="720"/>
      <c r="V69" s="720"/>
      <c r="W69" s="720"/>
      <c r="X69" s="91"/>
      <c r="Y69" s="172"/>
      <c r="Z69" s="176"/>
      <c r="AA69" s="458"/>
      <c r="AB69" s="18"/>
      <c r="AC69" s="11"/>
      <c r="AD69" s="11"/>
      <c r="AE69" s="11"/>
      <c r="AF69" s="11"/>
      <c r="AG69" s="75">
        <f t="shared" si="212"/>
        <v>0</v>
      </c>
      <c r="AH69" s="11"/>
      <c r="AI69" s="91"/>
      <c r="AJ69" s="91"/>
      <c r="AK69" s="61" t="e">
        <f t="shared" si="171"/>
        <v>#DIV/0!</v>
      </c>
      <c r="AL69" s="275" t="e">
        <f t="shared" si="172"/>
        <v>#DIV/0!</v>
      </c>
      <c r="AM69" s="275"/>
      <c r="AN69" s="275" t="e">
        <f t="shared" si="173"/>
        <v>#DIV/0!</v>
      </c>
      <c r="AO69" s="275" t="e">
        <f t="shared" si="174"/>
        <v>#DIV/0!</v>
      </c>
      <c r="AP69" s="278" t="e">
        <f t="shared" si="175"/>
        <v>#DIV/0!</v>
      </c>
      <c r="AQ69" s="90" t="e">
        <f t="shared" si="176"/>
        <v>#DIV/0!</v>
      </c>
      <c r="AR69" s="91">
        <f t="shared" si="177"/>
        <v>0</v>
      </c>
      <c r="AS69" s="287">
        <f t="shared" si="178"/>
        <v>0</v>
      </c>
      <c r="AT69" s="91" t="e">
        <f t="shared" si="179"/>
        <v>#DIV/0!</v>
      </c>
      <c r="AU69" s="275" t="e">
        <f t="shared" si="180"/>
        <v>#DIV/0!</v>
      </c>
      <c r="AV69" s="275"/>
      <c r="AW69" s="275" t="e">
        <f t="shared" si="181"/>
        <v>#DIV/0!</v>
      </c>
      <c r="AX69" s="275" t="e">
        <f t="shared" si="182"/>
        <v>#DIV/0!</v>
      </c>
      <c r="AY69" s="278" t="e">
        <f t="shared" si="183"/>
        <v>#DIV/0!</v>
      </c>
      <c r="AZ69" s="61"/>
      <c r="BA69" s="275"/>
      <c r="BB69" s="275">
        <f t="shared" si="213"/>
        <v>0</v>
      </c>
      <c r="BC69" s="17"/>
      <c r="BD69" s="17"/>
      <c r="BE69" s="275"/>
      <c r="BF69" s="275"/>
      <c r="BG69" s="11"/>
      <c r="BH69" s="275">
        <f t="shared" si="184"/>
        <v>0</v>
      </c>
      <c r="BI69" s="275">
        <f t="shared" si="185"/>
        <v>0</v>
      </c>
      <c r="BJ69" s="91" t="e">
        <f t="shared" si="186"/>
        <v>#DIV/0!</v>
      </c>
      <c r="BK69" s="91" t="e">
        <f t="shared" si="187"/>
        <v>#DIV/0!</v>
      </c>
      <c r="BL69" s="91"/>
      <c r="BM69" s="91" t="e">
        <f t="shared" si="214"/>
        <v>#DIV/0!</v>
      </c>
      <c r="BN69" s="91" t="e">
        <f t="shared" si="215"/>
        <v>#DIV/0!</v>
      </c>
      <c r="BO69" s="11"/>
      <c r="BP69" s="88"/>
      <c r="BQ69" s="372"/>
      <c r="BR69" s="18" t="e">
        <f>AI69/AA69/7.2088</f>
        <v>#DIV/0!</v>
      </c>
      <c r="BS69" s="11">
        <f t="shared" si="188"/>
        <v>0</v>
      </c>
      <c r="BT69" s="514">
        <f t="shared" si="189"/>
        <v>0</v>
      </c>
      <c r="BU69" s="514" t="e">
        <f t="shared" si="190"/>
        <v>#DIV/0!</v>
      </c>
      <c r="BV69" s="501" t="e">
        <f t="shared" si="191"/>
        <v>#DIV/0!</v>
      </c>
      <c r="BW69" s="91"/>
      <c r="BX69" s="506"/>
      <c r="BY69" s="506"/>
      <c r="BZ69" s="508"/>
      <c r="CA69" s="372"/>
      <c r="CB69" s="61">
        <f>SUMPRODUCT(([179]НДПИ_расчет!$C$5:$N$5=$L69)*([179]НДПИ_расчет!$C$73:$N$73))</f>
        <v>0</v>
      </c>
      <c r="CC69" s="353">
        <f>SUMPRODUCT(('[180]Динамика NB'!$E$157:$P$157=$L69)*('[180]Динамика NB'!$E$169:$P$169))</f>
        <v>0</v>
      </c>
      <c r="CD69" s="353"/>
      <c r="CE69" s="353"/>
      <c r="CF69" s="353"/>
      <c r="CG69" s="353"/>
      <c r="CH69" s="28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8">
        <f t="shared" si="192"/>
        <v>0</v>
      </c>
      <c r="CJ69" s="28"/>
      <c r="CK69" s="28"/>
      <c r="CL69" s="41"/>
      <c r="CM69" s="131"/>
      <c r="CN69" s="16"/>
      <c r="CO69" s="28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41" t="e">
        <f t="shared" si="193"/>
        <v>#DIV/0!</v>
      </c>
      <c r="CQ69" s="287"/>
      <c r="CR69" s="14"/>
      <c r="CS69" s="91" t="e">
        <f t="shared" si="194"/>
        <v>#DIV/0!</v>
      </c>
      <c r="CT69" s="91">
        <f t="shared" si="195"/>
        <v>0</v>
      </c>
      <c r="CU69" s="91" t="e">
        <f t="shared" si="196"/>
        <v>#DIV/0!</v>
      </c>
      <c r="CV69" s="16" t="e">
        <f t="shared" si="197"/>
        <v>#DIV/0!</v>
      </c>
      <c r="CW69" s="16" t="e">
        <f t="shared" si="198"/>
        <v>#DIV/0!</v>
      </c>
      <c r="CX69" s="91" t="e">
        <f t="shared" si="216"/>
        <v>#DIV/0!</v>
      </c>
      <c r="CY69" s="287" t="e">
        <f t="shared" si="199"/>
        <v>#DIV/0!</v>
      </c>
      <c r="CZ69" s="305" t="e">
        <f t="shared" si="200"/>
        <v>#DIV/0!</v>
      </c>
      <c r="DA69" s="761" t="e">
        <f t="shared" si="201"/>
        <v>#DIV/0!</v>
      </c>
      <c r="DB69" s="771" t="e">
        <f t="shared" si="202"/>
        <v>#DIV/0!</v>
      </c>
      <c r="DC69" s="761"/>
      <c r="DD69" s="761" t="e">
        <f t="shared" si="203"/>
        <v>#DIV/0!</v>
      </c>
      <c r="DE69" s="761" t="e">
        <f t="shared" si="204"/>
        <v>#DIV/0!</v>
      </c>
      <c r="DF69" s="761"/>
      <c r="DG69" s="761">
        <f t="shared" si="205"/>
        <v>0</v>
      </c>
      <c r="DH69" s="761">
        <f t="shared" si="206"/>
        <v>0</v>
      </c>
      <c r="DI69" s="761">
        <f t="shared" si="207"/>
        <v>0</v>
      </c>
      <c r="DJ69" s="761">
        <f t="shared" si="208"/>
        <v>0</v>
      </c>
      <c r="DK69" s="761" t="e">
        <f t="shared" si="209"/>
        <v>#DIV/0!</v>
      </c>
      <c r="DL69" s="761" t="e">
        <f t="shared" si="210"/>
        <v>#DIV/0!</v>
      </c>
      <c r="DM69" s="633" t="e">
        <f t="shared" si="211"/>
        <v>#DIV/0!</v>
      </c>
    </row>
    <row r="70" spans="1:117" s="69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80" t="s">
        <v>392</v>
      </c>
      <c r="K70" s="61"/>
      <c r="L70" s="639"/>
      <c r="M70" s="284"/>
      <c r="N70" s="72"/>
      <c r="O70" s="91"/>
      <c r="P70" s="182"/>
      <c r="Q70" s="713">
        <f t="shared" si="169"/>
        <v>0</v>
      </c>
      <c r="R70" s="679">
        <f t="shared" si="170"/>
        <v>0</v>
      </c>
      <c r="S70" s="719"/>
      <c r="T70" s="720"/>
      <c r="U70" s="720"/>
      <c r="V70" s="720"/>
      <c r="W70" s="720"/>
      <c r="X70" s="91"/>
      <c r="Y70" s="172"/>
      <c r="Z70" s="176"/>
      <c r="AA70" s="458"/>
      <c r="AB70" s="18"/>
      <c r="AC70" s="11"/>
      <c r="AD70" s="11"/>
      <c r="AE70" s="11"/>
      <c r="AF70" s="11"/>
      <c r="AG70" s="75">
        <f t="shared" si="212"/>
        <v>0</v>
      </c>
      <c r="AH70" s="11"/>
      <c r="AI70" s="91"/>
      <c r="AJ70" s="91"/>
      <c r="AK70" s="61" t="e">
        <f t="shared" si="171"/>
        <v>#DIV/0!</v>
      </c>
      <c r="AL70" s="275" t="e">
        <f t="shared" si="172"/>
        <v>#DIV/0!</v>
      </c>
      <c r="AM70" s="275"/>
      <c r="AN70" s="275" t="e">
        <f t="shared" si="173"/>
        <v>#DIV/0!</v>
      </c>
      <c r="AO70" s="275" t="e">
        <f t="shared" si="174"/>
        <v>#DIV/0!</v>
      </c>
      <c r="AP70" s="278" t="e">
        <f t="shared" si="175"/>
        <v>#DIV/0!</v>
      </c>
      <c r="AQ70" s="90" t="e">
        <f t="shared" si="176"/>
        <v>#DIV/0!</v>
      </c>
      <c r="AR70" s="91">
        <f t="shared" si="177"/>
        <v>0</v>
      </c>
      <c r="AS70" s="287">
        <f t="shared" si="178"/>
        <v>0</v>
      </c>
      <c r="AT70" s="91" t="e">
        <f t="shared" si="179"/>
        <v>#DIV/0!</v>
      </c>
      <c r="AU70" s="275" t="e">
        <f t="shared" si="180"/>
        <v>#DIV/0!</v>
      </c>
      <c r="AV70" s="275"/>
      <c r="AW70" s="275" t="e">
        <f t="shared" si="181"/>
        <v>#DIV/0!</v>
      </c>
      <c r="AX70" s="275" t="e">
        <f t="shared" si="182"/>
        <v>#DIV/0!</v>
      </c>
      <c r="AY70" s="278" t="e">
        <f t="shared" si="183"/>
        <v>#DIV/0!</v>
      </c>
      <c r="AZ70" s="61"/>
      <c r="BA70" s="275"/>
      <c r="BB70" s="275">
        <f t="shared" si="213"/>
        <v>0</v>
      </c>
      <c r="BC70" s="17"/>
      <c r="BD70" s="17"/>
      <c r="BE70" s="275"/>
      <c r="BF70" s="275"/>
      <c r="BG70" s="11"/>
      <c r="BH70" s="275">
        <f t="shared" si="184"/>
        <v>0</v>
      </c>
      <c r="BI70" s="275">
        <f t="shared" si="185"/>
        <v>0</v>
      </c>
      <c r="BJ70" s="91" t="e">
        <f t="shared" si="186"/>
        <v>#DIV/0!</v>
      </c>
      <c r="BK70" s="91" t="e">
        <f t="shared" si="187"/>
        <v>#DIV/0!</v>
      </c>
      <c r="BL70" s="91"/>
      <c r="BM70" s="91" t="e">
        <f t="shared" si="214"/>
        <v>#DIV/0!</v>
      </c>
      <c r="BN70" s="91" t="e">
        <f t="shared" si="215"/>
        <v>#DIV/0!</v>
      </c>
      <c r="BO70" s="11"/>
      <c r="BP70" s="88"/>
      <c r="BQ70" s="372"/>
      <c r="BR70" s="18" t="e">
        <f>AI70/AA70/7.2104</f>
        <v>#DIV/0!</v>
      </c>
      <c r="BS70" s="11">
        <f t="shared" si="188"/>
        <v>0</v>
      </c>
      <c r="BT70" s="514">
        <f t="shared" si="189"/>
        <v>0</v>
      </c>
      <c r="BU70" s="514" t="e">
        <f t="shared" si="190"/>
        <v>#DIV/0!</v>
      </c>
      <c r="BV70" s="501" t="e">
        <f t="shared" si="191"/>
        <v>#DIV/0!</v>
      </c>
      <c r="BW70" s="91"/>
      <c r="BX70" s="506"/>
      <c r="BY70" s="506"/>
      <c r="BZ70" s="508"/>
      <c r="CA70" s="372"/>
      <c r="CB70" s="61">
        <f>SUMPRODUCT(([179]НДПИ_расчет!$C$5:$N$5=$L70)*([179]НДПИ_расчет!$C$73:$N$73))</f>
        <v>0</v>
      </c>
      <c r="CC70" s="353">
        <f>SUMPRODUCT(('[180]Динамика NB'!$E$157:$P$157=$L70)*('[180]Динамика NB'!$E$169:$P$169))</f>
        <v>0</v>
      </c>
      <c r="CD70" s="353"/>
      <c r="CE70" s="353"/>
      <c r="CF70" s="353"/>
      <c r="CG70" s="353"/>
      <c r="CH70" s="28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8">
        <f t="shared" si="192"/>
        <v>0</v>
      </c>
      <c r="CJ70" s="28"/>
      <c r="CK70" s="28"/>
      <c r="CL70" s="41"/>
      <c r="CM70" s="131"/>
      <c r="CN70" s="16"/>
      <c r="CO70" s="28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41" t="e">
        <f t="shared" si="193"/>
        <v>#DIV/0!</v>
      </c>
      <c r="CQ70" s="287"/>
      <c r="CR70" s="14"/>
      <c r="CS70" s="91" t="e">
        <f t="shared" si="194"/>
        <v>#DIV/0!</v>
      </c>
      <c r="CT70" s="91">
        <f t="shared" si="195"/>
        <v>0</v>
      </c>
      <c r="CU70" s="91" t="e">
        <f t="shared" si="196"/>
        <v>#DIV/0!</v>
      </c>
      <c r="CV70" s="16" t="e">
        <f t="shared" si="197"/>
        <v>#DIV/0!</v>
      </c>
      <c r="CW70" s="16" t="e">
        <f t="shared" si="198"/>
        <v>#DIV/0!</v>
      </c>
      <c r="CX70" s="91" t="e">
        <f t="shared" si="216"/>
        <v>#DIV/0!</v>
      </c>
      <c r="CY70" s="287" t="e">
        <f t="shared" si="199"/>
        <v>#DIV/0!</v>
      </c>
      <c r="CZ70" s="305" t="e">
        <f t="shared" si="200"/>
        <v>#DIV/0!</v>
      </c>
      <c r="DA70" s="761" t="e">
        <f t="shared" si="201"/>
        <v>#DIV/0!</v>
      </c>
      <c r="DB70" s="771" t="e">
        <f t="shared" si="202"/>
        <v>#DIV/0!</v>
      </c>
      <c r="DC70" s="761"/>
      <c r="DD70" s="761" t="e">
        <f t="shared" si="203"/>
        <v>#DIV/0!</v>
      </c>
      <c r="DE70" s="761" t="e">
        <f t="shared" si="204"/>
        <v>#DIV/0!</v>
      </c>
      <c r="DF70" s="761"/>
      <c r="DG70" s="761">
        <f t="shared" si="205"/>
        <v>0</v>
      </c>
      <c r="DH70" s="761">
        <f t="shared" si="206"/>
        <v>0</v>
      </c>
      <c r="DI70" s="761">
        <f t="shared" si="207"/>
        <v>0</v>
      </c>
      <c r="DJ70" s="761">
        <f t="shared" si="208"/>
        <v>0</v>
      </c>
      <c r="DK70" s="761" t="e">
        <f t="shared" si="209"/>
        <v>#DIV/0!</v>
      </c>
      <c r="DL70" s="761" t="e">
        <f t="shared" si="210"/>
        <v>#DIV/0!</v>
      </c>
      <c r="DM70" s="633" t="e">
        <f t="shared" si="211"/>
        <v>#DIV/0!</v>
      </c>
    </row>
    <row r="71" spans="1:117" s="69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80" t="s">
        <v>392</v>
      </c>
      <c r="K71" s="61"/>
      <c r="L71" s="639"/>
      <c r="M71" s="284"/>
      <c r="N71" s="72"/>
      <c r="O71" s="91"/>
      <c r="P71" s="182"/>
      <c r="Q71" s="713">
        <f t="shared" si="169"/>
        <v>0</v>
      </c>
      <c r="R71" s="679">
        <f t="shared" si="170"/>
        <v>0</v>
      </c>
      <c r="S71" s="683"/>
      <c r="T71" s="717"/>
      <c r="U71" s="718"/>
      <c r="V71" s="718"/>
      <c r="W71" s="718"/>
      <c r="X71" s="91"/>
      <c r="Y71" s="172"/>
      <c r="Z71" s="176"/>
      <c r="AA71" s="458"/>
      <c r="AB71" s="18"/>
      <c r="AC71" s="11"/>
      <c r="AD71" s="11"/>
      <c r="AE71" s="11"/>
      <c r="AF71" s="11"/>
      <c r="AG71" s="75">
        <f t="shared" si="212"/>
        <v>0</v>
      </c>
      <c r="AH71" s="11"/>
      <c r="AI71" s="91"/>
      <c r="AJ71" s="91"/>
      <c r="AK71" s="280" t="e">
        <f t="shared" si="171"/>
        <v>#DIV/0!</v>
      </c>
      <c r="AL71" s="275" t="e">
        <f t="shared" si="172"/>
        <v>#DIV/0!</v>
      </c>
      <c r="AM71" s="275"/>
      <c r="AN71" s="275" t="e">
        <f t="shared" si="173"/>
        <v>#DIV/0!</v>
      </c>
      <c r="AO71" s="275" t="e">
        <f t="shared" si="174"/>
        <v>#DIV/0!</v>
      </c>
      <c r="AP71" s="278" t="e">
        <f t="shared" si="175"/>
        <v>#DIV/0!</v>
      </c>
      <c r="AQ71" s="90" t="e">
        <f t="shared" si="176"/>
        <v>#DIV/0!</v>
      </c>
      <c r="AR71" s="91">
        <f t="shared" si="177"/>
        <v>0</v>
      </c>
      <c r="AS71" s="287">
        <f t="shared" si="178"/>
        <v>0</v>
      </c>
      <c r="AT71" s="275" t="e">
        <f t="shared" si="179"/>
        <v>#DIV/0!</v>
      </c>
      <c r="AU71" s="275" t="e">
        <f t="shared" si="180"/>
        <v>#DIV/0!</v>
      </c>
      <c r="AV71" s="275"/>
      <c r="AW71" s="275" t="e">
        <f t="shared" si="181"/>
        <v>#DIV/0!</v>
      </c>
      <c r="AX71" s="275" t="e">
        <f t="shared" si="182"/>
        <v>#DIV/0!</v>
      </c>
      <c r="AY71" s="278" t="e">
        <f t="shared" si="183"/>
        <v>#DIV/0!</v>
      </c>
      <c r="AZ71" s="61"/>
      <c r="BA71" s="275"/>
      <c r="BB71" s="275">
        <f t="shared" si="213"/>
        <v>0</v>
      </c>
      <c r="BC71" s="17"/>
      <c r="BD71" s="17"/>
      <c r="BE71" s="275"/>
      <c r="BF71" s="275"/>
      <c r="BG71" s="11"/>
      <c r="BH71" s="275">
        <f t="shared" si="184"/>
        <v>0</v>
      </c>
      <c r="BI71" s="275">
        <f t="shared" si="185"/>
        <v>0</v>
      </c>
      <c r="BJ71" s="91" t="e">
        <f t="shared" si="186"/>
        <v>#DIV/0!</v>
      </c>
      <c r="BK71" s="91" t="e">
        <f t="shared" si="187"/>
        <v>#DIV/0!</v>
      </c>
      <c r="BL71" s="91"/>
      <c r="BM71" s="91" t="e">
        <f t="shared" si="214"/>
        <v>#DIV/0!</v>
      </c>
      <c r="BN71" s="91" t="e">
        <f t="shared" si="215"/>
        <v>#DIV/0!</v>
      </c>
      <c r="BO71" s="11"/>
      <c r="BP71" s="88"/>
      <c r="BQ71" s="372"/>
      <c r="BR71" s="18" t="e">
        <f>AI71/AA71/7.2144</f>
        <v>#DIV/0!</v>
      </c>
      <c r="BS71" s="11">
        <f t="shared" si="188"/>
        <v>0</v>
      </c>
      <c r="BT71" s="514">
        <f t="shared" si="189"/>
        <v>0</v>
      </c>
      <c r="BU71" s="514" t="e">
        <f t="shared" si="190"/>
        <v>#DIV/0!</v>
      </c>
      <c r="BV71" s="501" t="e">
        <f t="shared" si="191"/>
        <v>#DIV/0!</v>
      </c>
      <c r="BW71" s="91"/>
      <c r="BX71" s="506"/>
      <c r="BY71" s="506"/>
      <c r="BZ71" s="508"/>
      <c r="CA71" s="372"/>
      <c r="CB71" s="356">
        <f>SUMPRODUCT(([179]НДПИ_расчет!$C$5:$N$5=$L71)*([179]НДПИ_расчет!$C$73:$N$73))</f>
        <v>0</v>
      </c>
      <c r="CC71" s="353">
        <f>SUMPRODUCT(('[180]Динамика NB'!$E$157:$P$157=$L71)*('[180]Динамика NB'!$E$169:$P$169))</f>
        <v>0</v>
      </c>
      <c r="CD71" s="353"/>
      <c r="CE71" s="353"/>
      <c r="CF71" s="353"/>
      <c r="CG71" s="353"/>
      <c r="CH71" s="28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8">
        <f t="shared" si="192"/>
        <v>0</v>
      </c>
      <c r="CJ71" s="28"/>
      <c r="CK71" s="28"/>
      <c r="CL71" s="41"/>
      <c r="CM71" s="57"/>
      <c r="CN71" s="16"/>
      <c r="CO71" s="28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41" t="e">
        <f t="shared" si="193"/>
        <v>#DIV/0!</v>
      </c>
      <c r="CQ71" s="287"/>
      <c r="CR71" s="14"/>
      <c r="CS71" s="91" t="e">
        <f t="shared" si="194"/>
        <v>#DIV/0!</v>
      </c>
      <c r="CT71" s="91">
        <f t="shared" si="195"/>
        <v>0</v>
      </c>
      <c r="CU71" s="91" t="e">
        <f t="shared" si="196"/>
        <v>#DIV/0!</v>
      </c>
      <c r="CV71" s="16" t="e">
        <f t="shared" si="197"/>
        <v>#DIV/0!</v>
      </c>
      <c r="CW71" s="16" t="e">
        <f t="shared" si="198"/>
        <v>#DIV/0!</v>
      </c>
      <c r="CX71" s="91" t="e">
        <f t="shared" si="216"/>
        <v>#DIV/0!</v>
      </c>
      <c r="CY71" s="287" t="e">
        <f t="shared" si="199"/>
        <v>#DIV/0!</v>
      </c>
      <c r="CZ71" s="305" t="e">
        <f t="shared" si="200"/>
        <v>#DIV/0!</v>
      </c>
      <c r="DA71" s="761" t="e">
        <f t="shared" si="201"/>
        <v>#DIV/0!</v>
      </c>
      <c r="DB71" s="771" t="e">
        <f t="shared" si="202"/>
        <v>#DIV/0!</v>
      </c>
      <c r="DC71" s="761"/>
      <c r="DD71" s="761" t="e">
        <f t="shared" si="203"/>
        <v>#DIV/0!</v>
      </c>
      <c r="DE71" s="761" t="e">
        <f t="shared" si="204"/>
        <v>#DIV/0!</v>
      </c>
      <c r="DF71" s="761"/>
      <c r="DG71" s="761">
        <f t="shared" si="205"/>
        <v>0</v>
      </c>
      <c r="DH71" s="761">
        <f t="shared" si="206"/>
        <v>0</v>
      </c>
      <c r="DI71" s="761">
        <f t="shared" si="207"/>
        <v>0</v>
      </c>
      <c r="DJ71" s="761">
        <f t="shared" si="208"/>
        <v>0</v>
      </c>
      <c r="DK71" s="761" t="e">
        <f t="shared" si="209"/>
        <v>#DIV/0!</v>
      </c>
      <c r="DL71" s="761" t="e">
        <f t="shared" si="210"/>
        <v>#DIV/0!</v>
      </c>
      <c r="DM71" s="633" t="e">
        <f t="shared" si="211"/>
        <v>#DIV/0!</v>
      </c>
    </row>
    <row r="72" spans="1:117" s="69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80" t="s">
        <v>392</v>
      </c>
      <c r="K72" s="61"/>
      <c r="L72" s="639"/>
      <c r="M72" s="284"/>
      <c r="N72" s="72"/>
      <c r="O72" s="91"/>
      <c r="P72" s="182"/>
      <c r="Q72" s="713">
        <f t="shared" si="169"/>
        <v>0</v>
      </c>
      <c r="R72" s="679">
        <f t="shared" si="170"/>
        <v>0</v>
      </c>
      <c r="S72" s="683"/>
      <c r="T72" s="717"/>
      <c r="U72" s="718"/>
      <c r="V72" s="718"/>
      <c r="W72" s="718"/>
      <c r="X72" s="91"/>
      <c r="Y72" s="172"/>
      <c r="Z72" s="176"/>
      <c r="AA72" s="458"/>
      <c r="AB72" s="18"/>
      <c r="AC72" s="11"/>
      <c r="AD72" s="11"/>
      <c r="AE72" s="11"/>
      <c r="AF72" s="11"/>
      <c r="AG72" s="75">
        <f t="shared" si="212"/>
        <v>0</v>
      </c>
      <c r="AH72" s="11"/>
      <c r="AI72" s="91"/>
      <c r="AJ72" s="91"/>
      <c r="AK72" s="280" t="e">
        <f t="shared" si="171"/>
        <v>#DIV/0!</v>
      </c>
      <c r="AL72" s="275" t="e">
        <f t="shared" si="172"/>
        <v>#DIV/0!</v>
      </c>
      <c r="AM72" s="275"/>
      <c r="AN72" s="275" t="e">
        <f t="shared" si="173"/>
        <v>#DIV/0!</v>
      </c>
      <c r="AO72" s="275" t="e">
        <f t="shared" si="174"/>
        <v>#DIV/0!</v>
      </c>
      <c r="AP72" s="278" t="e">
        <f t="shared" si="175"/>
        <v>#DIV/0!</v>
      </c>
      <c r="AQ72" s="90" t="e">
        <f t="shared" si="176"/>
        <v>#DIV/0!</v>
      </c>
      <c r="AR72" s="91">
        <f t="shared" si="177"/>
        <v>0</v>
      </c>
      <c r="AS72" s="287">
        <f t="shared" si="178"/>
        <v>0</v>
      </c>
      <c r="AT72" s="275" t="e">
        <f t="shared" si="179"/>
        <v>#DIV/0!</v>
      </c>
      <c r="AU72" s="275" t="e">
        <f t="shared" si="180"/>
        <v>#DIV/0!</v>
      </c>
      <c r="AV72" s="275"/>
      <c r="AW72" s="275" t="e">
        <f t="shared" si="181"/>
        <v>#DIV/0!</v>
      </c>
      <c r="AX72" s="275" t="e">
        <f t="shared" si="182"/>
        <v>#DIV/0!</v>
      </c>
      <c r="AY72" s="278" t="e">
        <f t="shared" si="183"/>
        <v>#DIV/0!</v>
      </c>
      <c r="AZ72" s="61"/>
      <c r="BA72" s="275"/>
      <c r="BB72" s="275">
        <f t="shared" si="213"/>
        <v>0</v>
      </c>
      <c r="BC72" s="17"/>
      <c r="BD72" s="17"/>
      <c r="BE72" s="275"/>
      <c r="BF72" s="275"/>
      <c r="BG72" s="11"/>
      <c r="BH72" s="275">
        <f t="shared" si="184"/>
        <v>0</v>
      </c>
      <c r="BI72" s="275">
        <f t="shared" si="185"/>
        <v>0</v>
      </c>
      <c r="BJ72" s="91" t="e">
        <f t="shared" si="186"/>
        <v>#DIV/0!</v>
      </c>
      <c r="BK72" s="91" t="e">
        <f t="shared" si="187"/>
        <v>#DIV/0!</v>
      </c>
      <c r="BL72" s="91"/>
      <c r="BM72" s="91" t="e">
        <f t="shared" si="214"/>
        <v>#DIV/0!</v>
      </c>
      <c r="BN72" s="91" t="e">
        <f t="shared" si="215"/>
        <v>#DIV/0!</v>
      </c>
      <c r="BO72" s="11"/>
      <c r="BP72" s="88"/>
      <c r="BQ72" s="372"/>
      <c r="BR72" s="18" t="e">
        <f>AI72/AA72/7.2104</f>
        <v>#DIV/0!</v>
      </c>
      <c r="BS72" s="11">
        <f t="shared" si="188"/>
        <v>0</v>
      </c>
      <c r="BT72" s="514">
        <f t="shared" si="189"/>
        <v>0</v>
      </c>
      <c r="BU72" s="514" t="e">
        <f t="shared" si="190"/>
        <v>#DIV/0!</v>
      </c>
      <c r="BV72" s="501" t="e">
        <f t="shared" si="191"/>
        <v>#DIV/0!</v>
      </c>
      <c r="BW72" s="91"/>
      <c r="BX72" s="506"/>
      <c r="BY72" s="506"/>
      <c r="BZ72" s="508"/>
      <c r="CA72" s="372"/>
      <c r="CB72" s="356">
        <f>SUMPRODUCT(([179]НДПИ_расчет!$C$5:$N$5=$L72)*([179]НДПИ_расчет!$C$73:$N$73))</f>
        <v>0</v>
      </c>
      <c r="CC72" s="353">
        <f>SUMPRODUCT(('[180]Динамика NB'!$E$157:$P$157=$L72)*('[180]Динамика NB'!$E$169:$P$169))</f>
        <v>0</v>
      </c>
      <c r="CD72" s="353"/>
      <c r="CE72" s="353"/>
      <c r="CF72" s="353"/>
      <c r="CG72" s="353"/>
      <c r="CH72" s="28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8">
        <f t="shared" si="192"/>
        <v>0</v>
      </c>
      <c r="CJ72" s="28"/>
      <c r="CK72" s="28"/>
      <c r="CL72" s="41"/>
      <c r="CM72" s="57"/>
      <c r="CN72" s="16"/>
      <c r="CO72" s="28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41" t="e">
        <f t="shared" si="193"/>
        <v>#DIV/0!</v>
      </c>
      <c r="CQ72" s="287"/>
      <c r="CR72" s="14"/>
      <c r="CS72" s="91" t="e">
        <f t="shared" si="194"/>
        <v>#DIV/0!</v>
      </c>
      <c r="CT72" s="91">
        <f t="shared" si="195"/>
        <v>0</v>
      </c>
      <c r="CU72" s="91" t="e">
        <f t="shared" si="196"/>
        <v>#DIV/0!</v>
      </c>
      <c r="CV72" s="16" t="e">
        <f t="shared" si="197"/>
        <v>#DIV/0!</v>
      </c>
      <c r="CW72" s="16" t="e">
        <f t="shared" si="198"/>
        <v>#DIV/0!</v>
      </c>
      <c r="CX72" s="91" t="e">
        <f t="shared" si="216"/>
        <v>#DIV/0!</v>
      </c>
      <c r="CY72" s="287" t="e">
        <f t="shared" si="199"/>
        <v>#DIV/0!</v>
      </c>
      <c r="CZ72" s="305" t="e">
        <f t="shared" si="200"/>
        <v>#DIV/0!</v>
      </c>
      <c r="DA72" s="761" t="e">
        <f t="shared" si="201"/>
        <v>#DIV/0!</v>
      </c>
      <c r="DB72" s="771" t="e">
        <f t="shared" si="202"/>
        <v>#DIV/0!</v>
      </c>
      <c r="DC72" s="761"/>
      <c r="DD72" s="761" t="e">
        <f t="shared" si="203"/>
        <v>#DIV/0!</v>
      </c>
      <c r="DE72" s="761" t="e">
        <f t="shared" si="204"/>
        <v>#DIV/0!</v>
      </c>
      <c r="DF72" s="761"/>
      <c r="DG72" s="761">
        <f t="shared" si="205"/>
        <v>0</v>
      </c>
      <c r="DH72" s="761">
        <f t="shared" si="206"/>
        <v>0</v>
      </c>
      <c r="DI72" s="761">
        <f t="shared" si="207"/>
        <v>0</v>
      </c>
      <c r="DJ72" s="761">
        <f t="shared" si="208"/>
        <v>0</v>
      </c>
      <c r="DK72" s="761" t="e">
        <f t="shared" si="209"/>
        <v>#DIV/0!</v>
      </c>
      <c r="DL72" s="761" t="e">
        <f t="shared" si="210"/>
        <v>#DIV/0!</v>
      </c>
      <c r="DM72" s="633" t="e">
        <f t="shared" si="211"/>
        <v>#DIV/0!</v>
      </c>
    </row>
    <row r="73" spans="1:117" s="69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80" t="s">
        <v>392</v>
      </c>
      <c r="K73" s="61"/>
      <c r="L73" s="639"/>
      <c r="M73" s="284"/>
      <c r="N73" s="72"/>
      <c r="O73" s="91"/>
      <c r="P73" s="182"/>
      <c r="Q73" s="713">
        <f t="shared" si="169"/>
        <v>0</v>
      </c>
      <c r="R73" s="679">
        <f t="shared" si="170"/>
        <v>0</v>
      </c>
      <c r="S73" s="683"/>
      <c r="T73" s="717"/>
      <c r="U73" s="718"/>
      <c r="V73" s="718"/>
      <c r="W73" s="718"/>
      <c r="X73" s="91"/>
      <c r="Y73" s="172"/>
      <c r="Z73" s="176"/>
      <c r="AA73" s="458"/>
      <c r="AB73" s="18"/>
      <c r="AC73" s="11"/>
      <c r="AD73" s="11"/>
      <c r="AE73" s="11"/>
      <c r="AF73" s="11"/>
      <c r="AG73" s="75">
        <f t="shared" si="212"/>
        <v>0</v>
      </c>
      <c r="AH73" s="11"/>
      <c r="AI73" s="91"/>
      <c r="AJ73" s="91"/>
      <c r="AK73" s="280" t="e">
        <f t="shared" si="171"/>
        <v>#DIV/0!</v>
      </c>
      <c r="AL73" s="275" t="e">
        <f t="shared" si="172"/>
        <v>#DIV/0!</v>
      </c>
      <c r="AM73" s="275"/>
      <c r="AN73" s="275" t="e">
        <f t="shared" si="173"/>
        <v>#DIV/0!</v>
      </c>
      <c r="AO73" s="275" t="e">
        <f t="shared" si="174"/>
        <v>#DIV/0!</v>
      </c>
      <c r="AP73" s="278" t="e">
        <f t="shared" si="175"/>
        <v>#DIV/0!</v>
      </c>
      <c r="AQ73" s="90" t="e">
        <f t="shared" si="176"/>
        <v>#DIV/0!</v>
      </c>
      <c r="AR73" s="91">
        <f t="shared" si="177"/>
        <v>0</v>
      </c>
      <c r="AS73" s="287">
        <f t="shared" si="178"/>
        <v>0</v>
      </c>
      <c r="AT73" s="275" t="e">
        <f t="shared" si="179"/>
        <v>#DIV/0!</v>
      </c>
      <c r="AU73" s="275" t="e">
        <f t="shared" si="180"/>
        <v>#DIV/0!</v>
      </c>
      <c r="AV73" s="275"/>
      <c r="AW73" s="275" t="e">
        <f t="shared" si="181"/>
        <v>#DIV/0!</v>
      </c>
      <c r="AX73" s="275" t="e">
        <f t="shared" si="182"/>
        <v>#DIV/0!</v>
      </c>
      <c r="AY73" s="278" t="e">
        <f t="shared" si="183"/>
        <v>#DIV/0!</v>
      </c>
      <c r="AZ73" s="61"/>
      <c r="BA73" s="275"/>
      <c r="BB73" s="275">
        <f t="shared" si="213"/>
        <v>0</v>
      </c>
      <c r="BC73" s="17"/>
      <c r="BD73" s="17"/>
      <c r="BE73" s="275"/>
      <c r="BF73" s="275"/>
      <c r="BG73" s="11"/>
      <c r="BH73" s="275">
        <f t="shared" si="184"/>
        <v>0</v>
      </c>
      <c r="BI73" s="275">
        <f t="shared" si="185"/>
        <v>0</v>
      </c>
      <c r="BJ73" s="91" t="e">
        <f t="shared" si="186"/>
        <v>#DIV/0!</v>
      </c>
      <c r="BK73" s="91" t="e">
        <f t="shared" si="187"/>
        <v>#DIV/0!</v>
      </c>
      <c r="BL73" s="91"/>
      <c r="BM73" s="91" t="e">
        <f t="shared" si="214"/>
        <v>#DIV/0!</v>
      </c>
      <c r="BN73" s="91" t="e">
        <f t="shared" si="215"/>
        <v>#DIV/0!</v>
      </c>
      <c r="BO73" s="11"/>
      <c r="BP73" s="88"/>
      <c r="BQ73" s="372"/>
      <c r="BR73" s="18" t="e">
        <f>AI73/AA73/7.2088</f>
        <v>#DIV/0!</v>
      </c>
      <c r="BS73" s="11">
        <f t="shared" si="188"/>
        <v>0</v>
      </c>
      <c r="BT73" s="514">
        <f t="shared" si="189"/>
        <v>0</v>
      </c>
      <c r="BU73" s="514" t="e">
        <f t="shared" si="190"/>
        <v>#DIV/0!</v>
      </c>
      <c r="BV73" s="501" t="e">
        <f t="shared" si="191"/>
        <v>#DIV/0!</v>
      </c>
      <c r="BW73" s="91"/>
      <c r="BX73" s="506"/>
      <c r="BY73" s="506"/>
      <c r="BZ73" s="508"/>
      <c r="CA73" s="372"/>
      <c r="CB73" s="356">
        <f>SUMPRODUCT(([179]НДПИ_расчет!$C$5:$N$5=$L73)*([179]НДПИ_расчет!$C$73:$N$73))</f>
        <v>0</v>
      </c>
      <c r="CC73" s="353">
        <f>SUMPRODUCT(('[180]Динамика NB'!$E$157:$P$157=$L73)*('[180]Динамика NB'!$E$169:$P$169))</f>
        <v>0</v>
      </c>
      <c r="CD73" s="353"/>
      <c r="CE73" s="353"/>
      <c r="CF73" s="353"/>
      <c r="CG73" s="353"/>
      <c r="CH73" s="28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8">
        <f t="shared" si="192"/>
        <v>0</v>
      </c>
      <c r="CJ73" s="28"/>
      <c r="CK73" s="28"/>
      <c r="CL73" s="41"/>
      <c r="CM73" s="57"/>
      <c r="CN73" s="16"/>
      <c r="CO73" s="28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41" t="e">
        <f t="shared" si="193"/>
        <v>#DIV/0!</v>
      </c>
      <c r="CQ73" s="287"/>
      <c r="CR73" s="14"/>
      <c r="CS73" s="91" t="e">
        <f t="shared" si="194"/>
        <v>#DIV/0!</v>
      </c>
      <c r="CT73" s="91">
        <f t="shared" si="195"/>
        <v>0</v>
      </c>
      <c r="CU73" s="91" t="e">
        <f t="shared" si="196"/>
        <v>#DIV/0!</v>
      </c>
      <c r="CV73" s="16" t="e">
        <f t="shared" si="197"/>
        <v>#DIV/0!</v>
      </c>
      <c r="CW73" s="16" t="e">
        <f t="shared" si="198"/>
        <v>#DIV/0!</v>
      </c>
      <c r="CX73" s="91" t="e">
        <f t="shared" si="216"/>
        <v>#DIV/0!</v>
      </c>
      <c r="CY73" s="287" t="e">
        <f t="shared" si="199"/>
        <v>#DIV/0!</v>
      </c>
      <c r="CZ73" s="305" t="e">
        <f t="shared" si="200"/>
        <v>#DIV/0!</v>
      </c>
      <c r="DA73" s="761" t="e">
        <f t="shared" si="201"/>
        <v>#DIV/0!</v>
      </c>
      <c r="DB73" s="771" t="e">
        <f t="shared" si="202"/>
        <v>#DIV/0!</v>
      </c>
      <c r="DC73" s="761"/>
      <c r="DD73" s="761" t="e">
        <f t="shared" si="203"/>
        <v>#DIV/0!</v>
      </c>
      <c r="DE73" s="761" t="e">
        <f t="shared" si="204"/>
        <v>#DIV/0!</v>
      </c>
      <c r="DF73" s="761"/>
      <c r="DG73" s="761">
        <f t="shared" si="205"/>
        <v>0</v>
      </c>
      <c r="DH73" s="761">
        <f t="shared" si="206"/>
        <v>0</v>
      </c>
      <c r="DI73" s="761">
        <f t="shared" si="207"/>
        <v>0</v>
      </c>
      <c r="DJ73" s="761">
        <f t="shared" si="208"/>
        <v>0</v>
      </c>
      <c r="DK73" s="761" t="e">
        <f t="shared" si="209"/>
        <v>#DIV/0!</v>
      </c>
      <c r="DL73" s="761" t="e">
        <f t="shared" si="210"/>
        <v>#DIV/0!</v>
      </c>
      <c r="DM73" s="633" t="e">
        <f t="shared" si="211"/>
        <v>#DIV/0!</v>
      </c>
    </row>
    <row r="74" spans="1:117" s="69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80" t="s">
        <v>392</v>
      </c>
      <c r="K74" s="61"/>
      <c r="L74" s="639"/>
      <c r="M74" s="284"/>
      <c r="N74" s="72"/>
      <c r="O74" s="91"/>
      <c r="P74" s="182"/>
      <c r="Q74" s="713">
        <f t="shared" si="169"/>
        <v>0</v>
      </c>
      <c r="R74" s="679">
        <f t="shared" si="170"/>
        <v>0</v>
      </c>
      <c r="S74" s="719"/>
      <c r="T74" s="720"/>
      <c r="U74" s="720"/>
      <c r="V74" s="720"/>
      <c r="W74" s="720"/>
      <c r="X74" s="91"/>
      <c r="Y74" s="172"/>
      <c r="Z74" s="176"/>
      <c r="AA74" s="458"/>
      <c r="AB74" s="18"/>
      <c r="AC74" s="11"/>
      <c r="AD74" s="11"/>
      <c r="AE74" s="11"/>
      <c r="AF74" s="11"/>
      <c r="AG74" s="75">
        <f t="shared" si="212"/>
        <v>0</v>
      </c>
      <c r="AH74" s="11"/>
      <c r="AI74" s="91"/>
      <c r="AJ74" s="91"/>
      <c r="AK74" s="280" t="e">
        <f t="shared" si="171"/>
        <v>#DIV/0!</v>
      </c>
      <c r="AL74" s="275" t="e">
        <f t="shared" si="172"/>
        <v>#DIV/0!</v>
      </c>
      <c r="AM74" s="275"/>
      <c r="AN74" s="275" t="e">
        <f t="shared" si="173"/>
        <v>#DIV/0!</v>
      </c>
      <c r="AO74" s="275" t="e">
        <f t="shared" si="174"/>
        <v>#DIV/0!</v>
      </c>
      <c r="AP74" s="278" t="e">
        <f t="shared" si="175"/>
        <v>#DIV/0!</v>
      </c>
      <c r="AQ74" s="90" t="e">
        <f t="shared" si="176"/>
        <v>#DIV/0!</v>
      </c>
      <c r="AR74" s="91">
        <f t="shared" si="177"/>
        <v>0</v>
      </c>
      <c r="AS74" s="287">
        <f t="shared" si="178"/>
        <v>0</v>
      </c>
      <c r="AT74" s="275" t="e">
        <f t="shared" si="179"/>
        <v>#DIV/0!</v>
      </c>
      <c r="AU74" s="275" t="e">
        <f t="shared" si="180"/>
        <v>#DIV/0!</v>
      </c>
      <c r="AV74" s="275"/>
      <c r="AW74" s="275" t="e">
        <f t="shared" si="181"/>
        <v>#DIV/0!</v>
      </c>
      <c r="AX74" s="275" t="e">
        <f t="shared" si="182"/>
        <v>#DIV/0!</v>
      </c>
      <c r="AY74" s="278" t="e">
        <f t="shared" si="183"/>
        <v>#DIV/0!</v>
      </c>
      <c r="AZ74" s="61"/>
      <c r="BA74" s="275"/>
      <c r="BB74" s="275">
        <f t="shared" si="213"/>
        <v>0</v>
      </c>
      <c r="BC74" s="17"/>
      <c r="BD74" s="17"/>
      <c r="BE74" s="275"/>
      <c r="BF74" s="275"/>
      <c r="BG74" s="11"/>
      <c r="BH74" s="275">
        <f t="shared" si="184"/>
        <v>0</v>
      </c>
      <c r="BI74" s="275">
        <f t="shared" si="185"/>
        <v>0</v>
      </c>
      <c r="BJ74" s="91" t="e">
        <f t="shared" si="186"/>
        <v>#DIV/0!</v>
      </c>
      <c r="BK74" s="91" t="e">
        <f t="shared" si="187"/>
        <v>#DIV/0!</v>
      </c>
      <c r="BL74" s="91"/>
      <c r="BM74" s="91" t="e">
        <f t="shared" si="214"/>
        <v>#DIV/0!</v>
      </c>
      <c r="BN74" s="91" t="e">
        <f t="shared" si="215"/>
        <v>#DIV/0!</v>
      </c>
      <c r="BO74" s="11"/>
      <c r="BP74" s="88"/>
      <c r="BQ74" s="372"/>
      <c r="BR74" s="18" t="e">
        <f>AI74/AA74/7.208</f>
        <v>#DIV/0!</v>
      </c>
      <c r="BS74" s="11">
        <f t="shared" si="188"/>
        <v>0</v>
      </c>
      <c r="BT74" s="514">
        <f t="shared" si="189"/>
        <v>0</v>
      </c>
      <c r="BU74" s="514" t="e">
        <f t="shared" si="190"/>
        <v>#DIV/0!</v>
      </c>
      <c r="BV74" s="501" t="e">
        <f t="shared" si="191"/>
        <v>#DIV/0!</v>
      </c>
      <c r="BW74" s="91"/>
      <c r="BX74" s="506"/>
      <c r="BY74" s="506"/>
      <c r="BZ74" s="508"/>
      <c r="CA74" s="372"/>
      <c r="CB74" s="356">
        <f>SUMPRODUCT(([179]НДПИ_расчет!$C$5:$N$5=$L74)*([179]НДПИ_расчет!$C$73:$N$73))</f>
        <v>0</v>
      </c>
      <c r="CC74" s="353">
        <f>SUMPRODUCT(('[180]Динамика NB'!$E$157:$P$157=$L74)*('[180]Динамика NB'!$E$169:$P$169))</f>
        <v>0</v>
      </c>
      <c r="CD74" s="353"/>
      <c r="CE74" s="353"/>
      <c r="CF74" s="353"/>
      <c r="CG74" s="353"/>
      <c r="CH74" s="28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8">
        <f t="shared" si="192"/>
        <v>0</v>
      </c>
      <c r="CJ74" s="28"/>
      <c r="CK74" s="28"/>
      <c r="CL74" s="41"/>
      <c r="CM74" s="57"/>
      <c r="CN74" s="16"/>
      <c r="CO74" s="28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41" t="e">
        <f t="shared" si="193"/>
        <v>#DIV/0!</v>
      </c>
      <c r="CQ74" s="287"/>
      <c r="CR74" s="14"/>
      <c r="CS74" s="91" t="e">
        <f t="shared" si="194"/>
        <v>#DIV/0!</v>
      </c>
      <c r="CT74" s="91">
        <f t="shared" si="195"/>
        <v>0</v>
      </c>
      <c r="CU74" s="91" t="e">
        <f t="shared" si="196"/>
        <v>#DIV/0!</v>
      </c>
      <c r="CV74" s="16" t="e">
        <f t="shared" si="197"/>
        <v>#DIV/0!</v>
      </c>
      <c r="CW74" s="16" t="e">
        <f t="shared" si="198"/>
        <v>#DIV/0!</v>
      </c>
      <c r="CX74" s="91" t="e">
        <f t="shared" si="216"/>
        <v>#DIV/0!</v>
      </c>
      <c r="CY74" s="287" t="e">
        <f t="shared" si="199"/>
        <v>#DIV/0!</v>
      </c>
      <c r="CZ74" s="305" t="e">
        <f t="shared" si="200"/>
        <v>#DIV/0!</v>
      </c>
      <c r="DA74" s="761" t="e">
        <f t="shared" si="201"/>
        <v>#DIV/0!</v>
      </c>
      <c r="DB74" s="771" t="e">
        <f t="shared" si="202"/>
        <v>#DIV/0!</v>
      </c>
      <c r="DC74" s="761"/>
      <c r="DD74" s="761" t="e">
        <f t="shared" si="203"/>
        <v>#DIV/0!</v>
      </c>
      <c r="DE74" s="761" t="e">
        <f t="shared" si="204"/>
        <v>#DIV/0!</v>
      </c>
      <c r="DF74" s="761"/>
      <c r="DG74" s="761">
        <f t="shared" si="205"/>
        <v>0</v>
      </c>
      <c r="DH74" s="761">
        <f t="shared" si="206"/>
        <v>0</v>
      </c>
      <c r="DI74" s="761">
        <f t="shared" si="207"/>
        <v>0</v>
      </c>
      <c r="DJ74" s="761">
        <f t="shared" si="208"/>
        <v>0</v>
      </c>
      <c r="DK74" s="761" t="e">
        <f t="shared" si="209"/>
        <v>#DIV/0!</v>
      </c>
      <c r="DL74" s="761" t="e">
        <f t="shared" si="210"/>
        <v>#DIV/0!</v>
      </c>
      <c r="DM74" s="633" t="e">
        <f t="shared" si="211"/>
        <v>#DIV/0!</v>
      </c>
    </row>
    <row r="75" spans="1:117" s="69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80" t="s">
        <v>392</v>
      </c>
      <c r="K75" s="61"/>
      <c r="L75" s="639"/>
      <c r="M75" s="284"/>
      <c r="N75" s="72"/>
      <c r="O75" s="91"/>
      <c r="P75" s="182"/>
      <c r="Q75" s="713">
        <f t="shared" si="169"/>
        <v>0</v>
      </c>
      <c r="R75" s="679">
        <f t="shared" si="170"/>
        <v>0</v>
      </c>
      <c r="S75" s="719"/>
      <c r="T75" s="720"/>
      <c r="U75" s="720"/>
      <c r="V75" s="720"/>
      <c r="W75" s="720"/>
      <c r="X75" s="91"/>
      <c r="Y75" s="172"/>
      <c r="Z75" s="176"/>
      <c r="AA75" s="458"/>
      <c r="AB75" s="18"/>
      <c r="AC75" s="11"/>
      <c r="AD75" s="11"/>
      <c r="AE75" s="11"/>
      <c r="AF75" s="11"/>
      <c r="AG75" s="75">
        <f t="shared" si="212"/>
        <v>0</v>
      </c>
      <c r="AH75" s="11"/>
      <c r="AI75" s="91"/>
      <c r="AJ75" s="91"/>
      <c r="AK75" s="280" t="e">
        <f t="shared" si="171"/>
        <v>#DIV/0!</v>
      </c>
      <c r="AL75" s="91" t="e">
        <f t="shared" si="172"/>
        <v>#DIV/0!</v>
      </c>
      <c r="AM75" s="91"/>
      <c r="AN75" s="91" t="e">
        <f t="shared" si="173"/>
        <v>#DIV/0!</v>
      </c>
      <c r="AO75" s="91" t="e">
        <f t="shared" si="174"/>
        <v>#DIV/0!</v>
      </c>
      <c r="AP75" s="287" t="e">
        <f t="shared" si="175"/>
        <v>#DIV/0!</v>
      </c>
      <c r="AQ75" s="90" t="e">
        <f t="shared" si="176"/>
        <v>#DIV/0!</v>
      </c>
      <c r="AR75" s="91">
        <f t="shared" si="177"/>
        <v>0</v>
      </c>
      <c r="AS75" s="287">
        <f t="shared" si="178"/>
        <v>0</v>
      </c>
      <c r="AT75" s="275" t="e">
        <f t="shared" si="179"/>
        <v>#DIV/0!</v>
      </c>
      <c r="AU75" s="91" t="e">
        <f t="shared" si="180"/>
        <v>#DIV/0!</v>
      </c>
      <c r="AV75" s="91"/>
      <c r="AW75" s="91" t="e">
        <f t="shared" si="181"/>
        <v>#DIV/0!</v>
      </c>
      <c r="AX75" s="91" t="e">
        <f t="shared" si="182"/>
        <v>#DIV/0!</v>
      </c>
      <c r="AY75" s="287" t="e">
        <f t="shared" si="183"/>
        <v>#DIV/0!</v>
      </c>
      <c r="AZ75" s="61"/>
      <c r="BA75" s="91"/>
      <c r="BB75" s="91">
        <f t="shared" si="213"/>
        <v>0</v>
      </c>
      <c r="BC75" s="13"/>
      <c r="BD75" s="13"/>
      <c r="BE75" s="91"/>
      <c r="BF75" s="91"/>
      <c r="BG75" s="11"/>
      <c r="BH75" s="91">
        <f t="shared" si="184"/>
        <v>0</v>
      </c>
      <c r="BI75" s="91">
        <f t="shared" si="185"/>
        <v>0</v>
      </c>
      <c r="BJ75" s="91" t="e">
        <f t="shared" si="186"/>
        <v>#DIV/0!</v>
      </c>
      <c r="BK75" s="91" t="e">
        <f t="shared" si="187"/>
        <v>#DIV/0!</v>
      </c>
      <c r="BL75" s="91"/>
      <c r="BM75" s="91" t="e">
        <f t="shared" si="214"/>
        <v>#DIV/0!</v>
      </c>
      <c r="BN75" s="91" t="e">
        <f t="shared" si="215"/>
        <v>#DIV/0!</v>
      </c>
      <c r="BO75" s="11"/>
      <c r="BP75" s="88"/>
      <c r="BQ75" s="372"/>
      <c r="BR75" s="18" t="e">
        <f>AI75/AA75/7.2187</f>
        <v>#DIV/0!</v>
      </c>
      <c r="BS75" s="11">
        <f t="shared" si="188"/>
        <v>0</v>
      </c>
      <c r="BT75" s="514">
        <f t="shared" si="189"/>
        <v>0</v>
      </c>
      <c r="BU75" s="514" t="e">
        <f t="shared" si="190"/>
        <v>#DIV/0!</v>
      </c>
      <c r="BV75" s="501" t="e">
        <f t="shared" si="191"/>
        <v>#DIV/0!</v>
      </c>
      <c r="BW75" s="91"/>
      <c r="BX75" s="506"/>
      <c r="BY75" s="506"/>
      <c r="BZ75" s="508"/>
      <c r="CA75" s="372"/>
      <c r="CB75" s="356">
        <f>SUMPRODUCT(([179]НДПИ_расчет!$C$5:$N$5=$L75)*([179]НДПИ_расчет!$C$73:$N$73))</f>
        <v>0</v>
      </c>
      <c r="CC75" s="360">
        <f>SUMPRODUCT(('[180]Динамика NB'!$E$157:$P$157=$L75)*('[180]Динамика NB'!$E$169:$P$169))</f>
        <v>0</v>
      </c>
      <c r="CD75" s="360"/>
      <c r="CE75" s="360"/>
      <c r="CF75" s="360"/>
      <c r="CG75" s="360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92"/>
        <v>0</v>
      </c>
      <c r="CJ75" s="16"/>
      <c r="CK75" s="16"/>
      <c r="CL75" s="40"/>
      <c r="CM75" s="57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40" t="e">
        <f t="shared" si="193"/>
        <v>#DIV/0!</v>
      </c>
      <c r="CQ75" s="287"/>
      <c r="CR75" s="14"/>
      <c r="CS75" s="91" t="e">
        <f t="shared" si="194"/>
        <v>#DIV/0!</v>
      </c>
      <c r="CT75" s="91">
        <f t="shared" si="195"/>
        <v>0</v>
      </c>
      <c r="CU75" s="91" t="e">
        <f t="shared" si="196"/>
        <v>#DIV/0!</v>
      </c>
      <c r="CV75" s="16" t="e">
        <f t="shared" si="197"/>
        <v>#DIV/0!</v>
      </c>
      <c r="CW75" s="16" t="e">
        <f t="shared" si="198"/>
        <v>#DIV/0!</v>
      </c>
      <c r="CX75" s="91" t="e">
        <f t="shared" si="216"/>
        <v>#DIV/0!</v>
      </c>
      <c r="CY75" s="287" t="e">
        <f t="shared" si="199"/>
        <v>#DIV/0!</v>
      </c>
      <c r="CZ75" s="305" t="e">
        <f t="shared" si="200"/>
        <v>#DIV/0!</v>
      </c>
      <c r="DA75" s="761" t="e">
        <f t="shared" si="201"/>
        <v>#DIV/0!</v>
      </c>
      <c r="DB75" s="771" t="e">
        <f t="shared" si="202"/>
        <v>#DIV/0!</v>
      </c>
      <c r="DC75" s="761"/>
      <c r="DD75" s="761" t="e">
        <f t="shared" si="203"/>
        <v>#DIV/0!</v>
      </c>
      <c r="DE75" s="761" t="e">
        <f t="shared" si="204"/>
        <v>#DIV/0!</v>
      </c>
      <c r="DF75" s="761"/>
      <c r="DG75" s="761">
        <f t="shared" si="205"/>
        <v>0</v>
      </c>
      <c r="DH75" s="761">
        <f t="shared" si="206"/>
        <v>0</v>
      </c>
      <c r="DI75" s="761">
        <f t="shared" si="207"/>
        <v>0</v>
      </c>
      <c r="DJ75" s="761">
        <f t="shared" si="208"/>
        <v>0</v>
      </c>
      <c r="DK75" s="761" t="e">
        <f t="shared" si="209"/>
        <v>#DIV/0!</v>
      </c>
      <c r="DL75" s="761" t="e">
        <f t="shared" si="210"/>
        <v>#DIV/0!</v>
      </c>
      <c r="DM75" s="633" t="e">
        <f t="shared" si="211"/>
        <v>#DIV/0!</v>
      </c>
    </row>
    <row r="76" spans="1:117" s="69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80" t="s">
        <v>392</v>
      </c>
      <c r="K76" s="61"/>
      <c r="L76" s="639"/>
      <c r="M76" s="284"/>
      <c r="N76" s="72"/>
      <c r="O76" s="91"/>
      <c r="P76" s="182"/>
      <c r="Q76" s="713">
        <f t="shared" si="169"/>
        <v>0</v>
      </c>
      <c r="R76" s="679">
        <f t="shared" si="170"/>
        <v>0</v>
      </c>
      <c r="S76" s="719"/>
      <c r="T76" s="720"/>
      <c r="U76" s="720"/>
      <c r="V76" s="720"/>
      <c r="W76" s="720"/>
      <c r="X76" s="91"/>
      <c r="Y76" s="172"/>
      <c r="Z76" s="176"/>
      <c r="AA76" s="458"/>
      <c r="AB76" s="18"/>
      <c r="AC76" s="11"/>
      <c r="AD76" s="11"/>
      <c r="AE76" s="11"/>
      <c r="AF76" s="11"/>
      <c r="AG76" s="75">
        <f t="shared" si="212"/>
        <v>0</v>
      </c>
      <c r="AH76" s="11"/>
      <c r="AI76" s="91"/>
      <c r="AJ76" s="91"/>
      <c r="AK76" s="280" t="e">
        <f t="shared" si="171"/>
        <v>#DIV/0!</v>
      </c>
      <c r="AL76" s="91" t="e">
        <f t="shared" si="172"/>
        <v>#DIV/0!</v>
      </c>
      <c r="AM76" s="91"/>
      <c r="AN76" s="91" t="e">
        <f t="shared" si="173"/>
        <v>#DIV/0!</v>
      </c>
      <c r="AO76" s="91" t="e">
        <f t="shared" si="174"/>
        <v>#DIV/0!</v>
      </c>
      <c r="AP76" s="287" t="e">
        <f t="shared" si="175"/>
        <v>#DIV/0!</v>
      </c>
      <c r="AQ76" s="90" t="e">
        <f t="shared" si="176"/>
        <v>#DIV/0!</v>
      </c>
      <c r="AR76" s="91">
        <f t="shared" si="177"/>
        <v>0</v>
      </c>
      <c r="AS76" s="287">
        <f t="shared" si="178"/>
        <v>0</v>
      </c>
      <c r="AT76" s="275" t="e">
        <f t="shared" si="179"/>
        <v>#DIV/0!</v>
      </c>
      <c r="AU76" s="91" t="e">
        <f t="shared" si="180"/>
        <v>#DIV/0!</v>
      </c>
      <c r="AV76" s="91"/>
      <c r="AW76" s="91" t="e">
        <f t="shared" si="181"/>
        <v>#DIV/0!</v>
      </c>
      <c r="AX76" s="91" t="e">
        <f t="shared" si="182"/>
        <v>#DIV/0!</v>
      </c>
      <c r="AY76" s="287" t="e">
        <f t="shared" si="183"/>
        <v>#DIV/0!</v>
      </c>
      <c r="AZ76" s="61"/>
      <c r="BA76" s="91"/>
      <c r="BB76" s="91">
        <f t="shared" si="213"/>
        <v>0</v>
      </c>
      <c r="BC76" s="13"/>
      <c r="BD76" s="13"/>
      <c r="BE76" s="91"/>
      <c r="BF76" s="91"/>
      <c r="BG76" s="11"/>
      <c r="BH76" s="91">
        <f t="shared" si="184"/>
        <v>0</v>
      </c>
      <c r="BI76" s="91">
        <f t="shared" si="185"/>
        <v>0</v>
      </c>
      <c r="BJ76" s="91" t="e">
        <f t="shared" si="186"/>
        <v>#DIV/0!</v>
      </c>
      <c r="BK76" s="91" t="e">
        <f t="shared" si="187"/>
        <v>#DIV/0!</v>
      </c>
      <c r="BL76" s="91"/>
      <c r="BM76" s="91" t="e">
        <f t="shared" si="214"/>
        <v>#DIV/0!</v>
      </c>
      <c r="BN76" s="91" t="e">
        <f t="shared" si="215"/>
        <v>#DIV/0!</v>
      </c>
      <c r="BO76" s="11"/>
      <c r="BP76" s="88"/>
      <c r="BQ76" s="372"/>
      <c r="BR76" s="18" t="e">
        <f>AI76/AA76/7.2385</f>
        <v>#DIV/0!</v>
      </c>
      <c r="BS76" s="11">
        <f t="shared" si="188"/>
        <v>0</v>
      </c>
      <c r="BT76" s="514">
        <f t="shared" si="189"/>
        <v>0</v>
      </c>
      <c r="BU76" s="514" t="e">
        <f t="shared" si="190"/>
        <v>#DIV/0!</v>
      </c>
      <c r="BV76" s="501" t="e">
        <f t="shared" si="191"/>
        <v>#DIV/0!</v>
      </c>
      <c r="BW76" s="91"/>
      <c r="BX76" s="506"/>
      <c r="BY76" s="506"/>
      <c r="BZ76" s="508"/>
      <c r="CA76" s="372"/>
      <c r="CB76" s="356">
        <f>SUMPRODUCT(([179]НДПИ_расчет!$C$5:$N$5=$L76)*([179]НДПИ_расчет!$C$73:$N$73))</f>
        <v>0</v>
      </c>
      <c r="CC76" s="360">
        <f>SUMPRODUCT(('[180]Динамика NB'!$E$157:$P$157=$L76)*('[180]Динамика NB'!$E$169:$P$169))</f>
        <v>0</v>
      </c>
      <c r="CD76" s="360"/>
      <c r="CE76" s="360"/>
      <c r="CF76" s="360"/>
      <c r="CG76" s="360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92"/>
        <v>0</v>
      </c>
      <c r="CJ76" s="16"/>
      <c r="CK76" s="16"/>
      <c r="CL76" s="40"/>
      <c r="CM76" s="57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40" t="e">
        <f t="shared" si="193"/>
        <v>#DIV/0!</v>
      </c>
      <c r="CQ76" s="287"/>
      <c r="CR76" s="14"/>
      <c r="CS76" s="91" t="e">
        <f t="shared" si="194"/>
        <v>#DIV/0!</v>
      </c>
      <c r="CT76" s="91">
        <f t="shared" si="195"/>
        <v>0</v>
      </c>
      <c r="CU76" s="91" t="e">
        <f t="shared" si="196"/>
        <v>#DIV/0!</v>
      </c>
      <c r="CV76" s="16" t="e">
        <f t="shared" si="197"/>
        <v>#DIV/0!</v>
      </c>
      <c r="CW76" s="16" t="e">
        <f t="shared" si="198"/>
        <v>#DIV/0!</v>
      </c>
      <c r="CX76" s="91" t="e">
        <f t="shared" si="216"/>
        <v>#DIV/0!</v>
      </c>
      <c r="CY76" s="287" t="e">
        <f t="shared" si="199"/>
        <v>#DIV/0!</v>
      </c>
      <c r="CZ76" s="305" t="e">
        <f t="shared" si="200"/>
        <v>#DIV/0!</v>
      </c>
      <c r="DA76" s="761" t="e">
        <f t="shared" si="201"/>
        <v>#DIV/0!</v>
      </c>
      <c r="DB76" s="771" t="e">
        <f t="shared" si="202"/>
        <v>#DIV/0!</v>
      </c>
      <c r="DC76" s="761"/>
      <c r="DD76" s="761" t="e">
        <f t="shared" si="203"/>
        <v>#DIV/0!</v>
      </c>
      <c r="DE76" s="761" t="e">
        <f t="shared" si="204"/>
        <v>#DIV/0!</v>
      </c>
      <c r="DF76" s="761"/>
      <c r="DG76" s="761">
        <f t="shared" si="205"/>
        <v>0</v>
      </c>
      <c r="DH76" s="761">
        <f t="shared" si="206"/>
        <v>0</v>
      </c>
      <c r="DI76" s="761">
        <f t="shared" si="207"/>
        <v>0</v>
      </c>
      <c r="DJ76" s="761">
        <f t="shared" si="208"/>
        <v>0</v>
      </c>
      <c r="DK76" s="761" t="e">
        <f t="shared" si="209"/>
        <v>#DIV/0!</v>
      </c>
      <c r="DL76" s="761" t="e">
        <f t="shared" si="210"/>
        <v>#DIV/0!</v>
      </c>
      <c r="DM76" s="633" t="e">
        <f t="shared" si="211"/>
        <v>#DIV/0!</v>
      </c>
    </row>
    <row r="77" spans="1:117" s="69" customFormat="1" ht="15.95" customHeight="1" x14ac:dyDescent="0.25">
      <c r="A77" s="27"/>
      <c r="B77" s="488"/>
      <c r="C77" s="489"/>
      <c r="D77" s="489"/>
      <c r="E77" s="489"/>
      <c r="F77" s="489"/>
      <c r="G77" s="493"/>
      <c r="H77" s="27"/>
      <c r="I77" s="27"/>
      <c r="J77" s="80" t="s">
        <v>392</v>
      </c>
      <c r="K77" s="631"/>
      <c r="L77" s="634"/>
      <c r="M77" s="189"/>
      <c r="N77" s="22"/>
      <c r="O77" s="275"/>
      <c r="P77" s="183"/>
      <c r="Q77" s="714">
        <f t="shared" si="169"/>
        <v>0</v>
      </c>
      <c r="R77" s="679">
        <f t="shared" si="170"/>
        <v>0</v>
      </c>
      <c r="S77" s="677"/>
      <c r="T77" s="721"/>
      <c r="U77" s="721"/>
      <c r="V77" s="721"/>
      <c r="W77" s="721"/>
      <c r="X77" s="91"/>
      <c r="Y77" s="273"/>
      <c r="Z77" s="288"/>
      <c r="AA77" s="456"/>
      <c r="AB77" s="262"/>
      <c r="AC77" s="277"/>
      <c r="AD77" s="277"/>
      <c r="AE77" s="277"/>
      <c r="AF77" s="277"/>
      <c r="AG77" s="283">
        <f t="shared" si="212"/>
        <v>0</v>
      </c>
      <c r="AH77" s="629"/>
      <c r="AI77" s="275"/>
      <c r="AJ77" s="275"/>
      <c r="AK77" s="61" t="e">
        <f t="shared" si="171"/>
        <v>#DIV/0!</v>
      </c>
      <c r="AL77" s="91" t="e">
        <f t="shared" si="172"/>
        <v>#DIV/0!</v>
      </c>
      <c r="AM77" s="91"/>
      <c r="AN77" s="91" t="e">
        <f t="shared" si="173"/>
        <v>#DIV/0!</v>
      </c>
      <c r="AO77" s="91" t="e">
        <f t="shared" si="174"/>
        <v>#DIV/0!</v>
      </c>
      <c r="AP77" s="287" t="e">
        <f t="shared" si="175"/>
        <v>#DIV/0!</v>
      </c>
      <c r="AQ77" s="86" t="e">
        <f t="shared" si="176"/>
        <v>#DIV/0!</v>
      </c>
      <c r="AR77" s="275">
        <f t="shared" si="177"/>
        <v>0</v>
      </c>
      <c r="AS77" s="278">
        <f>AR77-AJ77</f>
        <v>0</v>
      </c>
      <c r="AT77" s="91" t="e">
        <f t="shared" si="179"/>
        <v>#DIV/0!</v>
      </c>
      <c r="AU77" s="91" t="e">
        <f t="shared" si="180"/>
        <v>#DIV/0!</v>
      </c>
      <c r="AV77" s="91"/>
      <c r="AW77" s="91" t="e">
        <f t="shared" si="181"/>
        <v>#DIV/0!</v>
      </c>
      <c r="AX77" s="91" t="e">
        <f t="shared" si="182"/>
        <v>#DIV/0!</v>
      </c>
      <c r="AY77" s="287" t="e">
        <f t="shared" si="183"/>
        <v>#DIV/0!</v>
      </c>
      <c r="AZ77" s="280"/>
      <c r="BA77" s="275"/>
      <c r="BB77" s="275">
        <f t="shared" si="213"/>
        <v>0</v>
      </c>
      <c r="BC77" s="13"/>
      <c r="BD77" s="13"/>
      <c r="BE77" s="91"/>
      <c r="BF77" s="91"/>
      <c r="BG77" s="277"/>
      <c r="BH77" s="275">
        <f t="shared" si="184"/>
        <v>0</v>
      </c>
      <c r="BI77" s="275">
        <f t="shared" si="185"/>
        <v>0</v>
      </c>
      <c r="BJ77" s="275" t="e">
        <f t="shared" si="186"/>
        <v>#DIV/0!</v>
      </c>
      <c r="BK77" s="275" t="e">
        <f t="shared" si="187"/>
        <v>#DIV/0!</v>
      </c>
      <c r="BL77" s="275"/>
      <c r="BM77" s="275" t="e">
        <f t="shared" si="214"/>
        <v>#DIV/0!</v>
      </c>
      <c r="BN77" s="275" t="e">
        <f t="shared" si="215"/>
        <v>#DIV/0!</v>
      </c>
      <c r="BO77" s="277"/>
      <c r="BP77" s="78"/>
      <c r="BQ77" s="372"/>
      <c r="BR77" s="488" t="e">
        <f>AI77/AA77/7.2187</f>
        <v>#DIV/0!</v>
      </c>
      <c r="BS77" s="11">
        <f t="shared" si="188"/>
        <v>0</v>
      </c>
      <c r="BT77" s="515">
        <f t="shared" si="189"/>
        <v>0</v>
      </c>
      <c r="BU77" s="515" t="e">
        <f t="shared" si="190"/>
        <v>#DIV/0!</v>
      </c>
      <c r="BV77" s="494" t="e">
        <f t="shared" si="191"/>
        <v>#DIV/0!</v>
      </c>
      <c r="BW77" s="275"/>
      <c r="BX77" s="505"/>
      <c r="BY77" s="505"/>
      <c r="BZ77" s="504"/>
      <c r="CA77" s="372"/>
      <c r="CB77" s="61">
        <f>SUMPRODUCT(([179]НДПИ_расчет!$C$5:$N$5=$L77)*([179]НДПИ_расчет!$C$73:$N$73))</f>
        <v>0</v>
      </c>
      <c r="CC77" s="360">
        <f>SUMPRODUCT(('[180]Динамика NB'!$E$157:$P$157=$L77)*('[180]Динамика NB'!$E$169:$P$169))</f>
        <v>0</v>
      </c>
      <c r="CD77" s="360"/>
      <c r="CE77" s="360"/>
      <c r="CF77" s="360"/>
      <c r="CG77" s="360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92"/>
        <v>0</v>
      </c>
      <c r="CJ77" s="16"/>
      <c r="CK77" s="16"/>
      <c r="CL77" s="40"/>
      <c r="CM77" s="131"/>
      <c r="CN77" s="28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40" t="e">
        <f t="shared" si="193"/>
        <v>#DIV/0!</v>
      </c>
      <c r="CQ77" s="278"/>
      <c r="CR77" s="282"/>
      <c r="CS77" s="275" t="e">
        <f t="shared" si="194"/>
        <v>#DIV/0!</v>
      </c>
      <c r="CT77" s="275">
        <f t="shared" si="195"/>
        <v>0</v>
      </c>
      <c r="CU77" s="275" t="e">
        <f t="shared" si="196"/>
        <v>#DIV/0!</v>
      </c>
      <c r="CV77" s="551" t="e">
        <f t="shared" si="197"/>
        <v>#DIV/0!</v>
      </c>
      <c r="CW77" s="551" t="e">
        <f t="shared" si="198"/>
        <v>#DIV/0!</v>
      </c>
      <c r="CX77" s="275" t="e">
        <f t="shared" si="216"/>
        <v>#DIV/0!</v>
      </c>
      <c r="CY77" s="278" t="e">
        <f t="shared" si="199"/>
        <v>#DIV/0!</v>
      </c>
      <c r="CZ77" s="305" t="e">
        <f t="shared" si="200"/>
        <v>#DIV/0!</v>
      </c>
      <c r="DA77" s="761" t="e">
        <f t="shared" si="201"/>
        <v>#DIV/0!</v>
      </c>
      <c r="DB77" s="771" t="e">
        <f t="shared" si="202"/>
        <v>#DIV/0!</v>
      </c>
      <c r="DC77" s="761"/>
      <c r="DD77" s="761" t="e">
        <f t="shared" si="203"/>
        <v>#DIV/0!</v>
      </c>
      <c r="DE77" s="761" t="e">
        <f t="shared" si="204"/>
        <v>#DIV/0!</v>
      </c>
      <c r="DF77" s="761"/>
      <c r="DG77" s="761">
        <f t="shared" si="205"/>
        <v>0</v>
      </c>
      <c r="DH77" s="761">
        <f t="shared" si="206"/>
        <v>0</v>
      </c>
      <c r="DI77" s="761">
        <f t="shared" si="207"/>
        <v>0</v>
      </c>
      <c r="DJ77" s="761">
        <f t="shared" si="208"/>
        <v>0</v>
      </c>
      <c r="DK77" s="761" t="e">
        <f t="shared" si="209"/>
        <v>#DIV/0!</v>
      </c>
      <c r="DL77" s="761" t="e">
        <f t="shared" si="210"/>
        <v>#DIV/0!</v>
      </c>
      <c r="DM77" s="633" t="e">
        <f t="shared" si="211"/>
        <v>#DIV/0!</v>
      </c>
    </row>
    <row r="78" spans="1:117" s="69" customFormat="1" ht="15.95" customHeight="1" x14ac:dyDescent="0.25">
      <c r="A78" s="27"/>
      <c r="B78" s="488"/>
      <c r="C78" s="489"/>
      <c r="D78" s="489"/>
      <c r="E78" s="489"/>
      <c r="F78" s="489"/>
      <c r="G78" s="493"/>
      <c r="H78" s="27"/>
      <c r="I78" s="27"/>
      <c r="J78" s="80" t="s">
        <v>392</v>
      </c>
      <c r="K78" s="631"/>
      <c r="L78" s="634"/>
      <c r="M78" s="189"/>
      <c r="N78" s="22"/>
      <c r="O78" s="275"/>
      <c r="P78" s="183"/>
      <c r="Q78" s="714">
        <f t="shared" si="169"/>
        <v>0</v>
      </c>
      <c r="R78" s="679">
        <f t="shared" si="170"/>
        <v>0</v>
      </c>
      <c r="S78" s="677"/>
      <c r="T78" s="721"/>
      <c r="U78" s="721"/>
      <c r="V78" s="721"/>
      <c r="W78" s="721"/>
      <c r="X78" s="275"/>
      <c r="Y78" s="273"/>
      <c r="Z78" s="288"/>
      <c r="AA78" s="456"/>
      <c r="AB78" s="262"/>
      <c r="AC78" s="277"/>
      <c r="AD78" s="277"/>
      <c r="AE78" s="277"/>
      <c r="AF78" s="277"/>
      <c r="AG78" s="283">
        <f t="shared" si="212"/>
        <v>0</v>
      </c>
      <c r="AH78" s="629"/>
      <c r="AI78" s="275"/>
      <c r="AJ78" s="275"/>
      <c r="AK78" s="61" t="e">
        <f t="shared" si="171"/>
        <v>#DIV/0!</v>
      </c>
      <c r="AL78" s="91" t="e">
        <f t="shared" si="172"/>
        <v>#DIV/0!</v>
      </c>
      <c r="AM78" s="91"/>
      <c r="AN78" s="91" t="e">
        <f t="shared" si="173"/>
        <v>#DIV/0!</v>
      </c>
      <c r="AO78" s="91" t="e">
        <f t="shared" si="174"/>
        <v>#DIV/0!</v>
      </c>
      <c r="AP78" s="287" t="e">
        <f t="shared" si="175"/>
        <v>#DIV/0!</v>
      </c>
      <c r="AQ78" s="86" t="e">
        <f t="shared" si="176"/>
        <v>#DIV/0!</v>
      </c>
      <c r="AR78" s="275">
        <f t="shared" si="177"/>
        <v>0</v>
      </c>
      <c r="AS78" s="278">
        <f t="shared" si="178"/>
        <v>0</v>
      </c>
      <c r="AT78" s="91" t="e">
        <f t="shared" si="179"/>
        <v>#DIV/0!</v>
      </c>
      <c r="AU78" s="91" t="e">
        <f t="shared" si="180"/>
        <v>#DIV/0!</v>
      </c>
      <c r="AV78" s="91"/>
      <c r="AW78" s="91" t="e">
        <f t="shared" si="181"/>
        <v>#DIV/0!</v>
      </c>
      <c r="AX78" s="91" t="e">
        <f t="shared" si="182"/>
        <v>#DIV/0!</v>
      </c>
      <c r="AY78" s="287" t="e">
        <f t="shared" si="183"/>
        <v>#DIV/0!</v>
      </c>
      <c r="AZ78" s="280"/>
      <c r="BA78" s="275"/>
      <c r="BB78" s="275">
        <f t="shared" si="213"/>
        <v>0</v>
      </c>
      <c r="BC78" s="13"/>
      <c r="BD78" s="13"/>
      <c r="BE78" s="91"/>
      <c r="BF78" s="91"/>
      <c r="BG78" s="277"/>
      <c r="BH78" s="275">
        <f t="shared" si="184"/>
        <v>0</v>
      </c>
      <c r="BI78" s="275">
        <f t="shared" si="185"/>
        <v>0</v>
      </c>
      <c r="BJ78" s="275" t="e">
        <f t="shared" si="186"/>
        <v>#DIV/0!</v>
      </c>
      <c r="BK78" s="275" t="e">
        <f t="shared" si="187"/>
        <v>#DIV/0!</v>
      </c>
      <c r="BL78" s="275"/>
      <c r="BM78" s="275" t="e">
        <f t="shared" si="214"/>
        <v>#DIV/0!</v>
      </c>
      <c r="BN78" s="275" t="e">
        <f t="shared" si="215"/>
        <v>#DIV/0!</v>
      </c>
      <c r="BO78" s="277"/>
      <c r="BP78" s="78"/>
      <c r="BQ78" s="372"/>
      <c r="BR78" s="488" t="e">
        <f>AI78/AA78/7.2178</f>
        <v>#DIV/0!</v>
      </c>
      <c r="BS78" s="489">
        <f t="shared" si="188"/>
        <v>0</v>
      </c>
      <c r="BT78" s="515">
        <f t="shared" si="189"/>
        <v>0</v>
      </c>
      <c r="BU78" s="515" t="e">
        <f t="shared" si="190"/>
        <v>#DIV/0!</v>
      </c>
      <c r="BV78" s="494" t="e">
        <f t="shared" si="191"/>
        <v>#DIV/0!</v>
      </c>
      <c r="BW78" s="275"/>
      <c r="BX78" s="505"/>
      <c r="BY78" s="505"/>
      <c r="BZ78" s="504"/>
      <c r="CA78" s="372"/>
      <c r="CB78" s="61">
        <f>SUMPRODUCT(([179]НДПИ_расчет!$C$5:$N$5=$L78)*([179]НДПИ_расчет!$C$73:$N$73))</f>
        <v>0</v>
      </c>
      <c r="CC78" s="360">
        <f>SUMPRODUCT(('[180]Динамика NB'!$E$157:$P$157=$L78)*('[180]Динамика NB'!$E$169:$P$169))</f>
        <v>0</v>
      </c>
      <c r="CD78" s="360"/>
      <c r="CE78" s="360"/>
      <c r="CF78" s="360"/>
      <c r="CG78" s="360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92"/>
        <v>0</v>
      </c>
      <c r="CJ78" s="16"/>
      <c r="CK78" s="16"/>
      <c r="CL78" s="40"/>
      <c r="CM78" s="131"/>
      <c r="CN78" s="28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40" t="e">
        <f t="shared" si="193"/>
        <v>#DIV/0!</v>
      </c>
      <c r="CQ78" s="278"/>
      <c r="CR78" s="282"/>
      <c r="CS78" s="275" t="e">
        <f t="shared" si="194"/>
        <v>#DIV/0!</v>
      </c>
      <c r="CT78" s="275">
        <f t="shared" si="195"/>
        <v>0</v>
      </c>
      <c r="CU78" s="275" t="e">
        <f t="shared" si="196"/>
        <v>#DIV/0!</v>
      </c>
      <c r="CV78" s="551" t="e">
        <f t="shared" si="197"/>
        <v>#DIV/0!</v>
      </c>
      <c r="CW78" s="551" t="e">
        <f t="shared" si="198"/>
        <v>#DIV/0!</v>
      </c>
      <c r="CX78" s="275" t="e">
        <f t="shared" si="216"/>
        <v>#DIV/0!</v>
      </c>
      <c r="CY78" s="278" t="e">
        <f t="shared" si="199"/>
        <v>#DIV/0!</v>
      </c>
      <c r="CZ78" s="310" t="e">
        <f t="shared" si="200"/>
        <v>#DIV/0!</v>
      </c>
      <c r="DA78" s="761" t="e">
        <f t="shared" si="201"/>
        <v>#DIV/0!</v>
      </c>
      <c r="DB78" s="771" t="e">
        <f t="shared" si="202"/>
        <v>#DIV/0!</v>
      </c>
      <c r="DC78" s="761"/>
      <c r="DD78" s="761" t="e">
        <f t="shared" si="203"/>
        <v>#DIV/0!</v>
      </c>
      <c r="DE78" s="761" t="e">
        <f t="shared" si="204"/>
        <v>#DIV/0!</v>
      </c>
      <c r="DF78" s="761"/>
      <c r="DG78" s="761">
        <f t="shared" si="205"/>
        <v>0</v>
      </c>
      <c r="DH78" s="761">
        <f t="shared" si="206"/>
        <v>0</v>
      </c>
      <c r="DI78" s="761">
        <f t="shared" si="207"/>
        <v>0</v>
      </c>
      <c r="DJ78" s="761">
        <f t="shared" si="208"/>
        <v>0</v>
      </c>
      <c r="DK78" s="761" t="e">
        <f t="shared" si="209"/>
        <v>#DIV/0!</v>
      </c>
      <c r="DL78" s="761" t="e">
        <f t="shared" si="210"/>
        <v>#DIV/0!</v>
      </c>
      <c r="DM78" s="633" t="e">
        <f t="shared" si="211"/>
        <v>#DIV/0!</v>
      </c>
    </row>
    <row r="79" spans="1:117" s="69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7"/>
      <c r="J79" s="80" t="s">
        <v>393</v>
      </c>
      <c r="K79" s="631"/>
      <c r="L79" s="639"/>
      <c r="M79" s="284"/>
      <c r="N79" s="72"/>
      <c r="O79" s="91"/>
      <c r="P79" s="182"/>
      <c r="Q79" s="714">
        <f t="shared" si="169"/>
        <v>0</v>
      </c>
      <c r="R79" s="679">
        <f t="shared" si="170"/>
        <v>0</v>
      </c>
      <c r="S79" s="677"/>
      <c r="T79" s="721"/>
      <c r="U79" s="721"/>
      <c r="V79" s="721"/>
      <c r="W79" s="721"/>
      <c r="X79" s="275"/>
      <c r="Y79" s="172"/>
      <c r="Z79" s="176"/>
      <c r="AA79" s="458"/>
      <c r="AB79" s="18"/>
      <c r="AC79" s="11"/>
      <c r="AD79" s="11"/>
      <c r="AE79" s="11"/>
      <c r="AF79" s="11"/>
      <c r="AG79" s="75">
        <f t="shared" si="212"/>
        <v>0</v>
      </c>
      <c r="AH79" s="11"/>
      <c r="AI79" s="91"/>
      <c r="AJ79" s="275"/>
      <c r="AK79" s="280" t="e">
        <f t="shared" si="171"/>
        <v>#DIV/0!</v>
      </c>
      <c r="AL79" s="275" t="e">
        <f t="shared" si="172"/>
        <v>#DIV/0!</v>
      </c>
      <c r="AM79" s="275"/>
      <c r="AN79" s="275" t="e">
        <f t="shared" si="173"/>
        <v>#DIV/0!</v>
      </c>
      <c r="AO79" s="275" t="e">
        <f t="shared" si="174"/>
        <v>#DIV/0!</v>
      </c>
      <c r="AP79" s="278" t="e">
        <f t="shared" si="175"/>
        <v>#DIV/0!</v>
      </c>
      <c r="AQ79" s="90" t="e">
        <f t="shared" si="176"/>
        <v>#DIV/0!</v>
      </c>
      <c r="AR79" s="275">
        <f t="shared" si="177"/>
        <v>0</v>
      </c>
      <c r="AS79" s="278">
        <f t="shared" si="178"/>
        <v>0</v>
      </c>
      <c r="AT79" s="275" t="e">
        <f t="shared" si="179"/>
        <v>#DIV/0!</v>
      </c>
      <c r="AU79" s="275" t="e">
        <f t="shared" si="180"/>
        <v>#DIV/0!</v>
      </c>
      <c r="AV79" s="275"/>
      <c r="AW79" s="275" t="e">
        <f t="shared" si="181"/>
        <v>#DIV/0!</v>
      </c>
      <c r="AX79" s="275" t="e">
        <f t="shared" si="182"/>
        <v>#DIV/0!</v>
      </c>
      <c r="AY79" s="278" t="e">
        <f t="shared" si="183"/>
        <v>#DIV/0!</v>
      </c>
      <c r="AZ79" s="61"/>
      <c r="BA79" s="275"/>
      <c r="BB79" s="275">
        <f t="shared" si="213"/>
        <v>0</v>
      </c>
      <c r="BC79" s="17"/>
      <c r="BD79" s="17"/>
      <c r="BE79" s="275"/>
      <c r="BF79" s="275"/>
      <c r="BG79" s="11"/>
      <c r="BH79" s="275">
        <f t="shared" si="184"/>
        <v>0</v>
      </c>
      <c r="BI79" s="275">
        <f t="shared" si="185"/>
        <v>0</v>
      </c>
      <c r="BJ79" s="275" t="e">
        <f t="shared" si="186"/>
        <v>#DIV/0!</v>
      </c>
      <c r="BK79" s="275" t="e">
        <f t="shared" si="187"/>
        <v>#DIV/0!</v>
      </c>
      <c r="BL79" s="91"/>
      <c r="BM79" s="275" t="e">
        <f t="shared" si="214"/>
        <v>#DIV/0!</v>
      </c>
      <c r="BN79" s="275" t="e">
        <f t="shared" si="215"/>
        <v>#DIV/0!</v>
      </c>
      <c r="BO79" s="11"/>
      <c r="BP79" s="78"/>
      <c r="BQ79" s="372"/>
      <c r="BR79" s="488" t="e">
        <f>AI79/AA79/7.2152</f>
        <v>#DIV/0!</v>
      </c>
      <c r="BS79" s="489">
        <f t="shared" si="188"/>
        <v>0</v>
      </c>
      <c r="BT79" s="515">
        <f t="shared" si="189"/>
        <v>0</v>
      </c>
      <c r="BU79" s="515" t="e">
        <f t="shared" si="190"/>
        <v>#DIV/0!</v>
      </c>
      <c r="BV79" s="494" t="e">
        <f t="shared" si="191"/>
        <v>#DIV/0!</v>
      </c>
      <c r="BW79" s="91"/>
      <c r="BX79" s="506"/>
      <c r="BY79" s="506"/>
      <c r="BZ79" s="508"/>
      <c r="CA79" s="372"/>
      <c r="CB79" s="356">
        <f>SUMPRODUCT(([179]НДПИ_расчет!$C$5:$N$5=$L79)*([179]НДПИ_расчет!$C$73:$N$73))</f>
        <v>0</v>
      </c>
      <c r="CC79" s="353">
        <f>SUMPRODUCT(('[180]Динамика NB'!$E$157:$P$157=$L79)*('[180]Динамика NB'!$E$169:$P$169))</f>
        <v>0</v>
      </c>
      <c r="CD79" s="353"/>
      <c r="CE79" s="353"/>
      <c r="CF79" s="353"/>
      <c r="CG79" s="353"/>
      <c r="CH79" s="28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8">
        <f t="shared" si="192"/>
        <v>0</v>
      </c>
      <c r="CJ79" s="28"/>
      <c r="CK79" s="28"/>
      <c r="CL79" s="41"/>
      <c r="CM79" s="57"/>
      <c r="CN79" s="16"/>
      <c r="CO79" s="28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41" t="e">
        <f t="shared" si="193"/>
        <v>#DIV/0!</v>
      </c>
      <c r="CQ79" s="287"/>
      <c r="CR79" s="14"/>
      <c r="CS79" s="275" t="e">
        <f t="shared" si="194"/>
        <v>#DIV/0!</v>
      </c>
      <c r="CT79" s="275">
        <f t="shared" si="195"/>
        <v>0</v>
      </c>
      <c r="CU79" s="275" t="e">
        <f t="shared" si="196"/>
        <v>#DIV/0!</v>
      </c>
      <c r="CV79" s="551" t="e">
        <f t="shared" si="197"/>
        <v>#DIV/0!</v>
      </c>
      <c r="CW79" s="551" t="e">
        <f t="shared" si="198"/>
        <v>#DIV/0!</v>
      </c>
      <c r="CX79" s="275" t="e">
        <f t="shared" si="216"/>
        <v>#DIV/0!</v>
      </c>
      <c r="CY79" s="278" t="e">
        <f t="shared" si="199"/>
        <v>#DIV/0!</v>
      </c>
      <c r="CZ79" s="310" t="e">
        <f t="shared" si="200"/>
        <v>#DIV/0!</v>
      </c>
      <c r="DA79" s="761" t="e">
        <f t="shared" si="201"/>
        <v>#DIV/0!</v>
      </c>
      <c r="DB79" s="771" t="e">
        <f t="shared" si="202"/>
        <v>#DIV/0!</v>
      </c>
      <c r="DC79" s="761"/>
      <c r="DD79" s="761" t="e">
        <f t="shared" si="203"/>
        <v>#DIV/0!</v>
      </c>
      <c r="DE79" s="761" t="e">
        <f t="shared" si="204"/>
        <v>#DIV/0!</v>
      </c>
      <c r="DF79" s="761"/>
      <c r="DG79" s="761">
        <f t="shared" si="205"/>
        <v>0</v>
      </c>
      <c r="DH79" s="761">
        <f t="shared" si="206"/>
        <v>0</v>
      </c>
      <c r="DI79" s="761">
        <f t="shared" si="207"/>
        <v>0</v>
      </c>
      <c r="DJ79" s="761">
        <f t="shared" si="208"/>
        <v>0</v>
      </c>
      <c r="DK79" s="761" t="e">
        <f t="shared" si="209"/>
        <v>#DIV/0!</v>
      </c>
      <c r="DL79" s="761" t="e">
        <f t="shared" si="210"/>
        <v>#DIV/0!</v>
      </c>
      <c r="DM79" s="633" t="e">
        <f t="shared" si="211"/>
        <v>#DIV/0!</v>
      </c>
    </row>
    <row r="80" spans="1:117" s="69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7"/>
      <c r="J80" s="80" t="s">
        <v>393</v>
      </c>
      <c r="K80" s="631"/>
      <c r="L80" s="639"/>
      <c r="M80" s="284"/>
      <c r="N80" s="72"/>
      <c r="O80" s="91"/>
      <c r="P80" s="182"/>
      <c r="Q80" s="714">
        <f t="shared" si="169"/>
        <v>0</v>
      </c>
      <c r="R80" s="679">
        <f t="shared" si="170"/>
        <v>0</v>
      </c>
      <c r="S80" s="677"/>
      <c r="T80" s="721"/>
      <c r="U80" s="721"/>
      <c r="V80" s="721"/>
      <c r="W80" s="721"/>
      <c r="X80" s="275"/>
      <c r="Y80" s="172"/>
      <c r="Z80" s="176"/>
      <c r="AA80" s="458"/>
      <c r="AB80" s="18"/>
      <c r="AC80" s="11"/>
      <c r="AD80" s="11"/>
      <c r="AE80" s="11"/>
      <c r="AF80" s="11"/>
      <c r="AG80" s="75">
        <f t="shared" si="212"/>
        <v>0</v>
      </c>
      <c r="AH80" s="11"/>
      <c r="AI80" s="91"/>
      <c r="AJ80" s="275"/>
      <c r="AK80" s="280" t="e">
        <f t="shared" si="171"/>
        <v>#DIV/0!</v>
      </c>
      <c r="AL80" s="275" t="e">
        <f t="shared" si="172"/>
        <v>#DIV/0!</v>
      </c>
      <c r="AM80" s="275"/>
      <c r="AN80" s="275" t="e">
        <f t="shared" si="173"/>
        <v>#DIV/0!</v>
      </c>
      <c r="AO80" s="275" t="e">
        <f t="shared" si="174"/>
        <v>#DIV/0!</v>
      </c>
      <c r="AP80" s="278" t="e">
        <f t="shared" si="175"/>
        <v>#DIV/0!</v>
      </c>
      <c r="AQ80" s="90" t="e">
        <f t="shared" si="176"/>
        <v>#DIV/0!</v>
      </c>
      <c r="AR80" s="275">
        <f t="shared" si="177"/>
        <v>0</v>
      </c>
      <c r="AS80" s="278">
        <f t="shared" si="178"/>
        <v>0</v>
      </c>
      <c r="AT80" s="275" t="e">
        <f t="shared" si="179"/>
        <v>#DIV/0!</v>
      </c>
      <c r="AU80" s="275" t="e">
        <f t="shared" si="180"/>
        <v>#DIV/0!</v>
      </c>
      <c r="AV80" s="275"/>
      <c r="AW80" s="275" t="e">
        <f t="shared" si="181"/>
        <v>#DIV/0!</v>
      </c>
      <c r="AX80" s="275" t="e">
        <f t="shared" si="182"/>
        <v>#DIV/0!</v>
      </c>
      <c r="AY80" s="278" t="e">
        <f t="shared" si="183"/>
        <v>#DIV/0!</v>
      </c>
      <c r="AZ80" s="61"/>
      <c r="BA80" s="275"/>
      <c r="BB80" s="275">
        <f t="shared" si="213"/>
        <v>0</v>
      </c>
      <c r="BC80" s="17"/>
      <c r="BD80" s="17"/>
      <c r="BE80" s="275"/>
      <c r="BF80" s="275"/>
      <c r="BG80" s="11"/>
      <c r="BH80" s="275">
        <f t="shared" si="184"/>
        <v>0</v>
      </c>
      <c r="BI80" s="275">
        <f t="shared" si="185"/>
        <v>0</v>
      </c>
      <c r="BJ80" s="275" t="e">
        <f t="shared" si="186"/>
        <v>#DIV/0!</v>
      </c>
      <c r="BK80" s="275" t="e">
        <f t="shared" si="187"/>
        <v>#DIV/0!</v>
      </c>
      <c r="BL80" s="91"/>
      <c r="BM80" s="275" t="e">
        <f t="shared" si="214"/>
        <v>#DIV/0!</v>
      </c>
      <c r="BN80" s="275" t="e">
        <f t="shared" si="215"/>
        <v>#DIV/0!</v>
      </c>
      <c r="BO80" s="11"/>
      <c r="BP80" s="78"/>
      <c r="BQ80" s="372"/>
      <c r="BR80" s="488" t="e">
        <f>AI80/AA80/7.2064</f>
        <v>#DIV/0!</v>
      </c>
      <c r="BS80" s="489">
        <f t="shared" si="188"/>
        <v>0</v>
      </c>
      <c r="BT80" s="515">
        <f t="shared" si="189"/>
        <v>0</v>
      </c>
      <c r="BU80" s="515" t="e">
        <f t="shared" si="190"/>
        <v>#DIV/0!</v>
      </c>
      <c r="BV80" s="494" t="e">
        <f t="shared" si="191"/>
        <v>#DIV/0!</v>
      </c>
      <c r="BW80" s="91"/>
      <c r="BX80" s="506"/>
      <c r="BY80" s="506"/>
      <c r="BZ80" s="508"/>
      <c r="CA80" s="372"/>
      <c r="CB80" s="356">
        <f>SUMPRODUCT(([179]НДПИ_расчет!$C$5:$N$5=$L80)*([179]НДПИ_расчет!$C$73:$N$73))</f>
        <v>0</v>
      </c>
      <c r="CC80" s="353">
        <f>SUMPRODUCT(('[180]Динамика NB'!$E$157:$P$157=$L80)*('[180]Динамика NB'!$E$169:$P$169))</f>
        <v>0</v>
      </c>
      <c r="CD80" s="353"/>
      <c r="CE80" s="353"/>
      <c r="CF80" s="353"/>
      <c r="CG80" s="353"/>
      <c r="CH80" s="28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8">
        <f t="shared" si="192"/>
        <v>0</v>
      </c>
      <c r="CJ80" s="28"/>
      <c r="CK80" s="28"/>
      <c r="CL80" s="41"/>
      <c r="CM80" s="57"/>
      <c r="CN80" s="16"/>
      <c r="CO80" s="28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41" t="e">
        <f t="shared" si="193"/>
        <v>#DIV/0!</v>
      </c>
      <c r="CQ80" s="287"/>
      <c r="CR80" s="14"/>
      <c r="CS80" s="275" t="e">
        <f t="shared" si="194"/>
        <v>#DIV/0!</v>
      </c>
      <c r="CT80" s="275">
        <f t="shared" si="195"/>
        <v>0</v>
      </c>
      <c r="CU80" s="275" t="e">
        <f t="shared" si="196"/>
        <v>#DIV/0!</v>
      </c>
      <c r="CV80" s="551" t="e">
        <f t="shared" si="197"/>
        <v>#DIV/0!</v>
      </c>
      <c r="CW80" s="551" t="e">
        <f t="shared" si="198"/>
        <v>#DIV/0!</v>
      </c>
      <c r="CX80" s="275" t="e">
        <f t="shared" si="216"/>
        <v>#DIV/0!</v>
      </c>
      <c r="CY80" s="278" t="e">
        <f t="shared" si="199"/>
        <v>#DIV/0!</v>
      </c>
      <c r="CZ80" s="310" t="e">
        <f t="shared" si="200"/>
        <v>#DIV/0!</v>
      </c>
      <c r="DA80" s="761" t="e">
        <f t="shared" si="201"/>
        <v>#DIV/0!</v>
      </c>
      <c r="DB80" s="771" t="e">
        <f t="shared" si="202"/>
        <v>#DIV/0!</v>
      </c>
      <c r="DC80" s="761"/>
      <c r="DD80" s="761" t="e">
        <f t="shared" si="203"/>
        <v>#DIV/0!</v>
      </c>
      <c r="DE80" s="761" t="e">
        <f t="shared" si="204"/>
        <v>#DIV/0!</v>
      </c>
      <c r="DF80" s="761"/>
      <c r="DG80" s="761">
        <f t="shared" si="205"/>
        <v>0</v>
      </c>
      <c r="DH80" s="761">
        <f t="shared" si="206"/>
        <v>0</v>
      </c>
      <c r="DI80" s="761">
        <f t="shared" si="207"/>
        <v>0</v>
      </c>
      <c r="DJ80" s="761">
        <f t="shared" si="208"/>
        <v>0</v>
      </c>
      <c r="DK80" s="761" t="e">
        <f t="shared" si="209"/>
        <v>#DIV/0!</v>
      </c>
      <c r="DL80" s="761" t="e">
        <f t="shared" si="210"/>
        <v>#DIV/0!</v>
      </c>
      <c r="DM80" s="633" t="e">
        <f t="shared" si="211"/>
        <v>#DIV/0!</v>
      </c>
    </row>
    <row r="81" spans="1:119" s="69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80" t="s">
        <v>393</v>
      </c>
      <c r="K81" s="631"/>
      <c r="L81" s="639"/>
      <c r="M81" s="184"/>
      <c r="N81" s="72"/>
      <c r="O81" s="91"/>
      <c r="P81" s="182"/>
      <c r="Q81" s="714">
        <f t="shared" si="169"/>
        <v>0</v>
      </c>
      <c r="R81" s="679">
        <f t="shared" si="170"/>
        <v>0</v>
      </c>
      <c r="S81" s="722"/>
      <c r="T81" s="723"/>
      <c r="U81" s="723"/>
      <c r="V81" s="723"/>
      <c r="W81" s="723"/>
      <c r="X81" s="275"/>
      <c r="Y81" s="172"/>
      <c r="Z81" s="176"/>
      <c r="AA81" s="458"/>
      <c r="AB81" s="18"/>
      <c r="AC81" s="11"/>
      <c r="AD81" s="11"/>
      <c r="AE81" s="11"/>
      <c r="AF81" s="11"/>
      <c r="AG81" s="75">
        <f t="shared" si="212"/>
        <v>0</v>
      </c>
      <c r="AH81" s="11"/>
      <c r="AI81" s="91"/>
      <c r="AJ81" s="275"/>
      <c r="AK81" s="280" t="e">
        <f t="shared" si="171"/>
        <v>#DIV/0!</v>
      </c>
      <c r="AL81" s="275" t="e">
        <f t="shared" si="172"/>
        <v>#DIV/0!</v>
      </c>
      <c r="AM81" s="275"/>
      <c r="AN81" s="275" t="e">
        <f t="shared" si="173"/>
        <v>#DIV/0!</v>
      </c>
      <c r="AO81" s="275" t="e">
        <f t="shared" si="174"/>
        <v>#DIV/0!</v>
      </c>
      <c r="AP81" s="278" t="e">
        <f t="shared" si="175"/>
        <v>#DIV/0!</v>
      </c>
      <c r="AQ81" s="90" t="e">
        <f t="shared" si="176"/>
        <v>#DIV/0!</v>
      </c>
      <c r="AR81" s="275">
        <f t="shared" si="177"/>
        <v>0</v>
      </c>
      <c r="AS81" s="278">
        <f t="shared" si="178"/>
        <v>0</v>
      </c>
      <c r="AT81" s="275" t="e">
        <f t="shared" si="179"/>
        <v>#DIV/0!</v>
      </c>
      <c r="AU81" s="275" t="e">
        <f t="shared" si="180"/>
        <v>#DIV/0!</v>
      </c>
      <c r="AV81" s="275"/>
      <c r="AW81" s="275" t="e">
        <f t="shared" si="181"/>
        <v>#DIV/0!</v>
      </c>
      <c r="AX81" s="275" t="e">
        <f t="shared" si="182"/>
        <v>#DIV/0!</v>
      </c>
      <c r="AY81" s="278" t="e">
        <f t="shared" si="183"/>
        <v>#DIV/0!</v>
      </c>
      <c r="AZ81" s="61"/>
      <c r="BA81" s="275"/>
      <c r="BB81" s="275">
        <f t="shared" si="213"/>
        <v>0</v>
      </c>
      <c r="BC81" s="17"/>
      <c r="BD81" s="17"/>
      <c r="BE81" s="275"/>
      <c r="BF81" s="275"/>
      <c r="BG81" s="11"/>
      <c r="BH81" s="275">
        <f t="shared" si="184"/>
        <v>0</v>
      </c>
      <c r="BI81" s="275">
        <f t="shared" si="185"/>
        <v>0</v>
      </c>
      <c r="BJ81" s="275" t="e">
        <f t="shared" si="186"/>
        <v>#DIV/0!</v>
      </c>
      <c r="BK81" s="275" t="e">
        <f t="shared" si="187"/>
        <v>#DIV/0!</v>
      </c>
      <c r="BL81" s="91"/>
      <c r="BM81" s="275" t="e">
        <f t="shared" si="214"/>
        <v>#DIV/0!</v>
      </c>
      <c r="BN81" s="275" t="e">
        <f t="shared" si="215"/>
        <v>#DIV/0!</v>
      </c>
      <c r="BO81" s="11"/>
      <c r="BP81" s="78"/>
      <c r="BQ81" s="372"/>
      <c r="BR81" s="488" t="e">
        <f>AI81/AA81/7.2048</f>
        <v>#DIV/0!</v>
      </c>
      <c r="BS81" s="489">
        <f t="shared" si="188"/>
        <v>0</v>
      </c>
      <c r="BT81" s="515">
        <f t="shared" si="189"/>
        <v>0</v>
      </c>
      <c r="BU81" s="515" t="e">
        <f t="shared" si="190"/>
        <v>#DIV/0!</v>
      </c>
      <c r="BV81" s="494" t="e">
        <f t="shared" si="191"/>
        <v>#DIV/0!</v>
      </c>
      <c r="BW81" s="91"/>
      <c r="BX81" s="506"/>
      <c r="BY81" s="506"/>
      <c r="BZ81" s="508"/>
      <c r="CA81" s="372"/>
      <c r="CB81" s="356">
        <f>SUMPRODUCT(([179]НДПИ_расчет!$C$5:$N$5=$L81)*([179]НДПИ_расчет!$C$73:$N$73))</f>
        <v>0</v>
      </c>
      <c r="CC81" s="353">
        <f>SUMPRODUCT(('[180]Динамика NB'!$E$157:$P$157=$L81)*('[180]Динамика NB'!$E$169:$P$169))</f>
        <v>0</v>
      </c>
      <c r="CD81" s="353"/>
      <c r="CE81" s="353"/>
      <c r="CF81" s="353"/>
      <c r="CG81" s="353"/>
      <c r="CH81" s="28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8">
        <f t="shared" si="192"/>
        <v>0</v>
      </c>
      <c r="CJ81" s="28"/>
      <c r="CK81" s="28"/>
      <c r="CL81" s="41"/>
      <c r="CM81" s="57"/>
      <c r="CN81" s="16"/>
      <c r="CO81" s="28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41" t="e">
        <f t="shared" si="193"/>
        <v>#DIV/0!</v>
      </c>
      <c r="CQ81" s="287"/>
      <c r="CR81" s="14"/>
      <c r="CS81" s="275" t="e">
        <f t="shared" si="194"/>
        <v>#DIV/0!</v>
      </c>
      <c r="CT81" s="275">
        <f t="shared" si="195"/>
        <v>0</v>
      </c>
      <c r="CU81" s="275" t="e">
        <f t="shared" si="196"/>
        <v>#DIV/0!</v>
      </c>
      <c r="CV81" s="551" t="e">
        <f t="shared" si="197"/>
        <v>#DIV/0!</v>
      </c>
      <c r="CW81" s="551" t="e">
        <f t="shared" si="198"/>
        <v>#DIV/0!</v>
      </c>
      <c r="CX81" s="275" t="e">
        <f t="shared" si="216"/>
        <v>#DIV/0!</v>
      </c>
      <c r="CY81" s="278" t="e">
        <f t="shared" si="199"/>
        <v>#DIV/0!</v>
      </c>
      <c r="CZ81" s="310" t="e">
        <f t="shared" si="200"/>
        <v>#DIV/0!</v>
      </c>
      <c r="DA81" s="761" t="e">
        <f t="shared" si="201"/>
        <v>#DIV/0!</v>
      </c>
      <c r="DB81" s="771" t="e">
        <f t="shared" si="202"/>
        <v>#DIV/0!</v>
      </c>
      <c r="DC81" s="761"/>
      <c r="DD81" s="761" t="e">
        <f t="shared" si="203"/>
        <v>#DIV/0!</v>
      </c>
      <c r="DE81" s="761" t="e">
        <f t="shared" si="204"/>
        <v>#DIV/0!</v>
      </c>
      <c r="DF81" s="761"/>
      <c r="DG81" s="761">
        <f t="shared" si="205"/>
        <v>0</v>
      </c>
      <c r="DH81" s="761">
        <f t="shared" si="206"/>
        <v>0</v>
      </c>
      <c r="DI81" s="761">
        <f t="shared" si="207"/>
        <v>0</v>
      </c>
      <c r="DJ81" s="761">
        <f t="shared" si="208"/>
        <v>0</v>
      </c>
      <c r="DK81" s="761" t="e">
        <f t="shared" si="209"/>
        <v>#DIV/0!</v>
      </c>
      <c r="DL81" s="761" t="e">
        <f t="shared" si="210"/>
        <v>#DIV/0!</v>
      </c>
      <c r="DM81" s="633" t="e">
        <f t="shared" si="211"/>
        <v>#DIV/0!</v>
      </c>
      <c r="DN81" s="68"/>
    </row>
    <row r="82" spans="1:119" s="69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80" t="s">
        <v>393</v>
      </c>
      <c r="K82" s="631"/>
      <c r="L82" s="639"/>
      <c r="M82" s="184"/>
      <c r="N82" s="72"/>
      <c r="O82" s="91"/>
      <c r="P82" s="182"/>
      <c r="Q82" s="714">
        <f t="shared" si="169"/>
        <v>0</v>
      </c>
      <c r="R82" s="679">
        <f t="shared" si="170"/>
        <v>0</v>
      </c>
      <c r="S82" s="722"/>
      <c r="T82" s="723"/>
      <c r="U82" s="723"/>
      <c r="V82" s="723"/>
      <c r="W82" s="723"/>
      <c r="X82" s="275"/>
      <c r="Y82" s="172"/>
      <c r="Z82" s="176"/>
      <c r="AA82" s="458"/>
      <c r="AB82" s="18"/>
      <c r="AC82" s="11"/>
      <c r="AD82" s="11"/>
      <c r="AE82" s="11"/>
      <c r="AF82" s="11"/>
      <c r="AG82" s="75">
        <f t="shared" si="212"/>
        <v>0</v>
      </c>
      <c r="AH82" s="11"/>
      <c r="AI82" s="91"/>
      <c r="AJ82" s="275"/>
      <c r="AK82" s="280" t="e">
        <f t="shared" si="171"/>
        <v>#DIV/0!</v>
      </c>
      <c r="AL82" s="275" t="e">
        <f t="shared" si="172"/>
        <v>#DIV/0!</v>
      </c>
      <c r="AM82" s="275"/>
      <c r="AN82" s="275" t="e">
        <f t="shared" si="173"/>
        <v>#DIV/0!</v>
      </c>
      <c r="AO82" s="275" t="e">
        <f t="shared" si="174"/>
        <v>#DIV/0!</v>
      </c>
      <c r="AP82" s="278" t="e">
        <f t="shared" si="175"/>
        <v>#DIV/0!</v>
      </c>
      <c r="AQ82" s="90" t="e">
        <f t="shared" si="176"/>
        <v>#DIV/0!</v>
      </c>
      <c r="AR82" s="275">
        <f t="shared" si="177"/>
        <v>0</v>
      </c>
      <c r="AS82" s="278">
        <f t="shared" si="178"/>
        <v>0</v>
      </c>
      <c r="AT82" s="275" t="e">
        <f t="shared" si="179"/>
        <v>#DIV/0!</v>
      </c>
      <c r="AU82" s="275" t="e">
        <f t="shared" si="180"/>
        <v>#DIV/0!</v>
      </c>
      <c r="AV82" s="275"/>
      <c r="AW82" s="275" t="e">
        <f t="shared" si="181"/>
        <v>#DIV/0!</v>
      </c>
      <c r="AX82" s="275" t="e">
        <f t="shared" si="182"/>
        <v>#DIV/0!</v>
      </c>
      <c r="AY82" s="278" t="e">
        <f t="shared" si="183"/>
        <v>#DIV/0!</v>
      </c>
      <c r="AZ82" s="61"/>
      <c r="BA82" s="275"/>
      <c r="BB82" s="275">
        <f t="shared" si="213"/>
        <v>0</v>
      </c>
      <c r="BC82" s="17"/>
      <c r="BD82" s="17"/>
      <c r="BE82" s="275"/>
      <c r="BF82" s="275"/>
      <c r="BG82" s="11"/>
      <c r="BH82" s="275">
        <f t="shared" si="184"/>
        <v>0</v>
      </c>
      <c r="BI82" s="275">
        <f t="shared" si="185"/>
        <v>0</v>
      </c>
      <c r="BJ82" s="275" t="e">
        <f t="shared" si="186"/>
        <v>#DIV/0!</v>
      </c>
      <c r="BK82" s="275" t="e">
        <f t="shared" si="187"/>
        <v>#DIV/0!</v>
      </c>
      <c r="BL82" s="91"/>
      <c r="BM82" s="275" t="e">
        <f t="shared" si="214"/>
        <v>#DIV/0!</v>
      </c>
      <c r="BN82" s="275" t="e">
        <f t="shared" si="215"/>
        <v>#DIV/0!</v>
      </c>
      <c r="BO82" s="11"/>
      <c r="BP82" s="78"/>
      <c r="BQ82" s="372"/>
      <c r="BR82" s="488" t="e">
        <f>AI82/AA82/7.2024</f>
        <v>#DIV/0!</v>
      </c>
      <c r="BS82" s="489">
        <f t="shared" si="188"/>
        <v>0</v>
      </c>
      <c r="BT82" s="515">
        <f t="shared" si="189"/>
        <v>0</v>
      </c>
      <c r="BU82" s="515" t="e">
        <f t="shared" si="190"/>
        <v>#DIV/0!</v>
      </c>
      <c r="BV82" s="494" t="e">
        <f t="shared" si="191"/>
        <v>#DIV/0!</v>
      </c>
      <c r="BW82" s="91"/>
      <c r="BX82" s="506"/>
      <c r="BY82" s="506"/>
      <c r="BZ82" s="508"/>
      <c r="CA82" s="372"/>
      <c r="CB82" s="356">
        <f>SUMPRODUCT(([179]НДПИ_расчет!$C$5:$N$5=$L82)*([179]НДПИ_расчет!$C$73:$N$73))</f>
        <v>0</v>
      </c>
      <c r="CC82" s="353">
        <f>SUMPRODUCT(('[180]Динамика NB'!$E$157:$P$157=$L82)*('[180]Динамика NB'!$E$169:$P$169))</f>
        <v>0</v>
      </c>
      <c r="CD82" s="353"/>
      <c r="CE82" s="353"/>
      <c r="CF82" s="353"/>
      <c r="CG82" s="353"/>
      <c r="CH82" s="28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8">
        <f t="shared" si="192"/>
        <v>0</v>
      </c>
      <c r="CJ82" s="28"/>
      <c r="CK82" s="28"/>
      <c r="CL82" s="41"/>
      <c r="CM82" s="57"/>
      <c r="CN82" s="16"/>
      <c r="CO82" s="28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41" t="e">
        <f t="shared" si="193"/>
        <v>#DIV/0!</v>
      </c>
      <c r="CQ82" s="287"/>
      <c r="CR82" s="14"/>
      <c r="CS82" s="275" t="e">
        <f t="shared" si="194"/>
        <v>#DIV/0!</v>
      </c>
      <c r="CT82" s="275">
        <f t="shared" si="195"/>
        <v>0</v>
      </c>
      <c r="CU82" s="275" t="e">
        <f t="shared" si="196"/>
        <v>#DIV/0!</v>
      </c>
      <c r="CV82" s="551" t="e">
        <f t="shared" si="197"/>
        <v>#DIV/0!</v>
      </c>
      <c r="CW82" s="551" t="e">
        <f t="shared" si="198"/>
        <v>#DIV/0!</v>
      </c>
      <c r="CX82" s="275" t="e">
        <f t="shared" si="216"/>
        <v>#DIV/0!</v>
      </c>
      <c r="CY82" s="278" t="e">
        <f t="shared" si="199"/>
        <v>#DIV/0!</v>
      </c>
      <c r="CZ82" s="310" t="e">
        <f t="shared" si="200"/>
        <v>#DIV/0!</v>
      </c>
      <c r="DA82" s="761" t="e">
        <f t="shared" si="201"/>
        <v>#DIV/0!</v>
      </c>
      <c r="DB82" s="771" t="e">
        <f t="shared" si="202"/>
        <v>#DIV/0!</v>
      </c>
      <c r="DC82" s="761"/>
      <c r="DD82" s="761" t="e">
        <f t="shared" si="203"/>
        <v>#DIV/0!</v>
      </c>
      <c r="DE82" s="761" t="e">
        <f t="shared" si="204"/>
        <v>#DIV/0!</v>
      </c>
      <c r="DF82" s="761"/>
      <c r="DG82" s="761">
        <f t="shared" si="205"/>
        <v>0</v>
      </c>
      <c r="DH82" s="761">
        <f t="shared" si="206"/>
        <v>0</v>
      </c>
      <c r="DI82" s="761">
        <f t="shared" si="207"/>
        <v>0</v>
      </c>
      <c r="DJ82" s="761">
        <f t="shared" si="208"/>
        <v>0</v>
      </c>
      <c r="DK82" s="761" t="e">
        <f t="shared" si="209"/>
        <v>#DIV/0!</v>
      </c>
      <c r="DL82" s="761" t="e">
        <f t="shared" si="210"/>
        <v>#DIV/0!</v>
      </c>
      <c r="DM82" s="633" t="e">
        <f t="shared" si="211"/>
        <v>#DIV/0!</v>
      </c>
      <c r="DN82" s="68"/>
    </row>
    <row r="83" spans="1:119" s="69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80" t="s">
        <v>393</v>
      </c>
      <c r="K83" s="631"/>
      <c r="L83" s="639"/>
      <c r="M83" s="184"/>
      <c r="N83" s="72"/>
      <c r="O83" s="91"/>
      <c r="P83" s="182"/>
      <c r="Q83" s="714">
        <f t="shared" si="169"/>
        <v>0</v>
      </c>
      <c r="R83" s="679">
        <f t="shared" si="170"/>
        <v>0</v>
      </c>
      <c r="S83" s="722"/>
      <c r="T83" s="723"/>
      <c r="U83" s="723"/>
      <c r="V83" s="723"/>
      <c r="W83" s="723"/>
      <c r="X83" s="275"/>
      <c r="Y83" s="172"/>
      <c r="Z83" s="176"/>
      <c r="AA83" s="458"/>
      <c r="AB83" s="18"/>
      <c r="AC83" s="11"/>
      <c r="AD83" s="11"/>
      <c r="AE83" s="11"/>
      <c r="AF83" s="11"/>
      <c r="AG83" s="75">
        <f t="shared" si="212"/>
        <v>0</v>
      </c>
      <c r="AH83" s="11"/>
      <c r="AI83" s="91"/>
      <c r="AJ83" s="275"/>
      <c r="AK83" s="280" t="e">
        <f t="shared" si="171"/>
        <v>#DIV/0!</v>
      </c>
      <c r="AL83" s="275" t="e">
        <f t="shared" si="172"/>
        <v>#DIV/0!</v>
      </c>
      <c r="AM83" s="275"/>
      <c r="AN83" s="275" t="e">
        <f t="shared" si="173"/>
        <v>#DIV/0!</v>
      </c>
      <c r="AO83" s="275" t="e">
        <f t="shared" si="174"/>
        <v>#DIV/0!</v>
      </c>
      <c r="AP83" s="278" t="e">
        <f t="shared" si="175"/>
        <v>#DIV/0!</v>
      </c>
      <c r="AQ83" s="90" t="e">
        <f t="shared" si="176"/>
        <v>#DIV/0!</v>
      </c>
      <c r="AR83" s="275">
        <f t="shared" si="177"/>
        <v>0</v>
      </c>
      <c r="AS83" s="278">
        <f t="shared" si="178"/>
        <v>0</v>
      </c>
      <c r="AT83" s="275" t="e">
        <f t="shared" si="179"/>
        <v>#DIV/0!</v>
      </c>
      <c r="AU83" s="275" t="e">
        <f t="shared" si="180"/>
        <v>#DIV/0!</v>
      </c>
      <c r="AV83" s="275"/>
      <c r="AW83" s="275" t="e">
        <f t="shared" si="181"/>
        <v>#DIV/0!</v>
      </c>
      <c r="AX83" s="275" t="e">
        <f t="shared" si="182"/>
        <v>#DIV/0!</v>
      </c>
      <c r="AY83" s="278" t="e">
        <f t="shared" si="183"/>
        <v>#DIV/0!</v>
      </c>
      <c r="AZ83" s="61"/>
      <c r="BA83" s="275"/>
      <c r="BB83" s="275">
        <f t="shared" si="213"/>
        <v>0</v>
      </c>
      <c r="BC83" s="17"/>
      <c r="BD83" s="17"/>
      <c r="BE83" s="275"/>
      <c r="BF83" s="275"/>
      <c r="BG83" s="11"/>
      <c r="BH83" s="275">
        <f t="shared" si="184"/>
        <v>0</v>
      </c>
      <c r="BI83" s="275">
        <f t="shared" si="185"/>
        <v>0</v>
      </c>
      <c r="BJ83" s="275" t="e">
        <f t="shared" si="186"/>
        <v>#DIV/0!</v>
      </c>
      <c r="BK83" s="275" t="e">
        <f t="shared" si="187"/>
        <v>#DIV/0!</v>
      </c>
      <c r="BL83" s="91"/>
      <c r="BM83" s="275" t="e">
        <f t="shared" si="214"/>
        <v>#DIV/0!</v>
      </c>
      <c r="BN83" s="275" t="e">
        <f t="shared" si="215"/>
        <v>#DIV/0!</v>
      </c>
      <c r="BO83" s="11"/>
      <c r="BP83" s="78"/>
      <c r="BQ83" s="372"/>
      <c r="BR83" s="488" t="e">
        <f>AI83/AA83/7.225</f>
        <v>#DIV/0!</v>
      </c>
      <c r="BS83" s="489">
        <f t="shared" si="188"/>
        <v>0</v>
      </c>
      <c r="BT83" s="515">
        <f t="shared" si="189"/>
        <v>0</v>
      </c>
      <c r="BU83" s="515" t="e">
        <f t="shared" si="190"/>
        <v>#DIV/0!</v>
      </c>
      <c r="BV83" s="494" t="e">
        <f t="shared" si="191"/>
        <v>#DIV/0!</v>
      </c>
      <c r="BW83" s="91"/>
      <c r="BX83" s="506"/>
      <c r="BY83" s="506"/>
      <c r="BZ83" s="508"/>
      <c r="CA83" s="372"/>
      <c r="CB83" s="356">
        <f>SUMPRODUCT(([179]НДПИ_расчет!$C$5:$N$5=$L83)*([179]НДПИ_расчет!$C$73:$N$73))</f>
        <v>0</v>
      </c>
      <c r="CC83" s="353">
        <f>SUMPRODUCT(('[180]Динамика NB'!$E$157:$P$157=$L83)*('[180]Динамика NB'!$E$169:$P$169))</f>
        <v>0</v>
      </c>
      <c r="CD83" s="353"/>
      <c r="CE83" s="353"/>
      <c r="CF83" s="353"/>
      <c r="CG83" s="353"/>
      <c r="CH83" s="28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8">
        <f t="shared" si="192"/>
        <v>0</v>
      </c>
      <c r="CJ83" s="28"/>
      <c r="CK83" s="28"/>
      <c r="CL83" s="41"/>
      <c r="CM83" s="57"/>
      <c r="CN83" s="16"/>
      <c r="CO83" s="28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41" t="e">
        <f t="shared" si="193"/>
        <v>#DIV/0!</v>
      </c>
      <c r="CQ83" s="287"/>
      <c r="CR83" s="14"/>
      <c r="CS83" s="275" t="e">
        <f t="shared" si="194"/>
        <v>#DIV/0!</v>
      </c>
      <c r="CT83" s="275">
        <f t="shared" si="195"/>
        <v>0</v>
      </c>
      <c r="CU83" s="275" t="e">
        <f t="shared" si="196"/>
        <v>#DIV/0!</v>
      </c>
      <c r="CV83" s="551" t="e">
        <f t="shared" si="197"/>
        <v>#DIV/0!</v>
      </c>
      <c r="CW83" s="551" t="e">
        <f t="shared" si="198"/>
        <v>#DIV/0!</v>
      </c>
      <c r="CX83" s="275" t="e">
        <f t="shared" si="216"/>
        <v>#DIV/0!</v>
      </c>
      <c r="CY83" s="278" t="e">
        <f t="shared" si="199"/>
        <v>#DIV/0!</v>
      </c>
      <c r="CZ83" s="310" t="e">
        <f t="shared" si="200"/>
        <v>#DIV/0!</v>
      </c>
      <c r="DA83" s="761" t="e">
        <f t="shared" si="201"/>
        <v>#DIV/0!</v>
      </c>
      <c r="DB83" s="771" t="e">
        <f t="shared" si="202"/>
        <v>#DIV/0!</v>
      </c>
      <c r="DC83" s="761"/>
      <c r="DD83" s="761" t="e">
        <f t="shared" si="203"/>
        <v>#DIV/0!</v>
      </c>
      <c r="DE83" s="761" t="e">
        <f t="shared" si="204"/>
        <v>#DIV/0!</v>
      </c>
      <c r="DF83" s="761"/>
      <c r="DG83" s="761">
        <f t="shared" si="205"/>
        <v>0</v>
      </c>
      <c r="DH83" s="761">
        <f t="shared" si="206"/>
        <v>0</v>
      </c>
      <c r="DI83" s="761">
        <f t="shared" si="207"/>
        <v>0</v>
      </c>
      <c r="DJ83" s="761">
        <f t="shared" si="208"/>
        <v>0</v>
      </c>
      <c r="DK83" s="761" t="e">
        <f t="shared" si="209"/>
        <v>#DIV/0!</v>
      </c>
      <c r="DL83" s="761" t="e">
        <f t="shared" si="210"/>
        <v>#DIV/0!</v>
      </c>
      <c r="DM83" s="633" t="e">
        <f t="shared" si="211"/>
        <v>#DIV/0!</v>
      </c>
      <c r="DN83" s="68"/>
    </row>
    <row r="84" spans="1:119" s="69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824"/>
      <c r="J84" s="80" t="s">
        <v>393</v>
      </c>
      <c r="K84" s="813"/>
      <c r="L84" s="842"/>
      <c r="M84" s="839"/>
      <c r="N84" s="72"/>
      <c r="O84" s="647"/>
      <c r="P84" s="182"/>
      <c r="Q84" s="714">
        <f t="shared" si="169"/>
        <v>0</v>
      </c>
      <c r="R84" s="679">
        <f t="shared" si="170"/>
        <v>0</v>
      </c>
      <c r="S84" s="677"/>
      <c r="T84" s="721"/>
      <c r="U84" s="721"/>
      <c r="V84" s="721"/>
      <c r="W84" s="721"/>
      <c r="X84" s="814"/>
      <c r="Y84" s="172"/>
      <c r="Z84" s="176"/>
      <c r="AA84" s="458"/>
      <c r="AB84" s="18"/>
      <c r="AC84" s="11"/>
      <c r="AD84" s="11"/>
      <c r="AE84" s="11"/>
      <c r="AF84" s="11"/>
      <c r="AG84" s="75">
        <f t="shared" si="212"/>
        <v>0</v>
      </c>
      <c r="AH84" s="11"/>
      <c r="AI84" s="647"/>
      <c r="AJ84" s="814"/>
      <c r="AK84" s="813" t="e">
        <f t="shared" si="171"/>
        <v>#DIV/0!</v>
      </c>
      <c r="AL84" s="814" t="e">
        <f t="shared" si="172"/>
        <v>#DIV/0!</v>
      </c>
      <c r="AM84" s="814"/>
      <c r="AN84" s="814" t="e">
        <f t="shared" si="173"/>
        <v>#DIV/0!</v>
      </c>
      <c r="AO84" s="814" t="e">
        <f t="shared" si="174"/>
        <v>#DIV/0!</v>
      </c>
      <c r="AP84" s="819" t="e">
        <f t="shared" si="175"/>
        <v>#DIV/0!</v>
      </c>
      <c r="AQ84" s="841" t="e">
        <f t="shared" si="176"/>
        <v>#DIV/0!</v>
      </c>
      <c r="AR84" s="814">
        <f t="shared" si="177"/>
        <v>0</v>
      </c>
      <c r="AS84" s="819">
        <f t="shared" si="178"/>
        <v>0</v>
      </c>
      <c r="AT84" s="814" t="e">
        <f t="shared" si="179"/>
        <v>#DIV/0!</v>
      </c>
      <c r="AU84" s="814" t="e">
        <f t="shared" si="180"/>
        <v>#DIV/0!</v>
      </c>
      <c r="AV84" s="814"/>
      <c r="AW84" s="814" t="e">
        <f t="shared" si="181"/>
        <v>#DIV/0!</v>
      </c>
      <c r="AX84" s="814" t="e">
        <f t="shared" si="182"/>
        <v>#DIV/0!</v>
      </c>
      <c r="AY84" s="819" t="e">
        <f t="shared" si="183"/>
        <v>#DIV/0!</v>
      </c>
      <c r="AZ84" s="61"/>
      <c r="BA84" s="814"/>
      <c r="BB84" s="814">
        <f t="shared" si="213"/>
        <v>0</v>
      </c>
      <c r="BC84" s="17"/>
      <c r="BD84" s="17"/>
      <c r="BE84" s="814"/>
      <c r="BF84" s="814"/>
      <c r="BG84" s="11"/>
      <c r="BH84" s="814">
        <f t="shared" si="184"/>
        <v>0</v>
      </c>
      <c r="BI84" s="814">
        <f t="shared" si="185"/>
        <v>0</v>
      </c>
      <c r="BJ84" s="814" t="e">
        <f t="shared" si="186"/>
        <v>#DIV/0!</v>
      </c>
      <c r="BK84" s="814" t="e">
        <f t="shared" si="187"/>
        <v>#DIV/0!</v>
      </c>
      <c r="BL84" s="647"/>
      <c r="BM84" s="814" t="e">
        <f t="shared" si="214"/>
        <v>#DIV/0!</v>
      </c>
      <c r="BN84" s="814" t="e">
        <f t="shared" si="215"/>
        <v>#DIV/0!</v>
      </c>
      <c r="BO84" s="11"/>
      <c r="BP84" s="78"/>
      <c r="BQ84" s="642"/>
      <c r="BR84" s="826" t="e">
        <f>(AI84)/AA84/7.225</f>
        <v>#DIV/0!</v>
      </c>
      <c r="BS84" s="824">
        <f t="shared" si="188"/>
        <v>0</v>
      </c>
      <c r="BT84" s="836">
        <f t="shared" si="189"/>
        <v>0</v>
      </c>
      <c r="BU84" s="836" t="e">
        <f t="shared" si="190"/>
        <v>#DIV/0!</v>
      </c>
      <c r="BV84" s="837" t="e">
        <f t="shared" si="191"/>
        <v>#DIV/0!</v>
      </c>
      <c r="BW84" s="647"/>
      <c r="BX84" s="647"/>
      <c r="BY84" s="647"/>
      <c r="BZ84" s="842"/>
      <c r="CA84" s="642"/>
      <c r="CB84" s="813">
        <f>SUMPRODUCT(([179]НДПИ_расчет!$C$5:$N$5=$L84)*([179]НДПИ_расчет!$C$73:$N$73))</f>
        <v>0</v>
      </c>
      <c r="CC84" s="814">
        <f>SUMPRODUCT(('[180]Динамика NB'!$E$157:$P$157=$L84)*('[180]Динамика NB'!$E$169:$P$169))</f>
        <v>0</v>
      </c>
      <c r="CD84" s="814"/>
      <c r="CE84" s="814"/>
      <c r="CF84" s="814"/>
      <c r="CG84" s="814"/>
      <c r="CH84" s="815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815">
        <f t="shared" si="192"/>
        <v>0</v>
      </c>
      <c r="CJ84" s="815"/>
      <c r="CK84" s="815"/>
      <c r="CL84" s="816"/>
      <c r="CM84" s="818"/>
      <c r="CN84" s="16"/>
      <c r="CO84" s="815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816" t="e">
        <f t="shared" si="193"/>
        <v>#DIV/0!</v>
      </c>
      <c r="CQ84" s="842"/>
      <c r="CR84" s="14"/>
      <c r="CS84" s="814" t="e">
        <f t="shared" si="194"/>
        <v>#DIV/0!</v>
      </c>
      <c r="CT84" s="814">
        <f t="shared" si="195"/>
        <v>0</v>
      </c>
      <c r="CU84" s="814" t="e">
        <f t="shared" si="196"/>
        <v>#DIV/0!</v>
      </c>
      <c r="CV84" s="815" t="e">
        <f t="shared" si="197"/>
        <v>#DIV/0!</v>
      </c>
      <c r="CW84" s="815" t="e">
        <f t="shared" si="198"/>
        <v>#DIV/0!</v>
      </c>
      <c r="CX84" s="814" t="e">
        <f t="shared" si="216"/>
        <v>#DIV/0!</v>
      </c>
      <c r="CY84" s="819" t="e">
        <f t="shared" si="199"/>
        <v>#DIV/0!</v>
      </c>
      <c r="CZ84" s="310" t="e">
        <f t="shared" si="200"/>
        <v>#DIV/0!</v>
      </c>
      <c r="DA84" s="820" t="e">
        <f t="shared" si="201"/>
        <v>#DIV/0!</v>
      </c>
      <c r="DB84" s="820" t="e">
        <f t="shared" si="202"/>
        <v>#DIV/0!</v>
      </c>
      <c r="DC84" s="820"/>
      <c r="DD84" s="820" t="e">
        <f t="shared" si="203"/>
        <v>#DIV/0!</v>
      </c>
      <c r="DE84" s="820" t="e">
        <f t="shared" si="204"/>
        <v>#DIV/0!</v>
      </c>
      <c r="DF84" s="820"/>
      <c r="DG84" s="820">
        <f t="shared" si="205"/>
        <v>0</v>
      </c>
      <c r="DH84" s="820">
        <f t="shared" si="206"/>
        <v>0</v>
      </c>
      <c r="DI84" s="820">
        <f t="shared" si="207"/>
        <v>0</v>
      </c>
      <c r="DJ84" s="820">
        <f t="shared" si="208"/>
        <v>0</v>
      </c>
      <c r="DK84" s="820" t="e">
        <f t="shared" si="209"/>
        <v>#DIV/0!</v>
      </c>
      <c r="DL84" s="820" t="e">
        <f t="shared" si="210"/>
        <v>#DIV/0!</v>
      </c>
      <c r="DM84" s="834" t="e">
        <f t="shared" si="211"/>
        <v>#DIV/0!</v>
      </c>
    </row>
    <row r="85" spans="1:119" s="69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824"/>
      <c r="J85" s="80" t="s">
        <v>393</v>
      </c>
      <c r="K85" s="813"/>
      <c r="L85" s="842"/>
      <c r="M85" s="839"/>
      <c r="N85" s="72"/>
      <c r="O85" s="647"/>
      <c r="P85" s="182"/>
      <c r="Q85" s="714">
        <f t="shared" si="169"/>
        <v>0</v>
      </c>
      <c r="R85" s="679">
        <f t="shared" si="170"/>
        <v>0</v>
      </c>
      <c r="S85" s="677"/>
      <c r="T85" s="721"/>
      <c r="U85" s="721"/>
      <c r="V85" s="721"/>
      <c r="W85" s="721"/>
      <c r="X85" s="814"/>
      <c r="Y85" s="172"/>
      <c r="Z85" s="176"/>
      <c r="AA85" s="458"/>
      <c r="AB85" s="18"/>
      <c r="AC85" s="11"/>
      <c r="AD85" s="11"/>
      <c r="AE85" s="11"/>
      <c r="AF85" s="11"/>
      <c r="AG85" s="75">
        <f t="shared" si="212"/>
        <v>0</v>
      </c>
      <c r="AH85" s="11"/>
      <c r="AI85" s="647"/>
      <c r="AJ85" s="814"/>
      <c r="AK85" s="813" t="e">
        <f t="shared" si="171"/>
        <v>#DIV/0!</v>
      </c>
      <c r="AL85" s="814" t="e">
        <f t="shared" si="172"/>
        <v>#DIV/0!</v>
      </c>
      <c r="AM85" s="814"/>
      <c r="AN85" s="814" t="e">
        <f t="shared" si="173"/>
        <v>#DIV/0!</v>
      </c>
      <c r="AO85" s="814" t="e">
        <f t="shared" si="174"/>
        <v>#DIV/0!</v>
      </c>
      <c r="AP85" s="819" t="e">
        <f t="shared" si="175"/>
        <v>#DIV/0!</v>
      </c>
      <c r="AQ85" s="841" t="e">
        <f t="shared" si="176"/>
        <v>#DIV/0!</v>
      </c>
      <c r="AR85" s="814">
        <f t="shared" si="177"/>
        <v>0</v>
      </c>
      <c r="AS85" s="819">
        <f t="shared" si="178"/>
        <v>0</v>
      </c>
      <c r="AT85" s="814" t="e">
        <f t="shared" si="179"/>
        <v>#DIV/0!</v>
      </c>
      <c r="AU85" s="814" t="e">
        <f t="shared" si="180"/>
        <v>#DIV/0!</v>
      </c>
      <c r="AV85" s="814"/>
      <c r="AW85" s="814" t="e">
        <f t="shared" si="181"/>
        <v>#DIV/0!</v>
      </c>
      <c r="AX85" s="814" t="e">
        <f t="shared" si="182"/>
        <v>#DIV/0!</v>
      </c>
      <c r="AY85" s="819" t="e">
        <f t="shared" si="183"/>
        <v>#DIV/0!</v>
      </c>
      <c r="AZ85" s="61"/>
      <c r="BA85" s="814"/>
      <c r="BB85" s="814">
        <f t="shared" si="213"/>
        <v>0</v>
      </c>
      <c r="BC85" s="17"/>
      <c r="BD85" s="17"/>
      <c r="BE85" s="814"/>
      <c r="BF85" s="814"/>
      <c r="BG85" s="11"/>
      <c r="BH85" s="814">
        <f t="shared" si="184"/>
        <v>0</v>
      </c>
      <c r="BI85" s="814">
        <f t="shared" si="185"/>
        <v>0</v>
      </c>
      <c r="BJ85" s="814" t="e">
        <f t="shared" si="186"/>
        <v>#DIV/0!</v>
      </c>
      <c r="BK85" s="814" t="e">
        <f t="shared" si="187"/>
        <v>#DIV/0!</v>
      </c>
      <c r="BL85" s="647"/>
      <c r="BM85" s="814" t="e">
        <f t="shared" si="214"/>
        <v>#DIV/0!</v>
      </c>
      <c r="BN85" s="814" t="e">
        <f>BK85-BL85</f>
        <v>#DIV/0!</v>
      </c>
      <c r="BO85" s="11"/>
      <c r="BP85" s="78"/>
      <c r="BQ85" s="642"/>
      <c r="BR85" s="826" t="e">
        <f>(AI85)/AA85/7.2214+0.01</f>
        <v>#DIV/0!</v>
      </c>
      <c r="BS85" s="824">
        <f t="shared" si="188"/>
        <v>0</v>
      </c>
      <c r="BT85" s="836">
        <f t="shared" si="189"/>
        <v>0</v>
      </c>
      <c r="BU85" s="836" t="e">
        <f t="shared" si="190"/>
        <v>#DIV/0!</v>
      </c>
      <c r="BV85" s="837" t="e">
        <f t="shared" si="191"/>
        <v>#DIV/0!</v>
      </c>
      <c r="BW85" s="647"/>
      <c r="BX85" s="647"/>
      <c r="BY85" s="647"/>
      <c r="BZ85" s="842"/>
      <c r="CA85" s="642"/>
      <c r="CB85" s="813">
        <f>SUMPRODUCT(([179]НДПИ_расчет!$C$5:$N$5=$L85)*([179]НДПИ_расчет!$C$73:$N$73))</f>
        <v>0</v>
      </c>
      <c r="CC85" s="814">
        <f>SUMPRODUCT(('[180]Динамика NB'!$E$157:$P$157=$L85)*('[180]Динамика NB'!$E$169:$P$169))</f>
        <v>0</v>
      </c>
      <c r="CD85" s="814"/>
      <c r="CE85" s="814"/>
      <c r="CF85" s="814"/>
      <c r="CG85" s="814"/>
      <c r="CH85" s="815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815">
        <f t="shared" si="192"/>
        <v>0</v>
      </c>
      <c r="CJ85" s="815"/>
      <c r="CK85" s="815"/>
      <c r="CL85" s="816"/>
      <c r="CM85" s="818"/>
      <c r="CN85" s="16"/>
      <c r="CO85" s="815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816" t="e">
        <f t="shared" si="193"/>
        <v>#DIV/0!</v>
      </c>
      <c r="CQ85" s="842"/>
      <c r="CR85" s="14"/>
      <c r="CS85" s="814" t="e">
        <f t="shared" si="194"/>
        <v>#DIV/0!</v>
      </c>
      <c r="CT85" s="814">
        <f t="shared" si="195"/>
        <v>0</v>
      </c>
      <c r="CU85" s="814" t="e">
        <f t="shared" si="196"/>
        <v>#DIV/0!</v>
      </c>
      <c r="CV85" s="815" t="e">
        <f t="shared" si="197"/>
        <v>#DIV/0!</v>
      </c>
      <c r="CW85" s="815" t="e">
        <f t="shared" si="198"/>
        <v>#DIV/0!</v>
      </c>
      <c r="CX85" s="814" t="e">
        <f t="shared" si="216"/>
        <v>#DIV/0!</v>
      </c>
      <c r="CY85" s="819" t="e">
        <f t="shared" si="199"/>
        <v>#DIV/0!</v>
      </c>
      <c r="CZ85" s="310" t="e">
        <f t="shared" si="200"/>
        <v>#DIV/0!</v>
      </c>
      <c r="DA85" s="820" t="e">
        <f t="shared" si="201"/>
        <v>#DIV/0!</v>
      </c>
      <c r="DB85" s="820" t="e">
        <f t="shared" si="202"/>
        <v>#DIV/0!</v>
      </c>
      <c r="DC85" s="820"/>
      <c r="DD85" s="820" t="e">
        <f t="shared" si="203"/>
        <v>#DIV/0!</v>
      </c>
      <c r="DE85" s="820" t="e">
        <f t="shared" si="204"/>
        <v>#DIV/0!</v>
      </c>
      <c r="DF85" s="820"/>
      <c r="DG85" s="820">
        <f t="shared" si="205"/>
        <v>0</v>
      </c>
      <c r="DH85" s="820">
        <f t="shared" si="206"/>
        <v>0</v>
      </c>
      <c r="DI85" s="820">
        <f t="shared" si="207"/>
        <v>0</v>
      </c>
      <c r="DJ85" s="820">
        <f t="shared" si="208"/>
        <v>0</v>
      </c>
      <c r="DK85" s="820" t="e">
        <f t="shared" si="209"/>
        <v>#DIV/0!</v>
      </c>
      <c r="DL85" s="820" t="e">
        <f t="shared" si="210"/>
        <v>#DIV/0!</v>
      </c>
      <c r="DM85" s="834" t="e">
        <f t="shared" si="211"/>
        <v>#DIV/0!</v>
      </c>
    </row>
    <row r="86" spans="1:119" s="68" customFormat="1" ht="15.95" customHeight="1" x14ac:dyDescent="0.25">
      <c r="A86" s="1230"/>
      <c r="B86" s="1232"/>
      <c r="C86" s="1228"/>
      <c r="D86" s="33"/>
      <c r="E86" s="33"/>
      <c r="F86" s="33"/>
      <c r="G86" s="1230"/>
      <c r="H86" s="1232"/>
      <c r="I86" s="1230"/>
      <c r="J86" s="1313" t="s">
        <v>393</v>
      </c>
      <c r="K86" s="1315"/>
      <c r="L86" s="1317"/>
      <c r="M86" s="1319"/>
      <c r="N86" s="1321"/>
      <c r="O86" s="19"/>
      <c r="P86" s="182"/>
      <c r="Q86" s="800">
        <f t="shared" si="169"/>
        <v>0</v>
      </c>
      <c r="R86" s="715">
        <f t="shared" si="170"/>
        <v>0</v>
      </c>
      <c r="S86" s="612"/>
      <c r="T86" s="616"/>
      <c r="U86" s="616"/>
      <c r="V86" s="616"/>
      <c r="W86" s="616"/>
      <c r="X86" s="1323"/>
      <c r="Y86" s="784"/>
      <c r="Z86" s="176"/>
      <c r="AA86" s="1325"/>
      <c r="AB86" s="52"/>
      <c r="AC86" s="33"/>
      <c r="AD86" s="33"/>
      <c r="AE86" s="33"/>
      <c r="AF86" s="33"/>
      <c r="AG86" s="1327" t="e">
        <f>(AI86+AI87)/AA86/CZ86</f>
        <v>#DIV/0!</v>
      </c>
      <c r="AH86" s="33"/>
      <c r="AI86" s="647"/>
      <c r="AJ86" s="647"/>
      <c r="AK86" s="813" t="e">
        <f t="shared" si="171"/>
        <v>#DIV/0!</v>
      </c>
      <c r="AL86" s="814" t="e">
        <f t="shared" si="172"/>
        <v>#DIV/0!</v>
      </c>
      <c r="AM86" s="814"/>
      <c r="AN86" s="814" t="e">
        <f t="shared" si="173"/>
        <v>#DIV/0!</v>
      </c>
      <c r="AO86" s="814" t="e">
        <f t="shared" si="174"/>
        <v>#DIV/0!</v>
      </c>
      <c r="AP86" s="819" t="e">
        <f t="shared" si="175"/>
        <v>#DIV/0!</v>
      </c>
      <c r="AQ86" s="841" t="e">
        <f t="shared" ref="AQ86" si="217">AJ86/1000/1000-AP86</f>
        <v>#DIV/0!</v>
      </c>
      <c r="AR86" s="647">
        <f t="shared" ref="AR86" si="218">AI86*Z86</f>
        <v>0</v>
      </c>
      <c r="AS86" s="842">
        <f t="shared" ref="AS86:AS87" si="219">AR86-AJ86</f>
        <v>0</v>
      </c>
      <c r="AT86" s="581" t="e">
        <f t="shared" si="179"/>
        <v>#DIV/0!</v>
      </c>
      <c r="AU86" s="581" t="e">
        <f t="shared" si="180"/>
        <v>#DIV/0!</v>
      </c>
      <c r="AV86" s="581"/>
      <c r="AW86" s="581" t="e">
        <f t="shared" si="181"/>
        <v>#DIV/0!</v>
      </c>
      <c r="AX86" s="581" t="e">
        <f t="shared" si="182"/>
        <v>#DIV/0!</v>
      </c>
      <c r="AY86" s="578" t="e">
        <f t="shared" ref="AY86" si="220">SUM(AT86:AX86)</f>
        <v>#DIV/0!</v>
      </c>
      <c r="AZ86" s="1277"/>
      <c r="BA86" s="1264" t="e">
        <f>(I86+D86)*AA86*CZ86*A86</f>
        <v>#DIV/0!</v>
      </c>
      <c r="BB86" s="1264">
        <f t="shared" si="213"/>
        <v>0</v>
      </c>
      <c r="BC86" s="73"/>
      <c r="BD86" s="73"/>
      <c r="BE86" s="581"/>
      <c r="BF86" s="581"/>
      <c r="BG86" s="1240"/>
      <c r="BH86" s="1264">
        <f>$H86*$A86*$AA86</f>
        <v>0</v>
      </c>
      <c r="BI86" s="1264">
        <f>BG86*AA86*Y86</f>
        <v>0</v>
      </c>
      <c r="BJ86" s="1264" t="e">
        <f>AJ86/AA86-AZ86-BG86*Y86</f>
        <v>#DIV/0!</v>
      </c>
      <c r="BK86" s="1264" t="e">
        <f>AR86/AA86-AZ86-BG86</f>
        <v>#DIV/0!</v>
      </c>
      <c r="BL86" s="1286" t="e">
        <f>'Company ABC_факт_НДПИ (Argus)'!N74</f>
        <v>#DIV/0!</v>
      </c>
      <c r="BM86" s="1264" t="e">
        <f>BJ86-BL86</f>
        <v>#DIV/0!</v>
      </c>
      <c r="BN86" s="1264" t="e">
        <f t="shared" ref="BN86" si="221">BK86-BL86</f>
        <v>#DIV/0!</v>
      </c>
      <c r="BO86" s="1240"/>
      <c r="BP86" s="78"/>
      <c r="BQ86" s="579"/>
      <c r="BR86" s="1238" t="e">
        <f>(AI86+AI87)/AA86/7.21</f>
        <v>#DIV/0!</v>
      </c>
      <c r="BS86" s="1240">
        <f t="shared" ref="BS86" si="222">CN86-BO86</f>
        <v>0</v>
      </c>
      <c r="BT86" s="1242">
        <f t="shared" ref="BT86" si="223">CM86-BO86</f>
        <v>0</v>
      </c>
      <c r="BU86" s="1242" t="e">
        <f>BR86-BS86</f>
        <v>#DIV/0!</v>
      </c>
      <c r="BV86" s="1280" t="e">
        <f t="shared" ref="BV86" si="224">BR86-BT86</f>
        <v>#DIV/0!</v>
      </c>
      <c r="BW86" s="34"/>
      <c r="BX86" s="34"/>
      <c r="BY86" s="34"/>
      <c r="BZ86" s="63"/>
      <c r="CA86" s="579"/>
      <c r="CB86" s="1311">
        <f>SUMPRODUCT(([179]НДПИ_расчет!$C$5:$N$5=$L86)*([179]НДПИ_расчет!$C$73:$N$73))</f>
        <v>0</v>
      </c>
      <c r="CC86" s="1286"/>
      <c r="CD86" s="581"/>
      <c r="CE86" s="581"/>
      <c r="CF86" s="581"/>
      <c r="CG86" s="581"/>
      <c r="CH86" s="1252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252">
        <f>(CB86-CC86)*AA86</f>
        <v>0</v>
      </c>
      <c r="CJ86" s="594"/>
      <c r="CK86" s="594"/>
      <c r="CL86" s="596"/>
      <c r="CM86" s="1248"/>
      <c r="CN86" s="1252"/>
      <c r="CO86" s="1252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256" t="e">
        <f t="shared" si="193"/>
        <v>#DIV/0!</v>
      </c>
      <c r="CQ86" s="578"/>
      <c r="CR86" s="1347"/>
      <c r="CS86" s="1311" t="e">
        <f t="shared" si="194"/>
        <v>#DIV/0!</v>
      </c>
      <c r="CT86" s="1264" t="e">
        <f t="shared" si="195"/>
        <v>#DIV/0!</v>
      </c>
      <c r="CU86" s="1264" t="e">
        <f t="shared" ref="CU86" si="225">CS86-CT86</f>
        <v>#DIV/0!</v>
      </c>
      <c r="CV86" s="1252" t="e">
        <f t="shared" si="197"/>
        <v>#DIV/0!</v>
      </c>
      <c r="CW86" s="1252" t="e">
        <f t="shared" si="198"/>
        <v>#DIV/0!</v>
      </c>
      <c r="CX86" s="1264" t="e">
        <f t="shared" ref="CX86" si="226">CV86-CT86</f>
        <v>#DIV/0!</v>
      </c>
      <c r="CY86" s="1323" t="e">
        <f t="shared" si="199"/>
        <v>#DIV/0!</v>
      </c>
      <c r="CZ86" s="1254" t="e">
        <f>(AI86+AI87)/AA86/BR86</f>
        <v>#DIV/0!</v>
      </c>
      <c r="DA86" s="1265" t="e">
        <f t="shared" si="201"/>
        <v>#DIV/0!</v>
      </c>
      <c r="DB86" s="1236" t="e">
        <f t="shared" si="202"/>
        <v>#DIV/0!</v>
      </c>
      <c r="DC86" s="47"/>
      <c r="DD86" s="1236" t="e">
        <f t="shared" si="203"/>
        <v>#DIV/0!</v>
      </c>
      <c r="DE86" s="1236" t="e">
        <f t="shared" si="204"/>
        <v>#DIV/0!</v>
      </c>
      <c r="DF86" s="47"/>
      <c r="DG86" s="1236" t="e">
        <f t="shared" si="205"/>
        <v>#DIV/0!</v>
      </c>
      <c r="DH86" s="1236">
        <f t="shared" si="206"/>
        <v>0</v>
      </c>
      <c r="DI86" s="1236">
        <f t="shared" si="207"/>
        <v>0</v>
      </c>
      <c r="DJ86" s="1236">
        <f t="shared" si="208"/>
        <v>0</v>
      </c>
      <c r="DK86" s="1236" t="e">
        <f t="shared" ref="DK86" si="227">CY86/1000/1000</f>
        <v>#DIV/0!</v>
      </c>
      <c r="DL86" s="1331" t="e">
        <f t="shared" ref="DL86" si="228">CP86/1000/1000</f>
        <v>#DIV/0!</v>
      </c>
      <c r="DM86" s="1329" t="e">
        <f t="shared" ref="DM86" si="229">SUM(DA86:DL86)</f>
        <v>#DIV/0!</v>
      </c>
      <c r="DO86" s="69"/>
    </row>
    <row r="87" spans="1:119" s="68" customFormat="1" ht="15.95" customHeight="1" x14ac:dyDescent="0.25">
      <c r="A87" s="1231"/>
      <c r="B87" s="1233"/>
      <c r="C87" s="1229"/>
      <c r="D87" s="33"/>
      <c r="E87" s="33"/>
      <c r="F87" s="33"/>
      <c r="G87" s="1231"/>
      <c r="H87" s="1233"/>
      <c r="I87" s="1231"/>
      <c r="J87" s="1314"/>
      <c r="K87" s="1316"/>
      <c r="L87" s="1318"/>
      <c r="M87" s="1320"/>
      <c r="N87" s="1322"/>
      <c r="O87" s="613"/>
      <c r="P87" s="614"/>
      <c r="Q87" s="715">
        <f>P87-M86</f>
        <v>0</v>
      </c>
      <c r="R87" s="715">
        <f>P87-N86</f>
        <v>0</v>
      </c>
      <c r="S87" s="612"/>
      <c r="T87" s="616"/>
      <c r="U87" s="616"/>
      <c r="V87" s="616"/>
      <c r="W87" s="616"/>
      <c r="X87" s="1324"/>
      <c r="Y87" s="172"/>
      <c r="Z87" s="176"/>
      <c r="AA87" s="1326"/>
      <c r="AB87" s="52"/>
      <c r="AC87" s="33"/>
      <c r="AD87" s="33"/>
      <c r="AE87" s="33"/>
      <c r="AF87" s="33"/>
      <c r="AG87" s="1328"/>
      <c r="AH87" s="33"/>
      <c r="AI87" s="623"/>
      <c r="AJ87" s="623"/>
      <c r="AK87" s="782"/>
      <c r="AL87" s="781"/>
      <c r="AM87" s="781"/>
      <c r="AN87" s="781"/>
      <c r="AO87" s="781"/>
      <c r="AP87" s="618"/>
      <c r="AQ87" s="625"/>
      <c r="AR87" s="623">
        <f>AI87*Z87</f>
        <v>0</v>
      </c>
      <c r="AS87" s="626">
        <f t="shared" si="219"/>
        <v>0</v>
      </c>
      <c r="AT87" s="821">
        <f t="shared" si="179"/>
        <v>0</v>
      </c>
      <c r="AU87" s="821">
        <f t="shared" si="180"/>
        <v>0</v>
      </c>
      <c r="AV87" s="821"/>
      <c r="AW87" s="821">
        <f t="shared" si="181"/>
        <v>0</v>
      </c>
      <c r="AX87" s="821">
        <f t="shared" si="182"/>
        <v>0</v>
      </c>
      <c r="AY87" s="822">
        <f t="shared" ref="AY87:AY88" si="230">SUM(AT87:AX87)</f>
        <v>0</v>
      </c>
      <c r="AZ87" s="1278"/>
      <c r="BA87" s="1251"/>
      <c r="BB87" s="1251">
        <f t="shared" si="213"/>
        <v>0</v>
      </c>
      <c r="BC87" s="73"/>
      <c r="BD87" s="73"/>
      <c r="BE87" s="778"/>
      <c r="BF87" s="778"/>
      <c r="BG87" s="1241"/>
      <c r="BH87" s="1251"/>
      <c r="BI87" s="1251"/>
      <c r="BJ87" s="1251"/>
      <c r="BK87" s="1251"/>
      <c r="BL87" s="1287"/>
      <c r="BM87" s="1251"/>
      <c r="BN87" s="1251"/>
      <c r="BO87" s="1241"/>
      <c r="BP87" s="78"/>
      <c r="BQ87" s="642"/>
      <c r="BR87" s="1239"/>
      <c r="BS87" s="1241"/>
      <c r="BT87" s="1243"/>
      <c r="BU87" s="1243"/>
      <c r="BV87" s="1281"/>
      <c r="BW87" s="34"/>
      <c r="BX87" s="34"/>
      <c r="BY87" s="34"/>
      <c r="BZ87" s="63"/>
      <c r="CA87" s="642"/>
      <c r="CB87" s="1312"/>
      <c r="CC87" s="1287"/>
      <c r="CD87" s="778"/>
      <c r="CE87" s="778"/>
      <c r="CF87" s="778"/>
      <c r="CG87" s="778"/>
      <c r="CH87" s="1253"/>
      <c r="CI87" s="1253"/>
      <c r="CJ87" s="779"/>
      <c r="CK87" s="779"/>
      <c r="CL87" s="783"/>
      <c r="CM87" s="1249"/>
      <c r="CN87" s="1253"/>
      <c r="CO87" s="1253"/>
      <c r="CP87" s="1257">
        <f t="shared" si="193"/>
        <v>0</v>
      </c>
      <c r="CQ87" s="780"/>
      <c r="CR87" s="1348"/>
      <c r="CS87" s="1312"/>
      <c r="CT87" s="1251"/>
      <c r="CU87" s="1251"/>
      <c r="CV87" s="1253"/>
      <c r="CW87" s="1253"/>
      <c r="CX87" s="1251"/>
      <c r="CY87" s="1324"/>
      <c r="CZ87" s="1255"/>
      <c r="DA87" s="1266"/>
      <c r="DB87" s="1237"/>
      <c r="DC87" s="47"/>
      <c r="DD87" s="1237"/>
      <c r="DE87" s="1237"/>
      <c r="DF87" s="47"/>
      <c r="DG87" s="1237"/>
      <c r="DH87" s="1237"/>
      <c r="DI87" s="1237"/>
      <c r="DJ87" s="1237"/>
      <c r="DK87" s="1237"/>
      <c r="DL87" s="1332"/>
      <c r="DM87" s="1330"/>
      <c r="DO87" s="69"/>
    </row>
    <row r="88" spans="1:119" s="68" customFormat="1" ht="15.95" customHeight="1" x14ac:dyDescent="0.25">
      <c r="A88" s="828"/>
      <c r="B88" s="827"/>
      <c r="C88" s="825"/>
      <c r="D88" s="33"/>
      <c r="E88" s="33"/>
      <c r="F88" s="33"/>
      <c r="G88" s="828"/>
      <c r="H88" s="827"/>
      <c r="I88" s="828"/>
      <c r="J88" s="80" t="s">
        <v>393</v>
      </c>
      <c r="K88" s="430"/>
      <c r="L88" s="730"/>
      <c r="M88" s="1006"/>
      <c r="N88" s="848"/>
      <c r="O88" s="32"/>
      <c r="P88" s="487"/>
      <c r="Q88" s="715">
        <f t="shared" ref="Q88" si="231">P88-M88</f>
        <v>0</v>
      </c>
      <c r="R88" s="715">
        <f t="shared" ref="R88" si="232">P88-N88</f>
        <v>0</v>
      </c>
      <c r="S88" s="612"/>
      <c r="T88" s="616"/>
      <c r="U88" s="616"/>
      <c r="V88" s="616"/>
      <c r="W88" s="616"/>
      <c r="X88" s="822"/>
      <c r="Y88" s="840"/>
      <c r="Z88" s="176"/>
      <c r="AA88" s="838"/>
      <c r="AB88" s="52"/>
      <c r="AC88" s="33"/>
      <c r="AD88" s="33"/>
      <c r="AE88" s="33"/>
      <c r="AF88" s="33"/>
      <c r="AG88" s="844" t="e">
        <f>(AI88)/AA88/CZ88</f>
        <v>#DIV/0!</v>
      </c>
      <c r="AH88" s="33"/>
      <c r="AI88" s="623"/>
      <c r="AJ88" s="623"/>
      <c r="AK88" s="997" t="e">
        <f>AB88*$CZ88*$AA88*$Y88/1000/1000</f>
        <v>#DIV/0!</v>
      </c>
      <c r="AL88" s="1003" t="e">
        <f>AC88*$CZ88*$AA88*$Y88/1000/1000</f>
        <v>#DIV/0!</v>
      </c>
      <c r="AM88" s="1003"/>
      <c r="AN88" s="1003" t="e">
        <f t="shared" ref="AN88:AP89" si="233">AE88*$CZ88*$AA88*$Y88/1000/1000</f>
        <v>#DIV/0!</v>
      </c>
      <c r="AO88" s="1003" t="e">
        <f t="shared" si="233"/>
        <v>#DIV/0!</v>
      </c>
      <c r="AP88" s="618" t="e">
        <f t="shared" si="233"/>
        <v>#DIV/0!</v>
      </c>
      <c r="AQ88" s="625" t="e">
        <f t="shared" ref="AQ88" si="234">AJ88/1000/1000-AP88</f>
        <v>#DIV/0!</v>
      </c>
      <c r="AR88" s="623">
        <f t="shared" ref="AR88" si="235">AI88*Z88</f>
        <v>0</v>
      </c>
      <c r="AS88" s="626">
        <f t="shared" ref="AS88" si="236">AR88-AJ88</f>
        <v>0</v>
      </c>
      <c r="AT88" s="821" t="e">
        <f t="shared" si="179"/>
        <v>#DIV/0!</v>
      </c>
      <c r="AU88" s="821" t="e">
        <f t="shared" si="180"/>
        <v>#DIV/0!</v>
      </c>
      <c r="AV88" s="821"/>
      <c r="AW88" s="821" t="e">
        <f t="shared" si="181"/>
        <v>#DIV/0!</v>
      </c>
      <c r="AX88" s="821" t="e">
        <f t="shared" si="182"/>
        <v>#DIV/0!</v>
      </c>
      <c r="AY88" s="822" t="e">
        <f t="shared" si="230"/>
        <v>#DIV/0!</v>
      </c>
      <c r="AZ88" s="829"/>
      <c r="BA88" s="821" t="e">
        <f>(I88+D88)*AA88*CZ88*A88</f>
        <v>#DIV/0!</v>
      </c>
      <c r="BB88" s="821">
        <f t="shared" si="213"/>
        <v>0</v>
      </c>
      <c r="BC88" s="73"/>
      <c r="BD88" s="73"/>
      <c r="BE88" s="821"/>
      <c r="BF88" s="821"/>
      <c r="BG88" s="812"/>
      <c r="BH88" s="821">
        <f>$H88*$A88*$AA88</f>
        <v>0</v>
      </c>
      <c r="BI88" s="821">
        <f>BG88*AA88*Y88</f>
        <v>0</v>
      </c>
      <c r="BJ88" s="821" t="e">
        <f>AJ88/AA88-AZ88-BG88*Y88</f>
        <v>#DIV/0!</v>
      </c>
      <c r="BK88" s="821" t="e">
        <f>AR88/AA88-AZ88-BG88</f>
        <v>#DIV/0!</v>
      </c>
      <c r="BL88" s="811" t="e">
        <f>BL86</f>
        <v>#DIV/0!</v>
      </c>
      <c r="BM88" s="821" t="e">
        <f>BJ88-BL88</f>
        <v>#DIV/0!</v>
      </c>
      <c r="BN88" s="821" t="e">
        <f t="shared" ref="BN88" si="237">BK88-BL88</f>
        <v>#DIV/0!</v>
      </c>
      <c r="BO88" s="812"/>
      <c r="BP88" s="825"/>
      <c r="BQ88" s="642"/>
      <c r="BR88" s="817" t="e">
        <f>(AI88)/AA88/7.2214+0.01</f>
        <v>#DIV/0!</v>
      </c>
      <c r="BS88" s="812">
        <f t="shared" ref="BS88" si="238">CN88-BO88</f>
        <v>0</v>
      </c>
      <c r="BT88" s="833">
        <f t="shared" ref="BT88" si="239">CM88-BO88</f>
        <v>0</v>
      </c>
      <c r="BU88" s="833" t="e">
        <f>BR88-BS88</f>
        <v>#DIV/0!</v>
      </c>
      <c r="BV88" s="835" t="e">
        <f t="shared" ref="BV88" si="240">BR88-BT88</f>
        <v>#DIV/0!</v>
      </c>
      <c r="BW88" s="34"/>
      <c r="BX88" s="34"/>
      <c r="BY88" s="34"/>
      <c r="BZ88" s="63"/>
      <c r="CA88" s="642"/>
      <c r="CB88" s="830">
        <f>SUMPRODUCT(([179]НДПИ_расчет!$C$5:$N$5=$L88)*([179]НДПИ_расчет!$C$73:$N$73))</f>
        <v>0</v>
      </c>
      <c r="CC88" s="811"/>
      <c r="CD88" s="821"/>
      <c r="CE88" s="821"/>
      <c r="CF88" s="821"/>
      <c r="CG88" s="821"/>
      <c r="CH88" s="823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823">
        <f>(CB88-CC88)*AA88</f>
        <v>0</v>
      </c>
      <c r="CJ88" s="823"/>
      <c r="CK88" s="823"/>
      <c r="CL88" s="846"/>
      <c r="CM88" s="843"/>
      <c r="CN88" s="823"/>
      <c r="CO88" s="823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846" t="e">
        <f t="shared" si="193"/>
        <v>#DIV/0!</v>
      </c>
      <c r="CQ88" s="822"/>
      <c r="CR88" s="810"/>
      <c r="CS88" s="830" t="e">
        <f>AA88*BK88/1000/1000</f>
        <v>#DIV/0!</v>
      </c>
      <c r="CT88" s="821" t="e">
        <f>BL88*AA88</f>
        <v>#DIV/0!</v>
      </c>
      <c r="CU88" s="821" t="e">
        <f t="shared" ref="CU88" si="241">CS88-CT88</f>
        <v>#DIV/0!</v>
      </c>
      <c r="CV88" s="823" t="e">
        <f>BL88/CR88*Y88*AA88</f>
        <v>#DIV/0!</v>
      </c>
      <c r="CW88" s="823" t="e">
        <f>BL88/CR88*Z88*AA88</f>
        <v>#DIV/0!</v>
      </c>
      <c r="CX88" s="821" t="e">
        <f t="shared" ref="CX88" si="242">CV88-CT88</f>
        <v>#DIV/0!</v>
      </c>
      <c r="CY88" s="822" t="e">
        <f>CW88-CH88</f>
        <v>#DIV/0!</v>
      </c>
      <c r="CZ88" s="845" t="e">
        <f>AI88/AA88/BR88</f>
        <v>#DIV/0!</v>
      </c>
      <c r="DA88" s="847" t="e">
        <f>BU88*CZ88*AA88*CR88/1000000</f>
        <v>#DIV/0!</v>
      </c>
      <c r="DB88" s="831" t="e">
        <f>BV88*CZ88*AA88*CR88/1000000</f>
        <v>#DIV/0!</v>
      </c>
      <c r="DC88" s="47"/>
      <c r="DD88" s="831" t="e">
        <f>SUM(AT88,AW88,AX88)</f>
        <v>#DIV/0!</v>
      </c>
      <c r="DE88" s="831" t="e">
        <f>AL88</f>
        <v>#DIV/0!</v>
      </c>
      <c r="DF88" s="47"/>
      <c r="DG88" s="831" t="e">
        <f>(BA88-BB88)/1000/1000</f>
        <v>#DIV/0!</v>
      </c>
      <c r="DH88" s="831">
        <f>(BH88-BI88)/1000/1000</f>
        <v>0</v>
      </c>
      <c r="DI88" s="831">
        <f>AS88/1000000</f>
        <v>0</v>
      </c>
      <c r="DJ88" s="831">
        <f>CI88/1000/1000</f>
        <v>0</v>
      </c>
      <c r="DK88" s="831" t="e">
        <f t="shared" ref="DK88" si="243">CY88/1000/1000</f>
        <v>#DIV/0!</v>
      </c>
      <c r="DL88" s="849" t="e">
        <f t="shared" ref="DL88" si="244">CP88/1000/1000</f>
        <v>#DIV/0!</v>
      </c>
      <c r="DM88" s="832" t="e">
        <f t="shared" ref="DM88" si="245">SUM(DA88:DL88)</f>
        <v>#DIV/0!</v>
      </c>
      <c r="DO88" s="69"/>
    </row>
    <row r="89" spans="1:119" s="68" customFormat="1" ht="15.95" customHeight="1" x14ac:dyDescent="0.25">
      <c r="A89" s="990"/>
      <c r="B89" s="991"/>
      <c r="C89" s="992"/>
      <c r="D89" s="33"/>
      <c r="E89" s="33"/>
      <c r="F89" s="33"/>
      <c r="G89" s="990"/>
      <c r="H89" s="991"/>
      <c r="I89" s="990"/>
      <c r="J89" s="80" t="s">
        <v>393</v>
      </c>
      <c r="K89" s="430"/>
      <c r="L89" s="730"/>
      <c r="M89" s="1006"/>
      <c r="N89" s="994"/>
      <c r="O89" s="32"/>
      <c r="P89" s="487"/>
      <c r="Q89" s="715">
        <f t="shared" ref="Q89" si="246">P89-M89</f>
        <v>0</v>
      </c>
      <c r="R89" s="715">
        <f t="shared" ref="R89" si="247">P89-N89</f>
        <v>0</v>
      </c>
      <c r="S89" s="612"/>
      <c r="T89" s="616"/>
      <c r="U89" s="616"/>
      <c r="V89" s="616"/>
      <c r="W89" s="616"/>
      <c r="X89" s="983"/>
      <c r="Y89" s="1005"/>
      <c r="Z89" s="176"/>
      <c r="AA89" s="995"/>
      <c r="AB89" s="52"/>
      <c r="AC89" s="33"/>
      <c r="AD89" s="33"/>
      <c r="AE89" s="33"/>
      <c r="AF89" s="33"/>
      <c r="AG89" s="996" t="e">
        <f>(AI89)/AA89/CZ89</f>
        <v>#DIV/0!</v>
      </c>
      <c r="AH89" s="33"/>
      <c r="AI89" s="623"/>
      <c r="AJ89" s="623"/>
      <c r="AK89" s="997" t="e">
        <f>AB89*$CZ89*$AA89*$Y89/1000/1000</f>
        <v>#DIV/0!</v>
      </c>
      <c r="AL89" s="1003" t="e">
        <f>AC89*$CZ89*$AA89*$Y89/1000/1000</f>
        <v>#DIV/0!</v>
      </c>
      <c r="AM89" s="1003"/>
      <c r="AN89" s="1003" t="e">
        <f t="shared" si="233"/>
        <v>#DIV/0!</v>
      </c>
      <c r="AO89" s="1003" t="e">
        <f t="shared" si="233"/>
        <v>#DIV/0!</v>
      </c>
      <c r="AP89" s="618" t="e">
        <f t="shared" si="233"/>
        <v>#DIV/0!</v>
      </c>
      <c r="AQ89" s="625" t="e">
        <f t="shared" ref="AQ89" si="248">AJ89/1000/1000-AP89</f>
        <v>#DIV/0!</v>
      </c>
      <c r="AR89" s="623">
        <f t="shared" ref="AR89" si="249">AI89*Z89</f>
        <v>0</v>
      </c>
      <c r="AS89" s="626">
        <f t="shared" ref="AS89" si="250">AR89-AJ89</f>
        <v>0</v>
      </c>
      <c r="AT89" s="988" t="e">
        <f t="shared" si="179"/>
        <v>#DIV/0!</v>
      </c>
      <c r="AU89" s="988" t="e">
        <f t="shared" si="180"/>
        <v>#DIV/0!</v>
      </c>
      <c r="AV89" s="988"/>
      <c r="AW89" s="988" t="e">
        <f t="shared" si="181"/>
        <v>#DIV/0!</v>
      </c>
      <c r="AX89" s="988" t="e">
        <f t="shared" si="182"/>
        <v>#DIV/0!</v>
      </c>
      <c r="AY89" s="983" t="e">
        <f t="shared" ref="AY89" si="251">SUM(AT89:AX89)</f>
        <v>#DIV/0!</v>
      </c>
      <c r="AZ89" s="997"/>
      <c r="BA89" s="988" t="e">
        <f>(I89+D89)*AA89*CZ89*A89</f>
        <v>#DIV/0!</v>
      </c>
      <c r="BB89" s="988">
        <f t="shared" si="213"/>
        <v>0</v>
      </c>
      <c r="BC89" s="73"/>
      <c r="BD89" s="73"/>
      <c r="BE89" s="988"/>
      <c r="BF89" s="988"/>
      <c r="BG89" s="993"/>
      <c r="BH89" s="988">
        <f>$H89*$A89*$AA89</f>
        <v>0</v>
      </c>
      <c r="BI89" s="988">
        <f>BG89*AA89*Y89</f>
        <v>0</v>
      </c>
      <c r="BJ89" s="988" t="e">
        <f>AJ89/AA89-AZ89-BG89*Y89</f>
        <v>#DIV/0!</v>
      </c>
      <c r="BK89" s="988" t="e">
        <f>AR89/AA89-AZ89-BG89</f>
        <v>#DIV/0!</v>
      </c>
      <c r="BL89" s="984" t="e">
        <f>BL86</f>
        <v>#DIV/0!</v>
      </c>
      <c r="BM89" s="988" t="e">
        <f>BJ89-BL89</f>
        <v>#DIV/0!</v>
      </c>
      <c r="BN89" s="988" t="e">
        <f t="shared" ref="BN89" si="252">BK89-BL89</f>
        <v>#DIV/0!</v>
      </c>
      <c r="BO89" s="993"/>
      <c r="BP89" s="992"/>
      <c r="BQ89" s="642"/>
      <c r="BR89" s="998" t="e">
        <f>(AI89)/AA89/7.2214+0.01</f>
        <v>#DIV/0!</v>
      </c>
      <c r="BS89" s="993">
        <f t="shared" ref="BS89" si="253">CN89-BO89</f>
        <v>0</v>
      </c>
      <c r="BT89" s="999">
        <f t="shared" ref="BT89" si="254">CM89-BO89</f>
        <v>0</v>
      </c>
      <c r="BU89" s="999" t="e">
        <f>BR89-BS89</f>
        <v>#DIV/0!</v>
      </c>
      <c r="BV89" s="989" t="e">
        <f t="shared" ref="BV89" si="255">BR89-BT89</f>
        <v>#DIV/0!</v>
      </c>
      <c r="BW89" s="34"/>
      <c r="BX89" s="34"/>
      <c r="BY89" s="34"/>
      <c r="BZ89" s="63"/>
      <c r="CA89" s="642"/>
      <c r="CB89" s="987">
        <f>SUMPRODUCT(([179]НДПИ_расчет!$C$5:$N$5=$L89)*([179]НДПИ_расчет!$C$73:$N$73))</f>
        <v>0</v>
      </c>
      <c r="CC89" s="984"/>
      <c r="CD89" s="988"/>
      <c r="CE89" s="988"/>
      <c r="CF89" s="988"/>
      <c r="CG89" s="988"/>
      <c r="CH89" s="981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981">
        <f>(CB89-CC89)*AA89</f>
        <v>0</v>
      </c>
      <c r="CJ89" s="981"/>
      <c r="CK89" s="981"/>
      <c r="CL89" s="982"/>
      <c r="CM89" s="985"/>
      <c r="CN89" s="981"/>
      <c r="CO89" s="981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982" t="e">
        <f t="shared" si="193"/>
        <v>#DIV/0!</v>
      </c>
      <c r="CQ89" s="983"/>
      <c r="CR89" s="986"/>
      <c r="CS89" s="987" t="e">
        <f>AA89*BK89/1000/1000</f>
        <v>#DIV/0!</v>
      </c>
      <c r="CT89" s="988" t="e">
        <f>BL89*AA89</f>
        <v>#DIV/0!</v>
      </c>
      <c r="CU89" s="988" t="e">
        <f t="shared" ref="CU89" si="256">CS89-CT89</f>
        <v>#DIV/0!</v>
      </c>
      <c r="CV89" s="981" t="e">
        <f>BL89/CR89*Y89*AA89</f>
        <v>#DIV/0!</v>
      </c>
      <c r="CW89" s="981" t="e">
        <f>BL89/CR89*Z89*AA89</f>
        <v>#DIV/0!</v>
      </c>
      <c r="CX89" s="988" t="e">
        <f t="shared" ref="CX89" si="257">CV89-CT89</f>
        <v>#DIV/0!</v>
      </c>
      <c r="CY89" s="983" t="e">
        <f>CW89-CH89</f>
        <v>#DIV/0!</v>
      </c>
      <c r="CZ89" s="1000" t="e">
        <f>AI89/AA89/BR89</f>
        <v>#DIV/0!</v>
      </c>
      <c r="DA89" s="1001" t="e">
        <f>BU89*CZ89*AA89*CR89/1000000</f>
        <v>#DIV/0!</v>
      </c>
      <c r="DB89" s="978" t="e">
        <f>BV89*CZ89*AA89*CR89/1000000</f>
        <v>#DIV/0!</v>
      </c>
      <c r="DC89" s="47"/>
      <c r="DD89" s="978" t="e">
        <f>SUM(AT89,AW89,AX89)</f>
        <v>#DIV/0!</v>
      </c>
      <c r="DE89" s="978" t="e">
        <f>AL89</f>
        <v>#DIV/0!</v>
      </c>
      <c r="DF89" s="47"/>
      <c r="DG89" s="978" t="e">
        <f>(BA89-BB89)/1000/1000</f>
        <v>#DIV/0!</v>
      </c>
      <c r="DH89" s="978">
        <f>(BH89-BI89)/1000/1000</f>
        <v>0</v>
      </c>
      <c r="DI89" s="978">
        <f>AS89/1000000</f>
        <v>0</v>
      </c>
      <c r="DJ89" s="978">
        <f>CI89/1000/1000</f>
        <v>0</v>
      </c>
      <c r="DK89" s="978" t="e">
        <f t="shared" ref="DK89" si="258">CY89/1000/1000</f>
        <v>#DIV/0!</v>
      </c>
      <c r="DL89" s="979" t="e">
        <f t="shared" ref="DL89" si="259">CP89/1000/1000</f>
        <v>#DIV/0!</v>
      </c>
      <c r="DM89" s="980" t="e">
        <f t="shared" ref="DM89" si="260">SUM(DA89:DL89)</f>
        <v>#DIV/0!</v>
      </c>
      <c r="DO89" s="69"/>
    </row>
    <row r="90" spans="1:119" s="68" customFormat="1" ht="15.95" customHeight="1" outlineLevel="1" x14ac:dyDescent="0.25">
      <c r="A90" s="33"/>
      <c r="B90" s="52"/>
      <c r="C90" s="33"/>
      <c r="D90" s="33"/>
      <c r="E90" s="33"/>
      <c r="F90" s="33"/>
      <c r="G90" s="49"/>
      <c r="H90" s="33"/>
      <c r="I90" s="33"/>
      <c r="J90" s="70"/>
      <c r="K90" s="62"/>
      <c r="L90" s="63"/>
      <c r="M90" s="185"/>
      <c r="N90" s="35"/>
      <c r="O90" s="34"/>
      <c r="P90" s="186"/>
      <c r="Q90" s="23"/>
      <c r="R90" s="35"/>
      <c r="S90" s="35"/>
      <c r="T90" s="23"/>
      <c r="U90" s="23"/>
      <c r="V90" s="23"/>
      <c r="W90" s="23"/>
      <c r="X90" s="34"/>
      <c r="Y90" s="172"/>
      <c r="Z90" s="176"/>
      <c r="AA90" s="460"/>
      <c r="AB90" s="52"/>
      <c r="AC90" s="33"/>
      <c r="AD90" s="33"/>
      <c r="AE90" s="33"/>
      <c r="AF90" s="33"/>
      <c r="AG90" s="76"/>
      <c r="AH90" s="33"/>
      <c r="AI90" s="34"/>
      <c r="AJ90" s="34"/>
      <c r="AK90" s="584"/>
      <c r="AL90" s="581"/>
      <c r="AM90" s="581"/>
      <c r="AN90" s="581"/>
      <c r="AO90" s="581"/>
      <c r="AP90" s="578"/>
      <c r="AQ90" s="591"/>
      <c r="AR90" s="34"/>
      <c r="AS90" s="63"/>
      <c r="AT90" s="581"/>
      <c r="AU90" s="581"/>
      <c r="AV90" s="581"/>
      <c r="AW90" s="581"/>
      <c r="AX90" s="581"/>
      <c r="AY90" s="578"/>
      <c r="AZ90" s="62"/>
      <c r="BA90" s="581"/>
      <c r="BB90" s="581"/>
      <c r="BC90" s="73"/>
      <c r="BD90" s="73"/>
      <c r="BE90" s="581"/>
      <c r="BF90" s="581"/>
      <c r="BG90" s="33"/>
      <c r="BH90" s="581"/>
      <c r="BI90" s="581"/>
      <c r="BJ90" s="34"/>
      <c r="BK90" s="34"/>
      <c r="BL90" s="34"/>
      <c r="BM90" s="34"/>
      <c r="BN90" s="34"/>
      <c r="BO90" s="33"/>
      <c r="BP90" s="576"/>
      <c r="BQ90" s="579"/>
      <c r="BR90" s="52"/>
      <c r="BS90" s="33"/>
      <c r="BT90" s="521"/>
      <c r="BU90" s="521"/>
      <c r="BV90" s="315"/>
      <c r="BW90" s="34"/>
      <c r="BX90" s="34"/>
      <c r="BY90" s="34"/>
      <c r="BZ90" s="63"/>
      <c r="CA90" s="579"/>
      <c r="CB90" s="584"/>
      <c r="CC90" s="581"/>
      <c r="CD90" s="581"/>
      <c r="CE90" s="581"/>
      <c r="CF90" s="581"/>
      <c r="CG90" s="581"/>
      <c r="CH90" s="594"/>
      <c r="CI90" s="594"/>
      <c r="CJ90" s="594"/>
      <c r="CK90" s="594"/>
      <c r="CL90" s="596"/>
      <c r="CM90" s="595"/>
      <c r="CN90" s="23"/>
      <c r="CO90" s="594"/>
      <c r="CP90" s="596"/>
      <c r="CQ90" s="578"/>
      <c r="CR90" s="49"/>
      <c r="CS90" s="34"/>
      <c r="CT90" s="34"/>
      <c r="CU90" s="34"/>
      <c r="CV90" s="23"/>
      <c r="CW90" s="23"/>
      <c r="CX90" s="34"/>
      <c r="CY90" s="63"/>
      <c r="CZ90" s="311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56"/>
      <c r="DO90" s="69"/>
    </row>
    <row r="91" spans="1:119" s="68" customFormat="1" ht="15.95" customHeight="1" outlineLevel="1" x14ac:dyDescent="0.25">
      <c r="A91" s="33"/>
      <c r="B91" s="52"/>
      <c r="C91" s="33"/>
      <c r="D91" s="33"/>
      <c r="E91" s="33"/>
      <c r="F91" s="33"/>
      <c r="G91" s="49"/>
      <c r="H91" s="33"/>
      <c r="I91" s="33"/>
      <c r="J91" s="70"/>
      <c r="K91" s="62"/>
      <c r="L91" s="63"/>
      <c r="M91" s="185"/>
      <c r="N91" s="35"/>
      <c r="O91" s="34"/>
      <c r="P91" s="186"/>
      <c r="Q91" s="23"/>
      <c r="R91" s="35"/>
      <c r="S91" s="35"/>
      <c r="T91" s="23"/>
      <c r="U91" s="23"/>
      <c r="V91" s="23"/>
      <c r="W91" s="23"/>
      <c r="X91" s="34"/>
      <c r="Y91" s="172"/>
      <c r="Z91" s="176"/>
      <c r="AA91" s="460"/>
      <c r="AB91" s="52"/>
      <c r="AC91" s="33"/>
      <c r="AD91" s="33"/>
      <c r="AE91" s="33"/>
      <c r="AF91" s="33"/>
      <c r="AG91" s="76"/>
      <c r="AH91" s="33"/>
      <c r="AI91" s="34"/>
      <c r="AJ91" s="34"/>
      <c r="AK91" s="584"/>
      <c r="AL91" s="581"/>
      <c r="AM91" s="581"/>
      <c r="AN91" s="581"/>
      <c r="AO91" s="581"/>
      <c r="AP91" s="578"/>
      <c r="AQ91" s="591"/>
      <c r="AR91" s="34"/>
      <c r="AS91" s="63"/>
      <c r="AT91" s="581"/>
      <c r="AU91" s="581"/>
      <c r="AV91" s="581"/>
      <c r="AW91" s="581"/>
      <c r="AX91" s="581"/>
      <c r="AY91" s="578"/>
      <c r="AZ91" s="62"/>
      <c r="BA91" s="581"/>
      <c r="BB91" s="581"/>
      <c r="BC91" s="73"/>
      <c r="BD91" s="73"/>
      <c r="BE91" s="581"/>
      <c r="BF91" s="581"/>
      <c r="BG91" s="33"/>
      <c r="BH91" s="581"/>
      <c r="BI91" s="581"/>
      <c r="BJ91" s="34"/>
      <c r="BK91" s="34"/>
      <c r="BL91" s="34"/>
      <c r="BM91" s="34"/>
      <c r="BN91" s="34"/>
      <c r="BO91" s="33"/>
      <c r="BP91" s="576"/>
      <c r="BQ91" s="579"/>
      <c r="BR91" s="52"/>
      <c r="BS91" s="33"/>
      <c r="BT91" s="521"/>
      <c r="BU91" s="521"/>
      <c r="BV91" s="315"/>
      <c r="BW91" s="34"/>
      <c r="BX91" s="34"/>
      <c r="BY91" s="34"/>
      <c r="BZ91" s="63"/>
      <c r="CA91" s="579"/>
      <c r="CB91" s="584"/>
      <c r="CC91" s="581"/>
      <c r="CD91" s="581"/>
      <c r="CE91" s="581"/>
      <c r="CF91" s="581"/>
      <c r="CG91" s="581"/>
      <c r="CH91" s="594"/>
      <c r="CI91" s="594"/>
      <c r="CJ91" s="594"/>
      <c r="CK91" s="594"/>
      <c r="CL91" s="596"/>
      <c r="CM91" s="595"/>
      <c r="CN91" s="23"/>
      <c r="CO91" s="594"/>
      <c r="CP91" s="596"/>
      <c r="CQ91" s="578"/>
      <c r="CR91" s="49"/>
      <c r="CS91" s="34"/>
      <c r="CT91" s="34"/>
      <c r="CU91" s="34"/>
      <c r="CV91" s="23"/>
      <c r="CW91" s="23"/>
      <c r="CX91" s="34"/>
      <c r="CY91" s="63"/>
      <c r="CZ91" s="311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56"/>
      <c r="DO91" s="69"/>
    </row>
    <row r="92" spans="1:119" s="68" customFormat="1" ht="15.95" customHeight="1" outlineLevel="1" x14ac:dyDescent="0.25">
      <c r="A92" s="576"/>
      <c r="B92" s="575"/>
      <c r="C92" s="576"/>
      <c r="D92" s="576"/>
      <c r="E92" s="576"/>
      <c r="F92" s="576"/>
      <c r="G92" s="590"/>
      <c r="H92" s="576"/>
      <c r="I92" s="576"/>
      <c r="J92" s="70"/>
      <c r="K92" s="62"/>
      <c r="L92" s="63"/>
      <c r="M92" s="185"/>
      <c r="N92" s="35"/>
      <c r="O92" s="34"/>
      <c r="P92" s="186"/>
      <c r="Q92" s="23"/>
      <c r="R92" s="35"/>
      <c r="S92" s="35"/>
      <c r="T92" s="23"/>
      <c r="U92" s="23"/>
      <c r="V92" s="23"/>
      <c r="W92" s="23"/>
      <c r="X92" s="34"/>
      <c r="Y92" s="172"/>
      <c r="Z92" s="176"/>
      <c r="AA92" s="460"/>
      <c r="AB92" s="52"/>
      <c r="AC92" s="33"/>
      <c r="AD92" s="33"/>
      <c r="AE92" s="33"/>
      <c r="AF92" s="33"/>
      <c r="AG92" s="76"/>
      <c r="AH92" s="33"/>
      <c r="AI92" s="34"/>
      <c r="AJ92" s="34"/>
      <c r="AK92" s="584"/>
      <c r="AL92" s="581"/>
      <c r="AM92" s="581"/>
      <c r="AN92" s="581"/>
      <c r="AO92" s="581"/>
      <c r="AP92" s="578"/>
      <c r="AQ92" s="591"/>
      <c r="AR92" s="34"/>
      <c r="AS92" s="63"/>
      <c r="AT92" s="581"/>
      <c r="AU92" s="581"/>
      <c r="AV92" s="581"/>
      <c r="AW92" s="581"/>
      <c r="AX92" s="581"/>
      <c r="AY92" s="578"/>
      <c r="AZ92" s="62"/>
      <c r="BA92" s="581"/>
      <c r="BB92" s="581"/>
      <c r="BC92" s="73"/>
      <c r="BD92" s="73"/>
      <c r="BE92" s="581"/>
      <c r="BF92" s="581"/>
      <c r="BG92" s="33"/>
      <c r="BH92" s="581"/>
      <c r="BI92" s="581"/>
      <c r="BJ92" s="34"/>
      <c r="BK92" s="34"/>
      <c r="BL92" s="34"/>
      <c r="BM92" s="34"/>
      <c r="BN92" s="34"/>
      <c r="BO92" s="33"/>
      <c r="BP92" s="576"/>
      <c r="BQ92" s="579"/>
      <c r="BR92" s="52"/>
      <c r="BS92" s="33"/>
      <c r="BT92" s="521"/>
      <c r="BU92" s="521"/>
      <c r="BV92" s="315"/>
      <c r="BW92" s="34"/>
      <c r="BX92" s="34"/>
      <c r="BY92" s="34"/>
      <c r="BZ92" s="63"/>
      <c r="CA92" s="579"/>
      <c r="CB92" s="584"/>
      <c r="CC92" s="581"/>
      <c r="CD92" s="581"/>
      <c r="CE92" s="581"/>
      <c r="CF92" s="581"/>
      <c r="CG92" s="581"/>
      <c r="CH92" s="594"/>
      <c r="CI92" s="594"/>
      <c r="CJ92" s="594"/>
      <c r="CK92" s="594"/>
      <c r="CL92" s="596"/>
      <c r="CM92" s="595"/>
      <c r="CN92" s="23"/>
      <c r="CO92" s="594"/>
      <c r="CP92" s="596"/>
      <c r="CQ92" s="578"/>
      <c r="CR92" s="49"/>
      <c r="CS92" s="34"/>
      <c r="CT92" s="34"/>
      <c r="CU92" s="34"/>
      <c r="CV92" s="23"/>
      <c r="CW92" s="23"/>
      <c r="CX92" s="34"/>
      <c r="CY92" s="63"/>
      <c r="CZ92" s="311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56">
        <f>SUM(DA92:DK92)</f>
        <v>0</v>
      </c>
      <c r="DO92" s="69"/>
    </row>
    <row r="93" spans="1:119" s="117" customFormat="1" ht="24.95" customHeight="1" x14ac:dyDescent="0.25">
      <c r="A93" s="393"/>
      <c r="B93" s="393"/>
      <c r="C93" s="393"/>
      <c r="D93" s="393"/>
      <c r="E93" s="393"/>
      <c r="F93" s="393"/>
      <c r="G93" s="393"/>
      <c r="H93" s="393"/>
      <c r="I93" s="407"/>
      <c r="J93" s="384" t="s">
        <v>379</v>
      </c>
      <c r="K93" s="708"/>
      <c r="L93" s="388"/>
      <c r="M93" s="674"/>
      <c r="N93" s="387"/>
      <c r="O93" s="388"/>
      <c r="P93" s="389"/>
      <c r="Q93" s="562"/>
      <c r="R93" s="674"/>
      <c r="S93" s="674"/>
      <c r="T93" s="562">
        <f>SUM(T62:T92)</f>
        <v>0</v>
      </c>
      <c r="U93" s="562">
        <f>SUM(U62:U92)</f>
        <v>0</v>
      </c>
      <c r="V93" s="562"/>
      <c r="W93" s="562"/>
      <c r="X93" s="388"/>
      <c r="Y93" s="394" t="e">
        <f>AJ93/AI93</f>
        <v>#DIV/0!</v>
      </c>
      <c r="Z93" s="394" t="e">
        <f>AR93/AI93</f>
        <v>#DIV/0!</v>
      </c>
      <c r="AA93" s="397">
        <f>SUM(AA62:AA92)</f>
        <v>0</v>
      </c>
      <c r="AB93" s="392"/>
      <c r="AC93" s="393"/>
      <c r="AD93" s="393"/>
      <c r="AE93" s="393"/>
      <c r="AF93" s="393"/>
      <c r="AG93" s="394"/>
      <c r="AH93" s="393"/>
      <c r="AI93" s="388">
        <f t="shared" ref="AI93:AP93" si="261">SUM(AI62:AI92)</f>
        <v>0</v>
      </c>
      <c r="AJ93" s="388">
        <f t="shared" si="261"/>
        <v>0</v>
      </c>
      <c r="AK93" s="395" t="e">
        <f t="shared" si="261"/>
        <v>#DIV/0!</v>
      </c>
      <c r="AL93" s="388" t="e">
        <f t="shared" si="261"/>
        <v>#DIV/0!</v>
      </c>
      <c r="AM93" s="388">
        <f t="shared" si="261"/>
        <v>0</v>
      </c>
      <c r="AN93" s="388" t="e">
        <f t="shared" si="261"/>
        <v>#DIV/0!</v>
      </c>
      <c r="AO93" s="388" t="e">
        <f t="shared" si="261"/>
        <v>#DIV/0!</v>
      </c>
      <c r="AP93" s="385" t="e">
        <f t="shared" si="261"/>
        <v>#DIV/0!</v>
      </c>
      <c r="AQ93" s="396"/>
      <c r="AR93" s="388">
        <f t="shared" ref="AR93:AY93" si="262">SUM(AR62:AR92)</f>
        <v>0</v>
      </c>
      <c r="AS93" s="385">
        <f t="shared" si="262"/>
        <v>0</v>
      </c>
      <c r="AT93" s="388" t="e">
        <f t="shared" si="262"/>
        <v>#DIV/0!</v>
      </c>
      <c r="AU93" s="388" t="e">
        <f t="shared" si="262"/>
        <v>#DIV/0!</v>
      </c>
      <c r="AV93" s="388">
        <f t="shared" si="262"/>
        <v>0</v>
      </c>
      <c r="AW93" s="388" t="e">
        <f t="shared" si="262"/>
        <v>#DIV/0!</v>
      </c>
      <c r="AX93" s="388" t="e">
        <f t="shared" si="262"/>
        <v>#DIV/0!</v>
      </c>
      <c r="AY93" s="385" t="e">
        <f t="shared" si="262"/>
        <v>#DIV/0!</v>
      </c>
      <c r="AZ93" s="395"/>
      <c r="BA93" s="388" t="e">
        <f>SUM(BA62:BA92)</f>
        <v>#DIV/0!</v>
      </c>
      <c r="BB93" s="388">
        <f>SUM(BB62:BB92)</f>
        <v>0</v>
      </c>
      <c r="BC93" s="442">
        <f>SUMPRODUCT(BC62:BC85,$AA$62:$AA$85)</f>
        <v>0</v>
      </c>
      <c r="BD93" s="388">
        <f>SUMPRODUCT(BD62:BD85,$AA$62:$AA$85)</f>
        <v>0</v>
      </c>
      <c r="BE93" s="388"/>
      <c r="BF93" s="388">
        <f>SUM(BF62:BF92)</f>
        <v>0</v>
      </c>
      <c r="BG93" s="393"/>
      <c r="BH93" s="388">
        <f>SUM(BH62:BH92)</f>
        <v>0</v>
      </c>
      <c r="BI93" s="388">
        <f>SUM(BI62:BI92)</f>
        <v>0</v>
      </c>
      <c r="BJ93" s="388" t="e">
        <f>SUMPRODUCT(AA62:AA92,BJ62:BJ92)/AA93</f>
        <v>#DIV/0!</v>
      </c>
      <c r="BK93" s="388" t="e">
        <f>SUMPRODUCT(AA62:AA92,BK62:BK92)/AA93</f>
        <v>#DIV/0!</v>
      </c>
      <c r="BL93" s="388" t="e">
        <f>SUMPRODUCT(AA62:AA92,BL62:BL92)/AA93</f>
        <v>#DIV/0!</v>
      </c>
      <c r="BM93" s="388" t="e">
        <f>SUMPRODUCT(AA62:AA92,BM62:BM92)/AA93</f>
        <v>#DIV/0!</v>
      </c>
      <c r="BN93" s="388" t="e">
        <f>BK93-BL93</f>
        <v>#DIV/0!</v>
      </c>
      <c r="BO93" s="393" t="e">
        <f>SUMPRODUCT(AA62:AA92,BO62:BO92)/AA93</f>
        <v>#DIV/0!</v>
      </c>
      <c r="BP93" s="393"/>
      <c r="BQ93" s="373"/>
      <c r="BR93" s="392" t="e">
        <f>SUMPRODUCT(AA62:AA92,BR62:BR92)/AA93</f>
        <v>#DIV/0!</v>
      </c>
      <c r="BS93" s="393" t="e">
        <f>SUMPRODUCT(AA62:AA92,BS62:BS92)/AA93</f>
        <v>#DIV/0!</v>
      </c>
      <c r="BT93" s="524" t="e">
        <f>SUMPRODUCT($AA$62:$AA$92,BT62:BT92)/$AA$93</f>
        <v>#DIV/0!</v>
      </c>
      <c r="BU93" s="524" t="e">
        <f>BR93-BS93</f>
        <v>#DIV/0!</v>
      </c>
      <c r="BV93" s="424" t="e">
        <f>SUMPRODUCT($AA$62:$AA$92,BV62:BV92)/$AA$93</f>
        <v>#DIV/0!</v>
      </c>
      <c r="BW93" s="388" t="e">
        <f>BU93*AA93*CZ93</f>
        <v>#DIV/0!</v>
      </c>
      <c r="BX93" s="388" t="e">
        <f>SUMPRODUCT(AA62:AA92,BU62:BU92,CZ62:CZ92,CR62:CR92)</f>
        <v>#DIV/0!</v>
      </c>
      <c r="BY93" s="443" t="e">
        <f>BV93*AA93*CZ93</f>
        <v>#DIV/0!</v>
      </c>
      <c r="BZ93" s="444" t="e">
        <f>SUMPRODUCT(AA62:AA92,BV62:BV92,CZ62:CZ92,CR62:CR92)</f>
        <v>#DIV/0!</v>
      </c>
      <c r="CA93" s="373"/>
      <c r="CB93" s="395" t="e">
        <f>SUMPRODUCT(CB62:CB92,AA62:AA92)/$AA$93</f>
        <v>#DIV/0!</v>
      </c>
      <c r="CC93" s="388" t="e">
        <f>SUMPRODUCT(CC62:CC92,AA62:AA92)/$AA$93</f>
        <v>#DIV/0!</v>
      </c>
      <c r="CD93" s="388"/>
      <c r="CE93" s="388"/>
      <c r="CF93" s="388"/>
      <c r="CG93" s="388"/>
      <c r="CH93" s="404" t="e">
        <f>SUM(CH62:CH92)</f>
        <v>#DIV/0!</v>
      </c>
      <c r="CI93" s="404">
        <f>SUM(CI62:CI92)</f>
        <v>0</v>
      </c>
      <c r="CJ93" s="404"/>
      <c r="CK93" s="404"/>
      <c r="CL93" s="406"/>
      <c r="CM93" s="405" t="e">
        <f>SUMPRODUCT(AA62:AA92,CM62:CM92)/AA93</f>
        <v>#DIV/0!</v>
      </c>
      <c r="CN93" s="404" t="e">
        <f>SUMPRODUCT(AA62:AA92,CN62:CN92)/AA93</f>
        <v>#DIV/0!</v>
      </c>
      <c r="CO93" s="404" t="e">
        <f>SUM(CO62:CO92)</f>
        <v>#DIV/0!</v>
      </c>
      <c r="CP93" s="406" t="e">
        <f>SUM(CP62:CP92)</f>
        <v>#DIV/0!</v>
      </c>
      <c r="CQ93" s="385"/>
      <c r="CR93" s="407" t="e">
        <f>SUMPRODUCT(AA62:AA92,CR62:CR92)/AA93</f>
        <v>#DIV/0!</v>
      </c>
      <c r="CS93" s="388" t="e">
        <f t="shared" ref="CS93:CY93" si="263">SUM(CS62:CS92)</f>
        <v>#DIV/0!</v>
      </c>
      <c r="CT93" s="388" t="e">
        <f t="shared" si="263"/>
        <v>#DIV/0!</v>
      </c>
      <c r="CU93" s="388" t="e">
        <f t="shared" si="263"/>
        <v>#DIV/0!</v>
      </c>
      <c r="CV93" s="404" t="e">
        <f t="shared" si="263"/>
        <v>#DIV/0!</v>
      </c>
      <c r="CW93" s="404" t="e">
        <f t="shared" si="263"/>
        <v>#DIV/0!</v>
      </c>
      <c r="CX93" s="388" t="e">
        <f t="shared" si="263"/>
        <v>#DIV/0!</v>
      </c>
      <c r="CY93" s="385" t="e">
        <f t="shared" si="263"/>
        <v>#DIV/0!</v>
      </c>
      <c r="CZ93" s="445" t="e">
        <f>AI93/AA93/BR93</f>
        <v>#DIV/0!</v>
      </c>
      <c r="DA93" s="388" t="e">
        <f t="shared" ref="DA93:DM93" si="264">SUM(DA62:DA86)</f>
        <v>#DIV/0!</v>
      </c>
      <c r="DB93" s="388" t="e">
        <f t="shared" si="264"/>
        <v>#DIV/0!</v>
      </c>
      <c r="DC93" s="388">
        <f t="shared" si="264"/>
        <v>0</v>
      </c>
      <c r="DD93" s="388" t="e">
        <f t="shared" si="264"/>
        <v>#DIV/0!</v>
      </c>
      <c r="DE93" s="388" t="e">
        <f t="shared" si="264"/>
        <v>#DIV/0!</v>
      </c>
      <c r="DF93" s="388">
        <f t="shared" si="264"/>
        <v>0</v>
      </c>
      <c r="DG93" s="388" t="e">
        <f t="shared" si="264"/>
        <v>#DIV/0!</v>
      </c>
      <c r="DH93" s="388">
        <f t="shared" si="264"/>
        <v>0</v>
      </c>
      <c r="DI93" s="388">
        <f t="shared" si="264"/>
        <v>0</v>
      </c>
      <c r="DJ93" s="388">
        <f t="shared" si="264"/>
        <v>0</v>
      </c>
      <c r="DK93" s="388" t="e">
        <f t="shared" si="264"/>
        <v>#DIV/0!</v>
      </c>
      <c r="DL93" s="388" t="e">
        <f t="shared" si="264"/>
        <v>#DIV/0!</v>
      </c>
      <c r="DM93" s="400" t="e">
        <f t="shared" si="264"/>
        <v>#DIV/0!</v>
      </c>
      <c r="DN93" s="116"/>
      <c r="DO93" s="69"/>
    </row>
    <row r="94" spans="1:119" s="213" customFormat="1" ht="20.100000000000001" customHeight="1" outlineLevel="1" x14ac:dyDescent="0.25">
      <c r="A94" s="110"/>
      <c r="B94" s="110"/>
      <c r="C94" s="110"/>
      <c r="D94" s="110"/>
      <c r="E94" s="110"/>
      <c r="F94" s="110"/>
      <c r="G94" s="110"/>
      <c r="H94" s="110"/>
      <c r="I94" s="110"/>
      <c r="J94" s="205" t="s">
        <v>88</v>
      </c>
      <c r="K94" s="206"/>
      <c r="L94" s="207"/>
      <c r="M94" s="208"/>
      <c r="N94" s="208"/>
      <c r="O94" s="207"/>
      <c r="P94" s="208"/>
      <c r="Q94" s="202"/>
      <c r="R94" s="208"/>
      <c r="S94" s="208"/>
      <c r="T94" s="202"/>
      <c r="U94" s="202"/>
      <c r="V94" s="202"/>
      <c r="W94" s="202"/>
      <c r="X94" s="207"/>
      <c r="Y94" s="110"/>
      <c r="Z94" s="110"/>
      <c r="AA94" s="202"/>
      <c r="AB94" s="106"/>
      <c r="AC94" s="110"/>
      <c r="AD94" s="110"/>
      <c r="AE94" s="110"/>
      <c r="AF94" s="110"/>
      <c r="AG94" s="209"/>
      <c r="AH94" s="110"/>
      <c r="AI94" s="202"/>
      <c r="AJ94" s="202"/>
      <c r="AK94" s="106"/>
      <c r="AL94" s="202"/>
      <c r="AM94" s="202"/>
      <c r="AN94" s="202"/>
      <c r="AO94" s="202"/>
      <c r="AP94" s="210"/>
      <c r="AQ94" s="109"/>
      <c r="AR94" s="290" t="s">
        <v>94</v>
      </c>
      <c r="AS94" s="292"/>
      <c r="AT94" s="110"/>
      <c r="AU94" s="202"/>
      <c r="AV94" s="202"/>
      <c r="AW94" s="202"/>
      <c r="AX94" s="202"/>
      <c r="AY94" s="210"/>
      <c r="AZ94" s="200"/>
      <c r="BA94" s="110"/>
      <c r="BB94" s="202"/>
      <c r="BC94" s="202"/>
      <c r="BD94" s="202"/>
      <c r="BE94" s="202"/>
      <c r="BF94" s="202"/>
      <c r="BG94" s="110"/>
      <c r="BH94" s="202"/>
      <c r="BI94" s="202"/>
      <c r="BJ94" s="202"/>
      <c r="BK94" s="202"/>
      <c r="BL94" s="202"/>
      <c r="BM94" s="202"/>
      <c r="BN94" s="202"/>
      <c r="BO94" s="110"/>
      <c r="BP94" s="110"/>
      <c r="BQ94" s="210"/>
      <c r="BR94" s="104" t="e">
        <f>BR93*$AA93*$CZ93</f>
        <v>#DIV/0!</v>
      </c>
      <c r="BS94" s="100" t="e">
        <f>BS93*$AA93*$CZ93</f>
        <v>#DIV/0!</v>
      </c>
      <c r="BT94" s="100" t="e">
        <f>BT93*$AA93*$CZ93</f>
        <v>#DIV/0!</v>
      </c>
      <c r="BU94" s="518"/>
      <c r="BV94" s="380"/>
      <c r="BW94" s="202"/>
      <c r="BX94" s="202"/>
      <c r="BY94" s="202"/>
      <c r="BZ94" s="210"/>
      <c r="CA94" s="210"/>
      <c r="CB94" s="113"/>
      <c r="CC94" s="202"/>
      <c r="CD94" s="202"/>
      <c r="CE94" s="202"/>
      <c r="CF94" s="202"/>
      <c r="CG94" s="202"/>
      <c r="CH94" s="202"/>
      <c r="CI94" s="202"/>
      <c r="CJ94" s="202"/>
      <c r="CK94" s="202"/>
      <c r="CL94" s="210"/>
      <c r="CM94" s="558" t="e">
        <f>CM93*$AA93*$CZ93</f>
        <v>#DIV/0!</v>
      </c>
      <c r="CN94" s="559" t="e">
        <f>CN93*$AA93*$CZ93</f>
        <v>#DIV/0!</v>
      </c>
      <c r="CO94" s="202"/>
      <c r="CP94" s="210"/>
      <c r="CQ94" s="210"/>
      <c r="CR94" s="222"/>
      <c r="CS94" s="110"/>
      <c r="CT94" s="107"/>
      <c r="CU94" s="107"/>
      <c r="CV94" s="202"/>
      <c r="CW94" s="202"/>
      <c r="CX94" s="107"/>
      <c r="CY94" s="503" t="e">
        <f>CW93-CH93</f>
        <v>#DIV/0!</v>
      </c>
      <c r="CZ94" s="308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2"/>
      <c r="DO94" s="69"/>
    </row>
    <row r="95" spans="1:119" s="213" customFormat="1" ht="20.100000000000001" customHeight="1" outlineLevel="1" x14ac:dyDescent="0.25">
      <c r="A95" s="110"/>
      <c r="B95" s="110"/>
      <c r="C95" s="110"/>
      <c r="D95" s="110"/>
      <c r="E95" s="110"/>
      <c r="F95" s="110"/>
      <c r="G95" s="110"/>
      <c r="H95" s="110"/>
      <c r="I95" s="110"/>
      <c r="J95" s="205" t="s">
        <v>87</v>
      </c>
      <c r="K95" s="206"/>
      <c r="L95" s="207"/>
      <c r="M95" s="208"/>
      <c r="N95" s="208"/>
      <c r="O95" s="207"/>
      <c r="P95" s="208"/>
      <c r="Q95" s="202"/>
      <c r="R95" s="208"/>
      <c r="S95" s="208"/>
      <c r="T95" s="202"/>
      <c r="U95" s="202"/>
      <c r="V95" s="202"/>
      <c r="W95" s="202"/>
      <c r="X95" s="207"/>
      <c r="Y95" s="110"/>
      <c r="Z95" s="110"/>
      <c r="AA95" s="202"/>
      <c r="AB95" s="106"/>
      <c r="AC95" s="110"/>
      <c r="AD95" s="110"/>
      <c r="AE95" s="110"/>
      <c r="AF95" s="110"/>
      <c r="AG95" s="209"/>
      <c r="AH95" s="110"/>
      <c r="AI95" s="202"/>
      <c r="AJ95" s="202"/>
      <c r="AK95" s="106"/>
      <c r="AL95" s="202"/>
      <c r="AM95" s="202"/>
      <c r="AN95" s="202"/>
      <c r="AO95" s="202"/>
      <c r="AP95" s="210"/>
      <c r="AQ95" s="109"/>
      <c r="AR95" s="290" t="s">
        <v>89</v>
      </c>
      <c r="AS95" s="292"/>
      <c r="AT95" s="110"/>
      <c r="AU95" s="202"/>
      <c r="AV95" s="202"/>
      <c r="AW95" s="202"/>
      <c r="AX95" s="202"/>
      <c r="AY95" s="210"/>
      <c r="AZ95" s="200" t="s">
        <v>89</v>
      </c>
      <c r="BA95" s="110"/>
      <c r="BB95" s="202"/>
      <c r="BC95" s="202"/>
      <c r="BD95" s="202"/>
      <c r="BE95" s="202"/>
      <c r="BF95" s="202"/>
      <c r="BG95" s="110"/>
      <c r="BH95" s="202"/>
      <c r="BI95" s="202"/>
      <c r="BJ95" s="202"/>
      <c r="BK95" s="202"/>
      <c r="BL95" s="202"/>
      <c r="BM95" s="202"/>
      <c r="BN95" s="202"/>
      <c r="BO95" s="110"/>
      <c r="BP95" s="110"/>
      <c r="BQ95" s="210"/>
      <c r="BR95" s="106"/>
      <c r="BS95" s="110"/>
      <c r="BT95" s="523"/>
      <c r="BU95" s="523"/>
      <c r="BV95" s="380"/>
      <c r="BW95" s="202"/>
      <c r="BX95" s="202"/>
      <c r="BY95" s="202"/>
      <c r="BZ95" s="210"/>
      <c r="CA95" s="210"/>
      <c r="CB95" s="113"/>
      <c r="CC95" s="202"/>
      <c r="CD95" s="202"/>
      <c r="CE95" s="202"/>
      <c r="CF95" s="202"/>
      <c r="CG95" s="202"/>
      <c r="CH95" s="202"/>
      <c r="CI95" s="202"/>
      <c r="CJ95" s="202"/>
      <c r="CK95" s="202"/>
      <c r="CL95" s="210"/>
      <c r="CM95" s="200"/>
      <c r="CN95" s="202"/>
      <c r="CO95" s="202"/>
      <c r="CP95" s="210"/>
      <c r="CQ95" s="210"/>
      <c r="CR95" s="222"/>
      <c r="CS95" s="110"/>
      <c r="CT95" s="107"/>
      <c r="CU95" s="107"/>
      <c r="CV95" s="202"/>
      <c r="CW95" s="202"/>
      <c r="CX95" s="107"/>
      <c r="CY95" s="108"/>
      <c r="CZ95" s="308"/>
      <c r="DA95" s="211"/>
      <c r="DB95" s="211"/>
      <c r="DC95" s="211"/>
      <c r="DD95" s="211"/>
      <c r="DE95" s="211"/>
      <c r="DF95" s="211"/>
      <c r="DG95" s="211"/>
      <c r="DH95" s="211"/>
      <c r="DI95" s="211"/>
      <c r="DJ95" s="211"/>
      <c r="DK95" s="211"/>
      <c r="DL95" s="211"/>
      <c r="DM95" s="212"/>
      <c r="DO95" s="69"/>
    </row>
    <row r="96" spans="1:119" s="213" customFormat="1" ht="20.100000000000001" customHeight="1" outlineLevel="1" x14ac:dyDescent="0.25">
      <c r="A96" s="110"/>
      <c r="B96" s="110"/>
      <c r="C96" s="110"/>
      <c r="D96" s="110"/>
      <c r="E96" s="110"/>
      <c r="F96" s="110"/>
      <c r="G96" s="110"/>
      <c r="H96" s="110"/>
      <c r="I96" s="110"/>
      <c r="J96" s="611" t="s">
        <v>96</v>
      </c>
      <c r="K96" s="206"/>
      <c r="L96" s="207"/>
      <c r="M96" s="208"/>
      <c r="N96" s="208"/>
      <c r="O96" s="207"/>
      <c r="P96" s="208"/>
      <c r="Q96" s="202"/>
      <c r="R96" s="208"/>
      <c r="S96" s="208"/>
      <c r="T96" s="202"/>
      <c r="U96" s="202"/>
      <c r="V96" s="202"/>
      <c r="W96" s="202"/>
      <c r="X96" s="207"/>
      <c r="Y96" s="110"/>
      <c r="Z96" s="110"/>
      <c r="AA96" s="202"/>
      <c r="AB96" s="106"/>
      <c r="AC96" s="110"/>
      <c r="AD96" s="110"/>
      <c r="AE96" s="110"/>
      <c r="AF96" s="110"/>
      <c r="AG96" s="209"/>
      <c r="AH96" s="110"/>
      <c r="AI96" s="202"/>
      <c r="AJ96" s="202"/>
      <c r="AK96" s="106"/>
      <c r="AL96" s="202"/>
      <c r="AM96" s="202"/>
      <c r="AN96" s="202"/>
      <c r="AO96" s="202"/>
      <c r="AP96" s="210"/>
      <c r="AQ96" s="109"/>
      <c r="AR96" s="290" t="s">
        <v>95</v>
      </c>
      <c r="AS96" s="292"/>
      <c r="AT96" s="110"/>
      <c r="AU96" s="202"/>
      <c r="AV96" s="202"/>
      <c r="AW96" s="202"/>
      <c r="AX96" s="202"/>
      <c r="AY96" s="210"/>
      <c r="AZ96" s="200"/>
      <c r="BA96" s="110"/>
      <c r="BB96" s="202"/>
      <c r="BC96" s="202"/>
      <c r="BD96" s="202"/>
      <c r="BE96" s="202"/>
      <c r="BF96" s="202"/>
      <c r="BG96" s="110"/>
      <c r="BH96" s="202"/>
      <c r="BI96" s="202"/>
      <c r="BJ96" s="202"/>
      <c r="BK96" s="202"/>
      <c r="BL96" s="202"/>
      <c r="BM96" s="202"/>
      <c r="BN96" s="202"/>
      <c r="BO96" s="110"/>
      <c r="BP96" s="110"/>
      <c r="BQ96" s="210"/>
      <c r="BR96" s="106"/>
      <c r="BS96" s="110"/>
      <c r="BT96" s="523"/>
      <c r="BU96" s="523"/>
      <c r="BV96" s="380"/>
      <c r="BW96" s="202"/>
      <c r="BX96" s="202"/>
      <c r="BY96" s="202"/>
      <c r="BZ96" s="210"/>
      <c r="CA96" s="210"/>
      <c r="CB96" s="113"/>
      <c r="CC96" s="202"/>
      <c r="CD96" s="202"/>
      <c r="CE96" s="202"/>
      <c r="CF96" s="202"/>
      <c r="CG96" s="202"/>
      <c r="CH96" s="202"/>
      <c r="CI96" s="202"/>
      <c r="CJ96" s="202"/>
      <c r="CK96" s="202"/>
      <c r="CL96" s="210"/>
      <c r="CM96" s="200"/>
      <c r="CN96" s="202"/>
      <c r="CO96" s="202"/>
      <c r="CP96" s="210"/>
      <c r="CQ96" s="210"/>
      <c r="CR96" s="222"/>
      <c r="CS96" s="110"/>
      <c r="CT96" s="107"/>
      <c r="CU96" s="107"/>
      <c r="CV96" s="202"/>
      <c r="CW96" s="202"/>
      <c r="CX96" s="107"/>
      <c r="CY96" s="108"/>
      <c r="CZ96" s="308"/>
      <c r="DA96" s="211"/>
      <c r="DB96" s="211"/>
      <c r="DC96" s="211"/>
      <c r="DD96" s="211"/>
      <c r="DE96" s="211"/>
      <c r="DF96" s="211"/>
      <c r="DG96" s="211"/>
      <c r="DH96" s="211"/>
      <c r="DI96" s="211"/>
      <c r="DJ96" s="211"/>
      <c r="DK96" s="211"/>
      <c r="DL96" s="211"/>
      <c r="DM96" s="212"/>
      <c r="DO96" s="69"/>
    </row>
    <row r="97" spans="1:121" s="169" customFormat="1" ht="21" customHeight="1" outlineLevel="1" x14ac:dyDescent="0.25">
      <c r="A97" s="162"/>
      <c r="B97" s="162"/>
      <c r="C97" s="163"/>
      <c r="D97" s="163"/>
      <c r="E97" s="163"/>
      <c r="F97" s="163"/>
      <c r="G97" s="163"/>
      <c r="H97" s="162"/>
      <c r="I97" s="163"/>
      <c r="J97" s="384" t="s">
        <v>379</v>
      </c>
      <c r="K97" s="384"/>
      <c r="L97" s="385"/>
      <c r="M97" s="386"/>
      <c r="N97" s="387"/>
      <c r="O97" s="388"/>
      <c r="P97" s="389"/>
      <c r="Q97" s="562"/>
      <c r="R97" s="674"/>
      <c r="S97" s="674"/>
      <c r="T97" s="562"/>
      <c r="U97" s="562"/>
      <c r="V97" s="562"/>
      <c r="W97" s="562"/>
      <c r="X97" s="388"/>
      <c r="Y97" s="390"/>
      <c r="Z97" s="391"/>
      <c r="AA97" s="388"/>
      <c r="AB97" s="392"/>
      <c r="AC97" s="393"/>
      <c r="AD97" s="393"/>
      <c r="AE97" s="393"/>
      <c r="AF97" s="393"/>
      <c r="AG97" s="394"/>
      <c r="AH97" s="393"/>
      <c r="AI97" s="388"/>
      <c r="AJ97" s="388"/>
      <c r="AK97" s="395"/>
      <c r="AL97" s="388"/>
      <c r="AM97" s="388"/>
      <c r="AN97" s="388"/>
      <c r="AO97" s="388"/>
      <c r="AP97" s="385"/>
      <c r="AQ97" s="396"/>
      <c r="AR97" s="388"/>
      <c r="AS97" s="385">
        <f>AS93+AS94+AS96+AS95</f>
        <v>0</v>
      </c>
      <c r="AT97" s="164"/>
      <c r="AU97" s="164"/>
      <c r="AV97" s="164"/>
      <c r="AW97" s="164"/>
      <c r="AX97" s="164"/>
      <c r="AY97" s="166"/>
      <c r="AZ97" s="165"/>
      <c r="BA97" s="164"/>
      <c r="BB97" s="164"/>
      <c r="BC97" s="164"/>
      <c r="BD97" s="164"/>
      <c r="BE97" s="164"/>
      <c r="BF97" s="164"/>
      <c r="BG97" s="163"/>
      <c r="BH97" s="164"/>
      <c r="BI97" s="164"/>
      <c r="BJ97" s="164"/>
      <c r="BK97" s="164"/>
      <c r="BL97" s="164"/>
      <c r="BM97" s="164"/>
      <c r="BN97" s="164"/>
      <c r="BO97" s="163"/>
      <c r="BP97" s="163"/>
      <c r="BQ97" s="164"/>
      <c r="BR97" s="392"/>
      <c r="BS97" s="393"/>
      <c r="BT97" s="524"/>
      <c r="BU97" s="524"/>
      <c r="BV97" s="408"/>
      <c r="BW97" s="388"/>
      <c r="BX97" s="388"/>
      <c r="BY97" s="388"/>
      <c r="BZ97" s="385"/>
      <c r="CA97" s="166"/>
      <c r="CB97" s="165"/>
      <c r="CC97" s="164"/>
      <c r="CD97" s="164"/>
      <c r="CE97" s="164"/>
      <c r="CF97" s="164"/>
      <c r="CG97" s="164"/>
      <c r="CH97" s="560"/>
      <c r="CI97" s="555"/>
      <c r="CJ97" s="555"/>
      <c r="CK97" s="555"/>
      <c r="CL97" s="555"/>
      <c r="CM97" s="561"/>
      <c r="CN97" s="404"/>
      <c r="CO97" s="562"/>
      <c r="CP97" s="474"/>
      <c r="CQ97" s="469"/>
      <c r="CR97" s="470"/>
      <c r="CS97" s="468"/>
      <c r="CT97" s="471"/>
      <c r="CU97" s="471"/>
      <c r="CV97" s="561"/>
      <c r="CW97" s="562"/>
      <c r="CX97" s="476"/>
      <c r="CY97" s="477"/>
      <c r="CZ97" s="306"/>
      <c r="DA97" s="764"/>
      <c r="DB97" s="764"/>
      <c r="DC97" s="764"/>
      <c r="DD97" s="764"/>
      <c r="DE97" s="764"/>
      <c r="DF97" s="764"/>
      <c r="DG97" s="764"/>
      <c r="DH97" s="764"/>
      <c r="DI97" s="764"/>
      <c r="DJ97" s="764"/>
      <c r="DK97" s="764"/>
      <c r="DL97" s="764"/>
      <c r="DM97" s="167"/>
      <c r="DN97" s="168"/>
      <c r="DO97" s="69"/>
    </row>
    <row r="98" spans="1:121" s="102" customFormat="1" ht="11.2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01"/>
      <c r="M98" s="103"/>
      <c r="N98" s="103"/>
      <c r="P98" s="103"/>
      <c r="Q98" s="122"/>
      <c r="R98" s="103"/>
      <c r="S98" s="103"/>
      <c r="T98" s="122"/>
      <c r="U98" s="122"/>
      <c r="V98" s="122"/>
      <c r="W98" s="122"/>
      <c r="Y98" s="100"/>
      <c r="Z98" s="100"/>
      <c r="AA98" s="119"/>
      <c r="AB98" s="120"/>
      <c r="AC98" s="118"/>
      <c r="AD98" s="118"/>
      <c r="AE98" s="118"/>
      <c r="AF98" s="118"/>
      <c r="AG98" s="121"/>
      <c r="AH98" s="118"/>
      <c r="AI98" s="119"/>
      <c r="AJ98" s="119"/>
      <c r="AK98" s="104"/>
      <c r="AL98" s="122"/>
      <c r="AM98" s="122"/>
      <c r="AN98" s="122"/>
      <c r="AO98" s="122"/>
      <c r="AP98" s="123"/>
      <c r="AQ98" s="124"/>
      <c r="AR98" s="119"/>
      <c r="AS98" s="294"/>
      <c r="AT98" s="100"/>
      <c r="AU98" s="122"/>
      <c r="AV98" s="122"/>
      <c r="AW98" s="122"/>
      <c r="AX98" s="122"/>
      <c r="AY98" s="123"/>
      <c r="AZ98" s="125"/>
      <c r="BA98" s="118"/>
      <c r="BB98" s="119"/>
      <c r="BC98" s="122"/>
      <c r="BD98" s="122"/>
      <c r="BE98" s="122"/>
      <c r="BF98" s="122"/>
      <c r="BG98" s="118"/>
      <c r="BH98" s="119"/>
      <c r="BI98" s="119"/>
      <c r="BJ98" s="119"/>
      <c r="BK98" s="119"/>
      <c r="BL98" s="119"/>
      <c r="BM98" s="119"/>
      <c r="BN98" s="119"/>
      <c r="BO98" s="118"/>
      <c r="BP98" s="118"/>
      <c r="BQ98" s="374"/>
      <c r="BR98" s="120"/>
      <c r="BS98" s="118"/>
      <c r="BT98" s="518"/>
      <c r="BU98" s="518"/>
      <c r="BV98" s="381"/>
      <c r="BW98" s="122"/>
      <c r="BX98" s="122"/>
      <c r="BY98" s="122"/>
      <c r="BZ98" s="123"/>
      <c r="CA98" s="374"/>
      <c r="CB98" s="126"/>
      <c r="CC98" s="122"/>
      <c r="CD98" s="122"/>
      <c r="CE98" s="122"/>
      <c r="CF98" s="122"/>
      <c r="CG98" s="122"/>
      <c r="CH98" s="122"/>
      <c r="CI98" s="122"/>
      <c r="CJ98" s="122"/>
      <c r="CK98" s="122"/>
      <c r="CL98" s="123"/>
      <c r="CM98" s="552"/>
      <c r="CN98" s="563"/>
      <c r="CO98" s="122"/>
      <c r="CP98" s="123"/>
      <c r="CQ98" s="123"/>
      <c r="CR98" s="223"/>
      <c r="CS98" s="127"/>
      <c r="CT98" s="127"/>
      <c r="CU98" s="127"/>
      <c r="CV98" s="569"/>
      <c r="CW98" s="570"/>
      <c r="CX98" s="533"/>
      <c r="CY98" s="534"/>
      <c r="CZ98" s="309"/>
      <c r="DA98" s="342"/>
      <c r="DB98" s="342"/>
      <c r="DC98" s="342"/>
      <c r="DD98" s="342"/>
      <c r="DE98" s="342"/>
      <c r="DF98" s="342"/>
      <c r="DG98" s="342"/>
      <c r="DH98" s="342"/>
      <c r="DI98" s="342"/>
      <c r="DJ98" s="342"/>
      <c r="DK98" s="342"/>
      <c r="DL98" s="342"/>
      <c r="DM98" s="54"/>
      <c r="DN98" s="25"/>
      <c r="DO98" s="69"/>
    </row>
    <row r="99" spans="1:121" s="102" customFormat="1" ht="11.2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01"/>
      <c r="M99" s="103"/>
      <c r="N99" s="103"/>
      <c r="P99" s="103"/>
      <c r="Q99" s="122"/>
      <c r="R99" s="103"/>
      <c r="S99" s="103"/>
      <c r="T99" s="122"/>
      <c r="U99" s="122"/>
      <c r="V99" s="122"/>
      <c r="W99" s="122"/>
      <c r="Y99" s="100"/>
      <c r="Z99" s="100"/>
      <c r="AA99" s="563"/>
      <c r="AB99" s="120"/>
      <c r="AC99" s="118"/>
      <c r="AD99" s="118"/>
      <c r="AE99" s="118"/>
      <c r="AF99" s="118"/>
      <c r="AG99" s="121"/>
      <c r="AH99" s="118"/>
      <c r="AI99" s="119"/>
      <c r="AJ99" s="119"/>
      <c r="AK99" s="104"/>
      <c r="AL99" s="122"/>
      <c r="AM99" s="122"/>
      <c r="AN99" s="122"/>
      <c r="AO99" s="122"/>
      <c r="AP99" s="123"/>
      <c r="AQ99" s="124"/>
      <c r="AR99" s="119"/>
      <c r="AS99" s="294"/>
      <c r="AT99" s="100"/>
      <c r="AU99" s="122"/>
      <c r="AV99" s="122"/>
      <c r="AW99" s="122"/>
      <c r="AX99" s="122"/>
      <c r="AY99" s="123"/>
      <c r="AZ99" s="125"/>
      <c r="BA99" s="118"/>
      <c r="BB99" s="119"/>
      <c r="BC99" s="122"/>
      <c r="BD99" s="122"/>
      <c r="BE99" s="122"/>
      <c r="BF99" s="122"/>
      <c r="BG99" s="118"/>
      <c r="BH99" s="119"/>
      <c r="BI99" s="119"/>
      <c r="BJ99" s="119"/>
      <c r="BK99" s="119"/>
      <c r="BL99" s="119"/>
      <c r="BM99" s="119"/>
      <c r="BN99" s="119"/>
      <c r="BO99" s="118"/>
      <c r="BP99" s="118"/>
      <c r="BQ99" s="374"/>
      <c r="BR99" s="120"/>
      <c r="BS99" s="118"/>
      <c r="BT99" s="518"/>
      <c r="BU99" s="518"/>
      <c r="BV99" s="381"/>
      <c r="BW99" s="122"/>
      <c r="BX99" s="122"/>
      <c r="BY99" s="122"/>
      <c r="BZ99" s="123"/>
      <c r="CA99" s="374"/>
      <c r="CB99" s="126"/>
      <c r="CC99" s="122"/>
      <c r="CD99" s="122"/>
      <c r="CE99" s="122"/>
      <c r="CF99" s="122"/>
      <c r="CG99" s="122"/>
      <c r="CH99" s="122"/>
      <c r="CI99" s="122"/>
      <c r="CJ99" s="122"/>
      <c r="CK99" s="122"/>
      <c r="CL99" s="123"/>
      <c r="CM99" s="552"/>
      <c r="CN99" s="563"/>
      <c r="CO99" s="122"/>
      <c r="CP99" s="123"/>
      <c r="CQ99" s="123"/>
      <c r="CR99" s="223"/>
      <c r="CS99" s="127"/>
      <c r="CT99" s="127"/>
      <c r="CU99" s="127"/>
      <c r="CV99" s="571"/>
      <c r="CW99" s="572"/>
      <c r="CX99" s="535"/>
      <c r="CY99" s="536"/>
      <c r="CZ99" s="309"/>
      <c r="DA99" s="342"/>
      <c r="DB99" s="342"/>
      <c r="DC99" s="342"/>
      <c r="DD99" s="342"/>
      <c r="DE99" s="342"/>
      <c r="DF99" s="342"/>
      <c r="DG99" s="342"/>
      <c r="DH99" s="342"/>
      <c r="DI99" s="342"/>
      <c r="DJ99" s="342"/>
      <c r="DK99" s="342"/>
      <c r="DL99" s="342"/>
      <c r="DM99" s="54"/>
      <c r="DN99" s="25"/>
      <c r="DO99" s="69"/>
    </row>
    <row r="100" spans="1:121" s="152" customFormat="1" ht="20.100000000000001" customHeight="1" x14ac:dyDescent="0.25">
      <c r="A100" s="139"/>
      <c r="B100" s="139"/>
      <c r="C100" s="140"/>
      <c r="D100" s="140"/>
      <c r="E100" s="140"/>
      <c r="F100" s="140"/>
      <c r="G100" s="140"/>
      <c r="H100" s="139"/>
      <c r="I100" s="140"/>
      <c r="J100" s="141" t="s">
        <v>380</v>
      </c>
      <c r="K100" s="141"/>
      <c r="L100" s="191"/>
      <c r="M100" s="178"/>
      <c r="N100" s="143"/>
      <c r="O100" s="142"/>
      <c r="P100" s="179"/>
      <c r="Q100" s="449"/>
      <c r="R100" s="143"/>
      <c r="S100" s="143"/>
      <c r="T100" s="449"/>
      <c r="U100" s="449"/>
      <c r="V100" s="449"/>
      <c r="W100" s="449"/>
      <c r="X100" s="142"/>
      <c r="Y100" s="170"/>
      <c r="Z100" s="174"/>
      <c r="AA100" s="144"/>
      <c r="AB100" s="139"/>
      <c r="AC100" s="140"/>
      <c r="AD100" s="140"/>
      <c r="AE100" s="140"/>
      <c r="AF100" s="140"/>
      <c r="AG100" s="145"/>
      <c r="AH100" s="140"/>
      <c r="AI100" s="144"/>
      <c r="AJ100" s="144"/>
      <c r="AK100" s="139"/>
      <c r="AL100" s="144"/>
      <c r="AM100" s="144"/>
      <c r="AN100" s="144"/>
      <c r="AO100" s="144"/>
      <c r="AP100" s="146"/>
      <c r="AQ100" s="147"/>
      <c r="AR100" s="144"/>
      <c r="AS100" s="291"/>
      <c r="AT100" s="140"/>
      <c r="AU100" s="144"/>
      <c r="AV100" s="144"/>
      <c r="AW100" s="144"/>
      <c r="AX100" s="144"/>
      <c r="AY100" s="146"/>
      <c r="AZ100" s="148"/>
      <c r="BA100" s="144"/>
      <c r="BB100" s="144"/>
      <c r="BC100" s="149"/>
      <c r="BD100" s="149"/>
      <c r="BE100" s="149"/>
      <c r="BF100" s="149"/>
      <c r="BG100" s="140"/>
      <c r="BH100" s="144"/>
      <c r="BI100" s="144"/>
      <c r="BJ100" s="144"/>
      <c r="BK100" s="144"/>
      <c r="BL100" s="144"/>
      <c r="BM100" s="144"/>
      <c r="BN100" s="144"/>
      <c r="BO100" s="140"/>
      <c r="BP100" s="140"/>
      <c r="BQ100" s="371"/>
      <c r="BR100" s="139"/>
      <c r="BS100" s="140"/>
      <c r="BT100" s="512"/>
      <c r="BU100" s="512"/>
      <c r="BV100" s="377"/>
      <c r="BW100" s="144"/>
      <c r="BX100" s="144"/>
      <c r="BY100" s="144"/>
      <c r="BZ100" s="146"/>
      <c r="CA100" s="371"/>
      <c r="CB100" s="150"/>
      <c r="CC100" s="144"/>
      <c r="CD100" s="144"/>
      <c r="CE100" s="144"/>
      <c r="CF100" s="144"/>
      <c r="CG100" s="144"/>
      <c r="CH100" s="449"/>
      <c r="CI100" s="144"/>
      <c r="CJ100" s="144"/>
      <c r="CK100" s="144"/>
      <c r="CL100" s="146"/>
      <c r="CM100" s="148"/>
      <c r="CN100" s="144"/>
      <c r="CO100" s="144"/>
      <c r="CP100" s="146"/>
      <c r="CQ100" s="146"/>
      <c r="CR100" s="232"/>
      <c r="CS100" s="151"/>
      <c r="CT100" s="151"/>
      <c r="CU100" s="151"/>
      <c r="CV100" s="144"/>
      <c r="CW100" s="144"/>
      <c r="CX100" s="151"/>
      <c r="CY100" s="318"/>
      <c r="CZ100" s="472"/>
      <c r="DA100" s="766"/>
      <c r="DB100" s="766"/>
      <c r="DC100" s="766"/>
      <c r="DD100" s="766"/>
      <c r="DE100" s="766"/>
      <c r="DF100" s="766"/>
      <c r="DG100" s="766"/>
      <c r="DH100" s="766"/>
      <c r="DI100" s="766"/>
      <c r="DJ100" s="766"/>
      <c r="DK100" s="766"/>
      <c r="DL100" s="766"/>
      <c r="DM100" s="473"/>
      <c r="DO100" s="69"/>
    </row>
    <row r="101" spans="1:121" s="25" customFormat="1" ht="15.95" customHeight="1" x14ac:dyDescent="0.25">
      <c r="A101" s="10"/>
      <c r="B101" s="44"/>
      <c r="C101" s="10"/>
      <c r="D101" s="10"/>
      <c r="E101" s="10"/>
      <c r="F101" s="10"/>
      <c r="G101" s="12"/>
      <c r="H101" s="10"/>
      <c r="I101" s="10"/>
      <c r="J101" s="80" t="s">
        <v>393</v>
      </c>
      <c r="K101" s="192"/>
      <c r="L101" s="193"/>
      <c r="M101" s="180"/>
      <c r="N101" s="81"/>
      <c r="O101" s="128"/>
      <c r="P101" s="181"/>
      <c r="Q101" s="43">
        <f t="shared" ref="Q101:Q115" si="265">P101-M101</f>
        <v>0</v>
      </c>
      <c r="R101" s="679">
        <f t="shared" ref="R101:R115" si="266">P101-N101</f>
        <v>0</v>
      </c>
      <c r="S101" s="716"/>
      <c r="T101" s="717"/>
      <c r="U101" s="718"/>
      <c r="V101" s="718"/>
      <c r="W101" s="718"/>
      <c r="X101" s="43"/>
      <c r="Y101" s="171"/>
      <c r="Z101" s="175"/>
      <c r="AA101" s="43"/>
      <c r="AB101" s="44"/>
      <c r="AC101" s="10"/>
      <c r="AD101" s="10"/>
      <c r="AE101" s="10"/>
      <c r="AF101" s="10"/>
      <c r="AG101" s="82">
        <f t="shared" ref="AG101:AG114" si="267">SUM(AB101:AF101)</f>
        <v>0</v>
      </c>
      <c r="AH101" s="44"/>
      <c r="AI101" s="43"/>
      <c r="AJ101" s="43"/>
      <c r="AK101" s="44" t="e">
        <f t="shared" ref="AK101:AK114" si="268">AB101*$CZ101*$AA101*$Y101/1000/1000</f>
        <v>#DIV/0!</v>
      </c>
      <c r="AL101" s="10" t="e">
        <f t="shared" ref="AL101:AL114" si="269">AC101*$CZ101*$AA101*$Y101/1000/1000</f>
        <v>#DIV/0!</v>
      </c>
      <c r="AM101" s="10" t="e">
        <f t="shared" ref="AM101:AM114" si="270">AD101*$CZ101*$AA101*$Y101/1000/1000</f>
        <v>#DIV/0!</v>
      </c>
      <c r="AN101" s="10" t="e">
        <f t="shared" ref="AN101:AN114" si="271">AE101*$CZ101*$AA101*$Y101/1000/1000</f>
        <v>#DIV/0!</v>
      </c>
      <c r="AO101" s="10" t="e">
        <f t="shared" ref="AO101:AO114" si="272">AF101*$CZ101*$AA101*$Y101/1000/1000</f>
        <v>#DIV/0!</v>
      </c>
      <c r="AP101" s="12" t="e">
        <f t="shared" ref="AP101:AP114" si="273">AG101*$CZ101*$AA101*$Y101/1000/1000</f>
        <v>#DIV/0!</v>
      </c>
      <c r="AQ101" s="130" t="e">
        <f t="shared" ref="AQ101:AQ115" si="274">AJ101/1000/1000-AP101</f>
        <v>#DIV/0!</v>
      </c>
      <c r="AR101" s="43">
        <f t="shared" ref="AR101:AR116" si="275">AI101*Z101</f>
        <v>0</v>
      </c>
      <c r="AS101" s="59">
        <f t="shared" ref="AS101:AS111" si="276">AR101-AJ101</f>
        <v>0</v>
      </c>
      <c r="AT101" s="10" t="e">
        <f t="shared" ref="AT101:AT114" si="277">(AB101-B101)*$CZ101*$AA101*$Y101/1000/1000</f>
        <v>#DIV/0!</v>
      </c>
      <c r="AU101" s="10" t="e">
        <f t="shared" ref="AU101:AU114" si="278">(AC101-C101)*$CZ101*$AA101*$Y101/1000/1000</f>
        <v>#DIV/0!</v>
      </c>
      <c r="AV101" s="10" t="e">
        <f t="shared" ref="AV101:AV114" si="279">(AD101-D101)*$CZ101*$AA101*$Y101/1000/1000</f>
        <v>#DIV/0!</v>
      </c>
      <c r="AW101" s="10" t="e">
        <f t="shared" ref="AW101:AW114" si="280">(AE101-E101)*$CZ101*$AA101*$Y101/1000/1000</f>
        <v>#DIV/0!</v>
      </c>
      <c r="AX101" s="10" t="e">
        <f t="shared" ref="AX101:AX114" si="281">(AF101-F101)*$CZ101*$AA101*$Y101/1000/1000</f>
        <v>#DIV/0!</v>
      </c>
      <c r="AY101" s="12" t="e">
        <f t="shared" ref="AY101:AY115" si="282">SUM(AT101:AX101)</f>
        <v>#DIV/0!</v>
      </c>
      <c r="AZ101" s="129"/>
      <c r="BA101" s="43">
        <f>BD101*AA101</f>
        <v>0</v>
      </c>
      <c r="BB101" s="43">
        <f>AZ101*AA101</f>
        <v>0</v>
      </c>
      <c r="BC101" s="10"/>
      <c r="BD101" s="10"/>
      <c r="BE101" s="10"/>
      <c r="BF101" s="10"/>
      <c r="BG101" s="10"/>
      <c r="BH101" s="43">
        <f t="shared" ref="BH101:BH116" si="283">H101*A101*AA101</f>
        <v>0</v>
      </c>
      <c r="BI101" s="43">
        <f t="shared" ref="BI101:BI116" si="284">BG101*AA101*Y101</f>
        <v>0</v>
      </c>
      <c r="BJ101" s="43" t="e">
        <f t="shared" ref="BJ101:BJ114" si="285">AJ101/AA101-AZ101-BG101</f>
        <v>#DIV/0!</v>
      </c>
      <c r="BK101" s="43" t="e">
        <f t="shared" ref="BK101:BK114" si="286">AR101/AA101-AZ101-BG101</f>
        <v>#DIV/0!</v>
      </c>
      <c r="BL101" s="43"/>
      <c r="BM101" s="43" t="e">
        <f t="shared" ref="BM101:BM110" si="287">BJ101-BL101</f>
        <v>#DIV/0!</v>
      </c>
      <c r="BN101" s="43" t="e">
        <f t="shared" ref="BN101:BN110" si="288">BK101-BL101</f>
        <v>#DIV/0!</v>
      </c>
      <c r="BO101" s="10"/>
      <c r="BP101" s="85"/>
      <c r="BQ101" s="375"/>
      <c r="BR101" s="44" t="e">
        <f>AI101/AA101/7.2048</f>
        <v>#DIV/0!</v>
      </c>
      <c r="BS101" s="10">
        <f t="shared" ref="BS101:BS115" si="289">CN101-BO101</f>
        <v>0</v>
      </c>
      <c r="BT101" s="513">
        <f t="shared" ref="BT101:BT115" si="290">CM101-BO101</f>
        <v>0</v>
      </c>
      <c r="BU101" s="513" t="e">
        <f t="shared" ref="BU101:BU115" si="291">BR101-BS101</f>
        <v>#DIV/0!</v>
      </c>
      <c r="BV101" s="378" t="e">
        <f t="shared" ref="BV101:BV115" si="292">BR101-BT101</f>
        <v>#DIV/0!</v>
      </c>
      <c r="BW101" s="43"/>
      <c r="BX101" s="43"/>
      <c r="BY101" s="43"/>
      <c r="BZ101" s="38"/>
      <c r="CA101" s="375"/>
      <c r="CB101" s="356"/>
      <c r="CC101" s="10">
        <f>SUMPRODUCT(('[180]Динамика NB'!$T$5:$AE$5=$L101)*('[180]Динамика NB'!$T$169:$AE$169))</f>
        <v>0</v>
      </c>
      <c r="CD101" s="10"/>
      <c r="CE101" s="10"/>
      <c r="CF101" s="10"/>
      <c r="CG101" s="10"/>
      <c r="CH101" s="43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3">
        <f t="shared" ref="CI101:CI116" si="293">(CB101-CC101)*AA101</f>
        <v>0</v>
      </c>
      <c r="CJ101" s="43"/>
      <c r="CK101" s="43"/>
      <c r="CL101" s="38"/>
      <c r="CM101" s="129"/>
      <c r="CN101" s="43"/>
      <c r="CO101" s="43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8" t="e">
        <f t="shared" ref="CP101:CP116" si="294">CO101-CH101</f>
        <v>#DIV/0!</v>
      </c>
      <c r="CQ101" s="38"/>
      <c r="CR101" s="12"/>
      <c r="CS101" s="39" t="e">
        <f t="shared" ref="CS101:CS116" si="295">AA101*BK101/1000/1000</f>
        <v>#DIV/0!</v>
      </c>
      <c r="CT101" s="39">
        <f t="shared" ref="CT101:CT116" si="296">BL101*AA101</f>
        <v>0</v>
      </c>
      <c r="CU101" s="39" t="e">
        <f t="shared" ref="CU101:CU115" si="297">CS101-CT101</f>
        <v>#DIV/0!</v>
      </c>
      <c r="CV101" s="43" t="e">
        <f t="shared" ref="CV101:CV116" si="298">BL101/CR101*Y101*AA101</f>
        <v>#DIV/0!</v>
      </c>
      <c r="CW101" s="43" t="e">
        <f t="shared" ref="CW101:CW116" si="299">BL101/CR101*Z101*AA101</f>
        <v>#DIV/0!</v>
      </c>
      <c r="CX101" s="39" t="e">
        <f t="shared" ref="CX101:CX115" si="300">CV101-CT101</f>
        <v>#DIV/0!</v>
      </c>
      <c r="CY101" s="319" t="e">
        <f t="shared" ref="CY101:CY116" si="301">CW101-CH101</f>
        <v>#DIV/0!</v>
      </c>
      <c r="CZ101" s="304" t="e">
        <f t="shared" ref="CZ101:CZ116" si="302">AI101/AA101/BR101</f>
        <v>#DIV/0!</v>
      </c>
      <c r="DA101" s="761" t="e">
        <f t="shared" ref="DA101:DA116" si="303">BU101*CZ101*AA101*CR101/1000000</f>
        <v>#DIV/0!</v>
      </c>
      <c r="DB101" s="771" t="e">
        <f t="shared" ref="DB101:DB116" si="304">BV101*CZ101*AA101*CR101/1000000</f>
        <v>#DIV/0!</v>
      </c>
      <c r="DC101" s="761"/>
      <c r="DD101" s="761" t="e">
        <f t="shared" ref="DD101:DD116" si="305">SUM(AT101,AW101,AX101)</f>
        <v>#DIV/0!</v>
      </c>
      <c r="DE101" s="761" t="e">
        <f t="shared" ref="DE101:DE116" si="306">AL101</f>
        <v>#DIV/0!</v>
      </c>
      <c r="DF101" s="761"/>
      <c r="DG101" s="761">
        <f t="shared" ref="DG101:DG116" si="307">(BA101-BB101)/1000/1000</f>
        <v>0</v>
      </c>
      <c r="DH101" s="761">
        <f t="shared" ref="DH101:DH116" si="308">(BH101-BI101)/1000/1000</f>
        <v>0</v>
      </c>
      <c r="DI101" s="761">
        <f t="shared" ref="DI101:DI116" si="309">AS101/1000000</f>
        <v>0</v>
      </c>
      <c r="DJ101" s="761">
        <f t="shared" ref="DJ101:DJ116" si="310">CI101/1000/1000</f>
        <v>0</v>
      </c>
      <c r="DK101" s="761" t="e">
        <f t="shared" ref="DK101:DK115" si="311">CY101/1000/1000</f>
        <v>#DIV/0!</v>
      </c>
      <c r="DL101" s="761" t="e">
        <f t="shared" ref="DL101:DL115" si="312">CP101/1000/1000</f>
        <v>#DIV/0!</v>
      </c>
      <c r="DM101" s="633" t="e">
        <f t="shared" ref="DM101" si="313">SUM(DA101:DL101)</f>
        <v>#DIV/0!</v>
      </c>
      <c r="DO101" s="69"/>
    </row>
    <row r="102" spans="1:121" s="25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80" t="s">
        <v>393</v>
      </c>
      <c r="K102" s="194"/>
      <c r="L102" s="195"/>
      <c r="M102" s="284"/>
      <c r="N102" s="72"/>
      <c r="O102" s="19"/>
      <c r="P102" s="182"/>
      <c r="Q102" s="16">
        <f t="shared" si="265"/>
        <v>0</v>
      </c>
      <c r="R102" s="679">
        <f t="shared" si="266"/>
        <v>0</v>
      </c>
      <c r="S102" s="719"/>
      <c r="T102" s="720"/>
      <c r="U102" s="720"/>
      <c r="V102" s="720"/>
      <c r="W102" s="720"/>
      <c r="X102" s="16"/>
      <c r="Y102" s="172"/>
      <c r="Z102" s="176"/>
      <c r="AA102" s="16"/>
      <c r="AB102" s="18"/>
      <c r="AC102" s="11"/>
      <c r="AD102" s="11"/>
      <c r="AE102" s="11"/>
      <c r="AF102" s="11"/>
      <c r="AG102" s="75">
        <f t="shared" si="267"/>
        <v>0</v>
      </c>
      <c r="AH102" s="18"/>
      <c r="AI102" s="16"/>
      <c r="AJ102" s="16"/>
      <c r="AK102" s="18" t="e">
        <f t="shared" si="268"/>
        <v>#DIV/0!</v>
      </c>
      <c r="AL102" s="11" t="e">
        <f t="shared" si="269"/>
        <v>#DIV/0!</v>
      </c>
      <c r="AM102" s="11" t="e">
        <f t="shared" si="270"/>
        <v>#DIV/0!</v>
      </c>
      <c r="AN102" s="11" t="e">
        <f t="shared" si="271"/>
        <v>#DIV/0!</v>
      </c>
      <c r="AO102" s="11" t="e">
        <f t="shared" si="272"/>
        <v>#DIV/0!</v>
      </c>
      <c r="AP102" s="14" t="e">
        <f t="shared" si="273"/>
        <v>#DIV/0!</v>
      </c>
      <c r="AQ102" s="132" t="e">
        <f t="shared" si="274"/>
        <v>#DIV/0!</v>
      </c>
      <c r="AR102" s="16">
        <f t="shared" si="275"/>
        <v>0</v>
      </c>
      <c r="AS102" s="287">
        <f t="shared" si="276"/>
        <v>0</v>
      </c>
      <c r="AT102" s="11" t="e">
        <f t="shared" si="277"/>
        <v>#DIV/0!</v>
      </c>
      <c r="AU102" s="11" t="e">
        <f t="shared" si="278"/>
        <v>#DIV/0!</v>
      </c>
      <c r="AV102" s="11" t="e">
        <f t="shared" si="279"/>
        <v>#DIV/0!</v>
      </c>
      <c r="AW102" s="11" t="e">
        <f t="shared" si="280"/>
        <v>#DIV/0!</v>
      </c>
      <c r="AX102" s="11" t="e">
        <f t="shared" si="281"/>
        <v>#DIV/0!</v>
      </c>
      <c r="AY102" s="14" t="e">
        <f t="shared" si="282"/>
        <v>#DIV/0!</v>
      </c>
      <c r="AZ102" s="131"/>
      <c r="BA102" s="16">
        <f t="shared" ref="BA102:BA114" si="314">BD102*AA102</f>
        <v>0</v>
      </c>
      <c r="BB102" s="16">
        <f t="shared" ref="BB102:BB114" si="315">AZ102*AA102</f>
        <v>0</v>
      </c>
      <c r="BC102" s="11"/>
      <c r="BD102" s="11"/>
      <c r="BE102" s="11"/>
      <c r="BF102" s="11"/>
      <c r="BG102" s="11"/>
      <c r="BH102" s="16">
        <f t="shared" si="283"/>
        <v>0</v>
      </c>
      <c r="BI102" s="16">
        <f t="shared" si="284"/>
        <v>0</v>
      </c>
      <c r="BJ102" s="16" t="e">
        <f t="shared" si="285"/>
        <v>#DIV/0!</v>
      </c>
      <c r="BK102" s="16" t="e">
        <f t="shared" si="286"/>
        <v>#DIV/0!</v>
      </c>
      <c r="BL102" s="16"/>
      <c r="BM102" s="16" t="e">
        <f t="shared" si="287"/>
        <v>#DIV/0!</v>
      </c>
      <c r="BN102" s="16" t="e">
        <f t="shared" si="288"/>
        <v>#DIV/0!</v>
      </c>
      <c r="BO102" s="11"/>
      <c r="BP102" s="88"/>
      <c r="BQ102" s="375"/>
      <c r="BR102" s="18" t="e">
        <f>AI102/AA102/7.212</f>
        <v>#DIV/0!</v>
      </c>
      <c r="BS102" s="11">
        <f t="shared" si="289"/>
        <v>0</v>
      </c>
      <c r="BT102" s="514">
        <f t="shared" si="290"/>
        <v>0</v>
      </c>
      <c r="BU102" s="514" t="e">
        <f t="shared" si="291"/>
        <v>#DIV/0!</v>
      </c>
      <c r="BV102" s="501" t="e">
        <f t="shared" si="292"/>
        <v>#DIV/0!</v>
      </c>
      <c r="BW102" s="16"/>
      <c r="BX102" s="16"/>
      <c r="BY102" s="16"/>
      <c r="BZ102" s="40"/>
      <c r="CA102" s="375"/>
      <c r="CB102" s="356"/>
      <c r="CC102" s="11">
        <f>SUMPRODUCT(('[180]Динамика NB'!$T$5:$AE$5=$L102)*('[180]Динамика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93"/>
        <v>0</v>
      </c>
      <c r="CJ102" s="16"/>
      <c r="CK102" s="16"/>
      <c r="CL102" s="40"/>
      <c r="CM102" s="131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40" t="e">
        <f t="shared" si="294"/>
        <v>#DIV/0!</v>
      </c>
      <c r="CQ102" s="40"/>
      <c r="CR102" s="14"/>
      <c r="CS102" s="15" t="e">
        <f t="shared" si="295"/>
        <v>#DIV/0!</v>
      </c>
      <c r="CT102" s="15">
        <f t="shared" si="296"/>
        <v>0</v>
      </c>
      <c r="CU102" s="15" t="e">
        <f t="shared" si="297"/>
        <v>#DIV/0!</v>
      </c>
      <c r="CV102" s="16" t="e">
        <f t="shared" si="298"/>
        <v>#DIV/0!</v>
      </c>
      <c r="CW102" s="16" t="e">
        <f t="shared" si="299"/>
        <v>#DIV/0!</v>
      </c>
      <c r="CX102" s="15" t="e">
        <f t="shared" si="300"/>
        <v>#DIV/0!</v>
      </c>
      <c r="CY102" s="320" t="e">
        <f t="shared" si="301"/>
        <v>#DIV/0!</v>
      </c>
      <c r="CZ102" s="305" t="e">
        <f t="shared" si="302"/>
        <v>#DIV/0!</v>
      </c>
      <c r="DA102" s="761" t="e">
        <f t="shared" si="303"/>
        <v>#DIV/0!</v>
      </c>
      <c r="DB102" s="771" t="e">
        <f t="shared" si="304"/>
        <v>#DIV/0!</v>
      </c>
      <c r="DC102" s="761"/>
      <c r="DD102" s="761" t="e">
        <f t="shared" si="305"/>
        <v>#DIV/0!</v>
      </c>
      <c r="DE102" s="761" t="e">
        <f t="shared" si="306"/>
        <v>#DIV/0!</v>
      </c>
      <c r="DF102" s="761"/>
      <c r="DG102" s="761">
        <f t="shared" si="307"/>
        <v>0</v>
      </c>
      <c r="DH102" s="761">
        <f t="shared" si="308"/>
        <v>0</v>
      </c>
      <c r="DI102" s="761">
        <f t="shared" si="309"/>
        <v>0</v>
      </c>
      <c r="DJ102" s="761">
        <f t="shared" si="310"/>
        <v>0</v>
      </c>
      <c r="DK102" s="761" t="e">
        <f t="shared" si="311"/>
        <v>#DIV/0!</v>
      </c>
      <c r="DL102" s="761" t="e">
        <f t="shared" si="312"/>
        <v>#DIV/0!</v>
      </c>
      <c r="DM102" s="633" t="e">
        <f t="shared" ref="DM102:DM114" si="316">SUM(DA102:DL102)</f>
        <v>#DIV/0!</v>
      </c>
      <c r="DO102" s="69"/>
    </row>
    <row r="103" spans="1:121" s="25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80" t="s">
        <v>392</v>
      </c>
      <c r="K103" s="194"/>
      <c r="L103" s="195"/>
      <c r="M103" s="284"/>
      <c r="N103" s="72"/>
      <c r="O103" s="19"/>
      <c r="P103" s="182"/>
      <c r="Q103" s="16">
        <f t="shared" si="265"/>
        <v>0</v>
      </c>
      <c r="R103" s="679">
        <f t="shared" si="266"/>
        <v>0</v>
      </c>
      <c r="S103" s="719"/>
      <c r="T103" s="720"/>
      <c r="U103" s="720"/>
      <c r="V103" s="720"/>
      <c r="W103" s="720"/>
      <c r="X103" s="16"/>
      <c r="Y103" s="172"/>
      <c r="Z103" s="176"/>
      <c r="AA103" s="16"/>
      <c r="AB103" s="18"/>
      <c r="AC103" s="11"/>
      <c r="AD103" s="11"/>
      <c r="AE103" s="11"/>
      <c r="AF103" s="11"/>
      <c r="AG103" s="75">
        <f t="shared" si="267"/>
        <v>0</v>
      </c>
      <c r="AH103" s="18"/>
      <c r="AI103" s="16"/>
      <c r="AJ103" s="16"/>
      <c r="AK103" s="18" t="e">
        <f t="shared" si="268"/>
        <v>#DIV/0!</v>
      </c>
      <c r="AL103" s="11" t="e">
        <f t="shared" si="269"/>
        <v>#DIV/0!</v>
      </c>
      <c r="AM103" s="11" t="e">
        <f t="shared" si="270"/>
        <v>#DIV/0!</v>
      </c>
      <c r="AN103" s="11" t="e">
        <f t="shared" si="271"/>
        <v>#DIV/0!</v>
      </c>
      <c r="AO103" s="11" t="e">
        <f t="shared" si="272"/>
        <v>#DIV/0!</v>
      </c>
      <c r="AP103" s="14" t="e">
        <f t="shared" si="273"/>
        <v>#DIV/0!</v>
      </c>
      <c r="AQ103" s="132" t="e">
        <f t="shared" si="274"/>
        <v>#DIV/0!</v>
      </c>
      <c r="AR103" s="16">
        <f t="shared" si="275"/>
        <v>0</v>
      </c>
      <c r="AS103" s="287">
        <f t="shared" si="276"/>
        <v>0</v>
      </c>
      <c r="AT103" s="11" t="e">
        <f t="shared" si="277"/>
        <v>#DIV/0!</v>
      </c>
      <c r="AU103" s="11" t="e">
        <f t="shared" si="278"/>
        <v>#DIV/0!</v>
      </c>
      <c r="AV103" s="11" t="e">
        <f t="shared" si="279"/>
        <v>#DIV/0!</v>
      </c>
      <c r="AW103" s="11" t="e">
        <f t="shared" si="280"/>
        <v>#DIV/0!</v>
      </c>
      <c r="AX103" s="11" t="e">
        <f t="shared" si="281"/>
        <v>#DIV/0!</v>
      </c>
      <c r="AY103" s="14" t="e">
        <f t="shared" si="282"/>
        <v>#DIV/0!</v>
      </c>
      <c r="AZ103" s="131"/>
      <c r="BA103" s="16">
        <f t="shared" si="314"/>
        <v>0</v>
      </c>
      <c r="BB103" s="16">
        <f t="shared" si="315"/>
        <v>0</v>
      </c>
      <c r="BC103" s="11"/>
      <c r="BD103" s="11"/>
      <c r="BE103" s="11"/>
      <c r="BF103" s="11"/>
      <c r="BG103" s="11"/>
      <c r="BH103" s="16">
        <f t="shared" si="283"/>
        <v>0</v>
      </c>
      <c r="BI103" s="16">
        <f t="shared" si="284"/>
        <v>0</v>
      </c>
      <c r="BJ103" s="16" t="e">
        <f t="shared" si="285"/>
        <v>#DIV/0!</v>
      </c>
      <c r="BK103" s="16" t="e">
        <f t="shared" si="286"/>
        <v>#DIV/0!</v>
      </c>
      <c r="BL103" s="16"/>
      <c r="BM103" s="16" t="e">
        <f t="shared" si="287"/>
        <v>#DIV/0!</v>
      </c>
      <c r="BN103" s="16" t="e">
        <f t="shared" si="288"/>
        <v>#DIV/0!</v>
      </c>
      <c r="BO103" s="11"/>
      <c r="BP103" s="88"/>
      <c r="BQ103" s="375"/>
      <c r="BR103" s="18" t="e">
        <f>AI103/AA103/7.2</f>
        <v>#DIV/0!</v>
      </c>
      <c r="BS103" s="11">
        <f t="shared" si="289"/>
        <v>0</v>
      </c>
      <c r="BT103" s="514">
        <f t="shared" si="290"/>
        <v>0</v>
      </c>
      <c r="BU103" s="514" t="e">
        <f t="shared" si="291"/>
        <v>#DIV/0!</v>
      </c>
      <c r="BV103" s="501" t="e">
        <f t="shared" si="292"/>
        <v>#DIV/0!</v>
      </c>
      <c r="BW103" s="16"/>
      <c r="BX103" s="16"/>
      <c r="BY103" s="16"/>
      <c r="BZ103" s="40"/>
      <c r="CA103" s="375"/>
      <c r="CB103" s="356"/>
      <c r="CC103" s="11">
        <f>SUMPRODUCT(('[180]Динамика NB'!$T$5:$AE$5=$L103)*('[180]Динамика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93"/>
        <v>0</v>
      </c>
      <c r="CJ103" s="16"/>
      <c r="CK103" s="16"/>
      <c r="CL103" s="40"/>
      <c r="CM103" s="131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40" t="e">
        <f t="shared" si="294"/>
        <v>#DIV/0!</v>
      </c>
      <c r="CQ103" s="40"/>
      <c r="CR103" s="14"/>
      <c r="CS103" s="15" t="e">
        <f t="shared" si="295"/>
        <v>#DIV/0!</v>
      </c>
      <c r="CT103" s="15">
        <f t="shared" si="296"/>
        <v>0</v>
      </c>
      <c r="CU103" s="15" t="e">
        <f t="shared" si="297"/>
        <v>#DIV/0!</v>
      </c>
      <c r="CV103" s="16" t="e">
        <f t="shared" si="298"/>
        <v>#DIV/0!</v>
      </c>
      <c r="CW103" s="16" t="e">
        <f t="shared" si="299"/>
        <v>#DIV/0!</v>
      </c>
      <c r="CX103" s="15" t="e">
        <f t="shared" si="300"/>
        <v>#DIV/0!</v>
      </c>
      <c r="CY103" s="321" t="e">
        <f t="shared" si="301"/>
        <v>#DIV/0!</v>
      </c>
      <c r="CZ103" s="305" t="e">
        <f t="shared" si="302"/>
        <v>#DIV/0!</v>
      </c>
      <c r="DA103" s="761" t="e">
        <f t="shared" si="303"/>
        <v>#DIV/0!</v>
      </c>
      <c r="DB103" s="771" t="e">
        <f t="shared" si="304"/>
        <v>#DIV/0!</v>
      </c>
      <c r="DC103" s="761"/>
      <c r="DD103" s="761" t="e">
        <f t="shared" si="305"/>
        <v>#DIV/0!</v>
      </c>
      <c r="DE103" s="761" t="e">
        <f t="shared" si="306"/>
        <v>#DIV/0!</v>
      </c>
      <c r="DF103" s="761"/>
      <c r="DG103" s="761">
        <f t="shared" si="307"/>
        <v>0</v>
      </c>
      <c r="DH103" s="761">
        <f t="shared" si="308"/>
        <v>0</v>
      </c>
      <c r="DI103" s="761">
        <f t="shared" si="309"/>
        <v>0</v>
      </c>
      <c r="DJ103" s="761">
        <f t="shared" si="310"/>
        <v>0</v>
      </c>
      <c r="DK103" s="761" t="e">
        <f t="shared" si="311"/>
        <v>#DIV/0!</v>
      </c>
      <c r="DL103" s="761" t="e">
        <f t="shared" si="312"/>
        <v>#DIV/0!</v>
      </c>
      <c r="DM103" s="633" t="e">
        <f t="shared" si="316"/>
        <v>#DIV/0!</v>
      </c>
      <c r="DO103" s="69"/>
    </row>
    <row r="104" spans="1:121" s="25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80" t="s">
        <v>393</v>
      </c>
      <c r="K104" s="194"/>
      <c r="L104" s="195"/>
      <c r="M104" s="284"/>
      <c r="N104" s="72"/>
      <c r="O104" s="19"/>
      <c r="P104" s="182"/>
      <c r="Q104" s="16">
        <f t="shared" si="265"/>
        <v>0</v>
      </c>
      <c r="R104" s="679">
        <f t="shared" si="266"/>
        <v>0</v>
      </c>
      <c r="S104" s="719"/>
      <c r="T104" s="720"/>
      <c r="U104" s="720"/>
      <c r="V104" s="720"/>
      <c r="W104" s="720"/>
      <c r="X104" s="16"/>
      <c r="Y104" s="172"/>
      <c r="Z104" s="176"/>
      <c r="AA104" s="16"/>
      <c r="AB104" s="18"/>
      <c r="AC104" s="11"/>
      <c r="AD104" s="11"/>
      <c r="AE104" s="11"/>
      <c r="AF104" s="11"/>
      <c r="AG104" s="75">
        <f t="shared" si="267"/>
        <v>0</v>
      </c>
      <c r="AH104" s="18"/>
      <c r="AI104" s="16"/>
      <c r="AJ104" s="16"/>
      <c r="AK104" s="18" t="e">
        <f t="shared" si="268"/>
        <v>#DIV/0!</v>
      </c>
      <c r="AL104" s="11" t="e">
        <f t="shared" si="269"/>
        <v>#DIV/0!</v>
      </c>
      <c r="AM104" s="11" t="e">
        <f t="shared" si="270"/>
        <v>#DIV/0!</v>
      </c>
      <c r="AN104" s="11" t="e">
        <f t="shared" si="271"/>
        <v>#DIV/0!</v>
      </c>
      <c r="AO104" s="11" t="e">
        <f t="shared" si="272"/>
        <v>#DIV/0!</v>
      </c>
      <c r="AP104" s="14" t="e">
        <f t="shared" si="273"/>
        <v>#DIV/0!</v>
      </c>
      <c r="AQ104" s="132" t="e">
        <f t="shared" si="274"/>
        <v>#DIV/0!</v>
      </c>
      <c r="AR104" s="16">
        <f t="shared" si="275"/>
        <v>0</v>
      </c>
      <c r="AS104" s="287">
        <f t="shared" si="276"/>
        <v>0</v>
      </c>
      <c r="AT104" s="11" t="e">
        <f t="shared" si="277"/>
        <v>#DIV/0!</v>
      </c>
      <c r="AU104" s="11" t="e">
        <f t="shared" si="278"/>
        <v>#DIV/0!</v>
      </c>
      <c r="AV104" s="11" t="e">
        <f t="shared" si="279"/>
        <v>#DIV/0!</v>
      </c>
      <c r="AW104" s="11" t="e">
        <f t="shared" si="280"/>
        <v>#DIV/0!</v>
      </c>
      <c r="AX104" s="11" t="e">
        <f t="shared" si="281"/>
        <v>#DIV/0!</v>
      </c>
      <c r="AY104" s="14" t="e">
        <f t="shared" si="282"/>
        <v>#DIV/0!</v>
      </c>
      <c r="AZ104" s="131"/>
      <c r="BA104" s="16">
        <f t="shared" si="314"/>
        <v>0</v>
      </c>
      <c r="BB104" s="16">
        <f t="shared" si="315"/>
        <v>0</v>
      </c>
      <c r="BC104" s="11"/>
      <c r="BD104" s="11"/>
      <c r="BE104" s="11"/>
      <c r="BF104" s="11"/>
      <c r="BG104" s="11"/>
      <c r="BH104" s="16">
        <f t="shared" si="283"/>
        <v>0</v>
      </c>
      <c r="BI104" s="16">
        <f t="shared" si="284"/>
        <v>0</v>
      </c>
      <c r="BJ104" s="16" t="e">
        <f t="shared" si="285"/>
        <v>#DIV/0!</v>
      </c>
      <c r="BK104" s="16" t="e">
        <f t="shared" si="286"/>
        <v>#DIV/0!</v>
      </c>
      <c r="BL104" s="16"/>
      <c r="BM104" s="16" t="e">
        <f t="shared" si="287"/>
        <v>#DIV/0!</v>
      </c>
      <c r="BN104" s="16" t="e">
        <f t="shared" si="288"/>
        <v>#DIV/0!</v>
      </c>
      <c r="BO104" s="11"/>
      <c r="BP104" s="88"/>
      <c r="BQ104" s="375"/>
      <c r="BR104" s="18" t="e">
        <f>AI104/AA104/7.2048</f>
        <v>#DIV/0!</v>
      </c>
      <c r="BS104" s="11">
        <f t="shared" si="289"/>
        <v>0</v>
      </c>
      <c r="BT104" s="514">
        <f t="shared" si="290"/>
        <v>0</v>
      </c>
      <c r="BU104" s="514" t="e">
        <f t="shared" si="291"/>
        <v>#DIV/0!</v>
      </c>
      <c r="BV104" s="501" t="e">
        <f t="shared" si="292"/>
        <v>#DIV/0!</v>
      </c>
      <c r="BW104" s="16"/>
      <c r="BX104" s="16"/>
      <c r="BY104" s="16"/>
      <c r="BZ104" s="40"/>
      <c r="CA104" s="375"/>
      <c r="CB104" s="356"/>
      <c r="CC104" s="11">
        <f>SUMPRODUCT(('[180]Динамика NB'!$T$5:$AE$5=$L104)*('[180]Динамика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93"/>
        <v>0</v>
      </c>
      <c r="CJ104" s="16"/>
      <c r="CK104" s="16"/>
      <c r="CL104" s="40"/>
      <c r="CM104" s="131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40" t="e">
        <f t="shared" si="294"/>
        <v>#DIV/0!</v>
      </c>
      <c r="CQ104" s="40"/>
      <c r="CR104" s="14"/>
      <c r="CS104" s="15" t="e">
        <f t="shared" si="295"/>
        <v>#DIV/0!</v>
      </c>
      <c r="CT104" s="15">
        <f t="shared" si="296"/>
        <v>0</v>
      </c>
      <c r="CU104" s="15" t="e">
        <f t="shared" si="297"/>
        <v>#DIV/0!</v>
      </c>
      <c r="CV104" s="16" t="e">
        <f t="shared" si="298"/>
        <v>#DIV/0!</v>
      </c>
      <c r="CW104" s="16" t="e">
        <f t="shared" si="299"/>
        <v>#DIV/0!</v>
      </c>
      <c r="CX104" s="15" t="e">
        <f t="shared" si="300"/>
        <v>#DIV/0!</v>
      </c>
      <c r="CY104" s="321" t="e">
        <f t="shared" si="301"/>
        <v>#DIV/0!</v>
      </c>
      <c r="CZ104" s="305" t="e">
        <f t="shared" si="302"/>
        <v>#DIV/0!</v>
      </c>
      <c r="DA104" s="761" t="e">
        <f t="shared" si="303"/>
        <v>#DIV/0!</v>
      </c>
      <c r="DB104" s="771" t="e">
        <f t="shared" si="304"/>
        <v>#DIV/0!</v>
      </c>
      <c r="DC104" s="761"/>
      <c r="DD104" s="761" t="e">
        <f t="shared" si="305"/>
        <v>#DIV/0!</v>
      </c>
      <c r="DE104" s="761" t="e">
        <f t="shared" si="306"/>
        <v>#DIV/0!</v>
      </c>
      <c r="DF104" s="761"/>
      <c r="DG104" s="761">
        <f t="shared" si="307"/>
        <v>0</v>
      </c>
      <c r="DH104" s="761">
        <f t="shared" si="308"/>
        <v>0</v>
      </c>
      <c r="DI104" s="761">
        <f t="shared" si="309"/>
        <v>0</v>
      </c>
      <c r="DJ104" s="761">
        <f t="shared" si="310"/>
        <v>0</v>
      </c>
      <c r="DK104" s="761" t="e">
        <f t="shared" si="311"/>
        <v>#DIV/0!</v>
      </c>
      <c r="DL104" s="761" t="e">
        <f t="shared" si="312"/>
        <v>#DIV/0!</v>
      </c>
      <c r="DM104" s="633" t="e">
        <f t="shared" si="316"/>
        <v>#DIV/0!</v>
      </c>
      <c r="DO104" s="69"/>
    </row>
    <row r="105" spans="1:121" s="25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80" t="s">
        <v>393</v>
      </c>
      <c r="K105" s="194"/>
      <c r="L105" s="195"/>
      <c r="M105" s="284"/>
      <c r="N105" s="72"/>
      <c r="O105" s="19"/>
      <c r="P105" s="182"/>
      <c r="Q105" s="16">
        <f t="shared" si="265"/>
        <v>0</v>
      </c>
      <c r="R105" s="679">
        <f t="shared" si="266"/>
        <v>0</v>
      </c>
      <c r="S105" s="719"/>
      <c r="T105" s="720"/>
      <c r="U105" s="720"/>
      <c r="V105" s="720"/>
      <c r="W105" s="720"/>
      <c r="X105" s="16"/>
      <c r="Y105" s="172"/>
      <c r="Z105" s="176"/>
      <c r="AA105" s="16"/>
      <c r="AB105" s="18"/>
      <c r="AC105" s="11"/>
      <c r="AD105" s="11"/>
      <c r="AE105" s="11"/>
      <c r="AF105" s="11"/>
      <c r="AG105" s="75">
        <f t="shared" si="267"/>
        <v>0</v>
      </c>
      <c r="AH105" s="18"/>
      <c r="AI105" s="16"/>
      <c r="AJ105" s="16"/>
      <c r="AK105" s="18" t="e">
        <f t="shared" si="268"/>
        <v>#DIV/0!</v>
      </c>
      <c r="AL105" s="11" t="e">
        <f t="shared" si="269"/>
        <v>#DIV/0!</v>
      </c>
      <c r="AM105" s="11" t="e">
        <f t="shared" si="270"/>
        <v>#DIV/0!</v>
      </c>
      <c r="AN105" s="11" t="e">
        <f t="shared" si="271"/>
        <v>#DIV/0!</v>
      </c>
      <c r="AO105" s="11" t="e">
        <f t="shared" si="272"/>
        <v>#DIV/0!</v>
      </c>
      <c r="AP105" s="14" t="e">
        <f t="shared" si="273"/>
        <v>#DIV/0!</v>
      </c>
      <c r="AQ105" s="132" t="e">
        <f t="shared" si="274"/>
        <v>#DIV/0!</v>
      </c>
      <c r="AR105" s="16">
        <f t="shared" si="275"/>
        <v>0</v>
      </c>
      <c r="AS105" s="287">
        <f t="shared" si="276"/>
        <v>0</v>
      </c>
      <c r="AT105" s="11" t="e">
        <f t="shared" si="277"/>
        <v>#DIV/0!</v>
      </c>
      <c r="AU105" s="11" t="e">
        <f t="shared" si="278"/>
        <v>#DIV/0!</v>
      </c>
      <c r="AV105" s="11" t="e">
        <f t="shared" si="279"/>
        <v>#DIV/0!</v>
      </c>
      <c r="AW105" s="11" t="e">
        <f t="shared" si="280"/>
        <v>#DIV/0!</v>
      </c>
      <c r="AX105" s="11" t="e">
        <f t="shared" si="281"/>
        <v>#DIV/0!</v>
      </c>
      <c r="AY105" s="14" t="e">
        <f t="shared" si="282"/>
        <v>#DIV/0!</v>
      </c>
      <c r="AZ105" s="131"/>
      <c r="BA105" s="16">
        <f t="shared" si="314"/>
        <v>0</v>
      </c>
      <c r="BB105" s="16">
        <f t="shared" si="315"/>
        <v>0</v>
      </c>
      <c r="BC105" s="11"/>
      <c r="BD105" s="11"/>
      <c r="BE105" s="11"/>
      <c r="BF105" s="11"/>
      <c r="BG105" s="11"/>
      <c r="BH105" s="16">
        <f t="shared" si="283"/>
        <v>0</v>
      </c>
      <c r="BI105" s="16">
        <f t="shared" si="284"/>
        <v>0</v>
      </c>
      <c r="BJ105" s="16" t="e">
        <f t="shared" si="285"/>
        <v>#DIV/0!</v>
      </c>
      <c r="BK105" s="16" t="e">
        <f t="shared" si="286"/>
        <v>#DIV/0!</v>
      </c>
      <c r="BL105" s="16"/>
      <c r="BM105" s="16" t="e">
        <f t="shared" si="287"/>
        <v>#DIV/0!</v>
      </c>
      <c r="BN105" s="16" t="e">
        <f t="shared" si="288"/>
        <v>#DIV/0!</v>
      </c>
      <c r="BO105" s="11"/>
      <c r="BP105" s="88"/>
      <c r="BQ105" s="375"/>
      <c r="BR105" s="18" t="e">
        <f>AI105/AA105/7.216</f>
        <v>#DIV/0!</v>
      </c>
      <c r="BS105" s="11">
        <f t="shared" si="289"/>
        <v>0</v>
      </c>
      <c r="BT105" s="514">
        <f t="shared" si="290"/>
        <v>0</v>
      </c>
      <c r="BU105" s="514" t="e">
        <f t="shared" si="291"/>
        <v>#DIV/0!</v>
      </c>
      <c r="BV105" s="501" t="e">
        <f t="shared" si="292"/>
        <v>#DIV/0!</v>
      </c>
      <c r="BW105" s="16"/>
      <c r="BX105" s="16"/>
      <c r="BY105" s="16"/>
      <c r="BZ105" s="40"/>
      <c r="CA105" s="375"/>
      <c r="CB105" s="356"/>
      <c r="CC105" s="11">
        <f>SUMPRODUCT(('[180]Динамика NB'!$T$5:$AE$5=$L105)*('[180]Динамика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93"/>
        <v>0</v>
      </c>
      <c r="CJ105" s="16"/>
      <c r="CK105" s="16"/>
      <c r="CL105" s="40"/>
      <c r="CM105" s="131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40" t="e">
        <f t="shared" si="294"/>
        <v>#DIV/0!</v>
      </c>
      <c r="CQ105" s="40"/>
      <c r="CR105" s="14"/>
      <c r="CS105" s="15" t="e">
        <f t="shared" si="295"/>
        <v>#DIV/0!</v>
      </c>
      <c r="CT105" s="15">
        <f t="shared" si="296"/>
        <v>0</v>
      </c>
      <c r="CU105" s="15" t="e">
        <f t="shared" si="297"/>
        <v>#DIV/0!</v>
      </c>
      <c r="CV105" s="16" t="e">
        <f t="shared" si="298"/>
        <v>#DIV/0!</v>
      </c>
      <c r="CW105" s="16" t="e">
        <f t="shared" si="299"/>
        <v>#DIV/0!</v>
      </c>
      <c r="CX105" s="15" t="e">
        <f t="shared" si="300"/>
        <v>#DIV/0!</v>
      </c>
      <c r="CY105" s="321" t="e">
        <f t="shared" si="301"/>
        <v>#DIV/0!</v>
      </c>
      <c r="CZ105" s="305" t="e">
        <f t="shared" si="302"/>
        <v>#DIV/0!</v>
      </c>
      <c r="DA105" s="761" t="e">
        <f t="shared" si="303"/>
        <v>#DIV/0!</v>
      </c>
      <c r="DB105" s="771" t="e">
        <f t="shared" si="304"/>
        <v>#DIV/0!</v>
      </c>
      <c r="DC105" s="761"/>
      <c r="DD105" s="761" t="e">
        <f t="shared" si="305"/>
        <v>#DIV/0!</v>
      </c>
      <c r="DE105" s="761" t="e">
        <f t="shared" si="306"/>
        <v>#DIV/0!</v>
      </c>
      <c r="DF105" s="761"/>
      <c r="DG105" s="761">
        <f t="shared" si="307"/>
        <v>0</v>
      </c>
      <c r="DH105" s="761">
        <f t="shared" si="308"/>
        <v>0</v>
      </c>
      <c r="DI105" s="761">
        <f t="shared" si="309"/>
        <v>0</v>
      </c>
      <c r="DJ105" s="761">
        <f t="shared" si="310"/>
        <v>0</v>
      </c>
      <c r="DK105" s="761" t="e">
        <f t="shared" si="311"/>
        <v>#DIV/0!</v>
      </c>
      <c r="DL105" s="761" t="e">
        <f t="shared" si="312"/>
        <v>#DIV/0!</v>
      </c>
      <c r="DM105" s="633" t="e">
        <f t="shared" si="316"/>
        <v>#DIV/0!</v>
      </c>
      <c r="DO105" s="69"/>
    </row>
    <row r="106" spans="1:121" s="25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80" t="s">
        <v>393</v>
      </c>
      <c r="K106" s="194"/>
      <c r="L106" s="195"/>
      <c r="M106" s="284"/>
      <c r="N106" s="72"/>
      <c r="O106" s="19"/>
      <c r="P106" s="182"/>
      <c r="Q106" s="16">
        <f t="shared" si="265"/>
        <v>0</v>
      </c>
      <c r="R106" s="679">
        <f t="shared" si="266"/>
        <v>0</v>
      </c>
      <c r="S106" s="719"/>
      <c r="T106" s="720"/>
      <c r="U106" s="720"/>
      <c r="V106" s="720"/>
      <c r="W106" s="720"/>
      <c r="X106" s="16"/>
      <c r="Y106" s="172"/>
      <c r="Z106" s="176"/>
      <c r="AA106" s="16"/>
      <c r="AB106" s="18"/>
      <c r="AC106" s="11"/>
      <c r="AD106" s="11"/>
      <c r="AE106" s="11"/>
      <c r="AF106" s="11"/>
      <c r="AG106" s="75">
        <f t="shared" si="267"/>
        <v>0</v>
      </c>
      <c r="AH106" s="18"/>
      <c r="AI106" s="16"/>
      <c r="AJ106" s="16"/>
      <c r="AK106" s="18" t="e">
        <f t="shared" si="268"/>
        <v>#DIV/0!</v>
      </c>
      <c r="AL106" s="277" t="e">
        <f t="shared" si="269"/>
        <v>#DIV/0!</v>
      </c>
      <c r="AM106" s="277" t="e">
        <f t="shared" si="270"/>
        <v>#DIV/0!</v>
      </c>
      <c r="AN106" s="277" t="e">
        <f t="shared" si="271"/>
        <v>#DIV/0!</v>
      </c>
      <c r="AO106" s="277" t="e">
        <f t="shared" si="272"/>
        <v>#DIV/0!</v>
      </c>
      <c r="AP106" s="282" t="e">
        <f t="shared" si="273"/>
        <v>#DIV/0!</v>
      </c>
      <c r="AQ106" s="133" t="e">
        <f t="shared" si="274"/>
        <v>#DIV/0!</v>
      </c>
      <c r="AR106" s="16">
        <f t="shared" si="275"/>
        <v>0</v>
      </c>
      <c r="AS106" s="287">
        <f t="shared" si="276"/>
        <v>0</v>
      </c>
      <c r="AT106" s="11" t="e">
        <f t="shared" si="277"/>
        <v>#DIV/0!</v>
      </c>
      <c r="AU106" s="277" t="e">
        <f t="shared" si="278"/>
        <v>#DIV/0!</v>
      </c>
      <c r="AV106" s="277" t="e">
        <f t="shared" si="279"/>
        <v>#DIV/0!</v>
      </c>
      <c r="AW106" s="277" t="e">
        <f t="shared" si="280"/>
        <v>#DIV/0!</v>
      </c>
      <c r="AX106" s="277" t="e">
        <f t="shared" si="281"/>
        <v>#DIV/0!</v>
      </c>
      <c r="AY106" s="282" t="e">
        <f t="shared" si="282"/>
        <v>#DIV/0!</v>
      </c>
      <c r="AZ106" s="131"/>
      <c r="BA106" s="28">
        <f t="shared" si="314"/>
        <v>0</v>
      </c>
      <c r="BB106" s="28">
        <f t="shared" si="315"/>
        <v>0</v>
      </c>
      <c r="BC106" s="277"/>
      <c r="BD106" s="277"/>
      <c r="BE106" s="277"/>
      <c r="BF106" s="277"/>
      <c r="BG106" s="11"/>
      <c r="BH106" s="28">
        <f t="shared" si="283"/>
        <v>0</v>
      </c>
      <c r="BI106" s="28">
        <f t="shared" si="284"/>
        <v>0</v>
      </c>
      <c r="BJ106" s="16" t="e">
        <f t="shared" si="285"/>
        <v>#DIV/0!</v>
      </c>
      <c r="BK106" s="16" t="e">
        <f t="shared" si="286"/>
        <v>#DIV/0!</v>
      </c>
      <c r="BL106" s="16"/>
      <c r="BM106" s="16" t="e">
        <f t="shared" si="287"/>
        <v>#DIV/0!</v>
      </c>
      <c r="BN106" s="16" t="e">
        <f t="shared" si="288"/>
        <v>#DIV/0!</v>
      </c>
      <c r="BO106" s="11"/>
      <c r="BP106" s="88"/>
      <c r="BQ106" s="375"/>
      <c r="BR106" s="18" t="e">
        <f>AI106/AA106/7.2128</f>
        <v>#DIV/0!</v>
      </c>
      <c r="BS106" s="11">
        <f t="shared" si="289"/>
        <v>0</v>
      </c>
      <c r="BT106" s="514">
        <f t="shared" si="290"/>
        <v>0</v>
      </c>
      <c r="BU106" s="514" t="e">
        <f t="shared" si="291"/>
        <v>#DIV/0!</v>
      </c>
      <c r="BV106" s="501" t="e">
        <f t="shared" si="292"/>
        <v>#DIV/0!</v>
      </c>
      <c r="BW106" s="16"/>
      <c r="BX106" s="16"/>
      <c r="BY106" s="16"/>
      <c r="BZ106" s="40"/>
      <c r="CA106" s="375"/>
      <c r="CB106" s="356"/>
      <c r="CC106" s="352">
        <f>SUMPRODUCT(('[180]Динамика NB'!$T$5:$AE$5=$L106)*('[180]Динамика NB'!$T$169:$AE$169))</f>
        <v>0</v>
      </c>
      <c r="CD106" s="352"/>
      <c r="CE106" s="352"/>
      <c r="CF106" s="352"/>
      <c r="CG106" s="352"/>
      <c r="CH106" s="28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8">
        <f t="shared" si="293"/>
        <v>0</v>
      </c>
      <c r="CJ106" s="28"/>
      <c r="CK106" s="28"/>
      <c r="CL106" s="41"/>
      <c r="CM106" s="131"/>
      <c r="CN106" s="16"/>
      <c r="CO106" s="28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41" t="e">
        <f t="shared" si="294"/>
        <v>#DIV/0!</v>
      </c>
      <c r="CQ106" s="40"/>
      <c r="CR106" s="14"/>
      <c r="CS106" s="15" t="e">
        <f t="shared" si="295"/>
        <v>#DIV/0!</v>
      </c>
      <c r="CT106" s="15">
        <f t="shared" si="296"/>
        <v>0</v>
      </c>
      <c r="CU106" s="15" t="e">
        <f t="shared" si="297"/>
        <v>#DIV/0!</v>
      </c>
      <c r="CV106" s="16" t="e">
        <f t="shared" si="298"/>
        <v>#DIV/0!</v>
      </c>
      <c r="CW106" s="16" t="e">
        <f t="shared" si="299"/>
        <v>#DIV/0!</v>
      </c>
      <c r="CX106" s="15" t="e">
        <f t="shared" si="300"/>
        <v>#DIV/0!</v>
      </c>
      <c r="CY106" s="321" t="e">
        <f t="shared" si="301"/>
        <v>#DIV/0!</v>
      </c>
      <c r="CZ106" s="305" t="e">
        <f t="shared" si="302"/>
        <v>#DIV/0!</v>
      </c>
      <c r="DA106" s="761" t="e">
        <f t="shared" si="303"/>
        <v>#DIV/0!</v>
      </c>
      <c r="DB106" s="771" t="e">
        <f t="shared" si="304"/>
        <v>#DIV/0!</v>
      </c>
      <c r="DC106" s="761"/>
      <c r="DD106" s="761" t="e">
        <f t="shared" si="305"/>
        <v>#DIV/0!</v>
      </c>
      <c r="DE106" s="761" t="e">
        <f t="shared" si="306"/>
        <v>#DIV/0!</v>
      </c>
      <c r="DF106" s="761"/>
      <c r="DG106" s="761">
        <f t="shared" si="307"/>
        <v>0</v>
      </c>
      <c r="DH106" s="761">
        <f t="shared" si="308"/>
        <v>0</v>
      </c>
      <c r="DI106" s="761">
        <f t="shared" si="309"/>
        <v>0</v>
      </c>
      <c r="DJ106" s="761">
        <f t="shared" si="310"/>
        <v>0</v>
      </c>
      <c r="DK106" s="761" t="e">
        <f t="shared" si="311"/>
        <v>#DIV/0!</v>
      </c>
      <c r="DL106" s="761" t="e">
        <f t="shared" si="312"/>
        <v>#DIV/0!</v>
      </c>
      <c r="DM106" s="633" t="e">
        <f t="shared" si="316"/>
        <v>#DIV/0!</v>
      </c>
      <c r="DO106" s="69"/>
    </row>
    <row r="107" spans="1:121" s="25" customFormat="1" ht="15.95" customHeight="1" x14ac:dyDescent="0.25">
      <c r="A107" s="27"/>
      <c r="B107" s="488"/>
      <c r="C107" s="489"/>
      <c r="D107" s="489"/>
      <c r="E107" s="489"/>
      <c r="F107" s="489"/>
      <c r="G107" s="493"/>
      <c r="H107" s="27"/>
      <c r="I107" s="27"/>
      <c r="J107" s="80" t="s">
        <v>393</v>
      </c>
      <c r="K107" s="194"/>
      <c r="L107" s="195"/>
      <c r="M107" s="284"/>
      <c r="N107" s="72"/>
      <c r="O107" s="19"/>
      <c r="P107" s="182"/>
      <c r="Q107" s="16">
        <f t="shared" si="265"/>
        <v>0</v>
      </c>
      <c r="R107" s="679">
        <f t="shared" si="266"/>
        <v>0</v>
      </c>
      <c r="S107" s="719"/>
      <c r="T107" s="720"/>
      <c r="U107" s="720"/>
      <c r="V107" s="720"/>
      <c r="W107" s="720"/>
      <c r="X107" s="16"/>
      <c r="Y107" s="172"/>
      <c r="Z107" s="176"/>
      <c r="AA107" s="16"/>
      <c r="AB107" s="262"/>
      <c r="AC107" s="277"/>
      <c r="AD107" s="277"/>
      <c r="AE107" s="277"/>
      <c r="AF107" s="277"/>
      <c r="AG107" s="283">
        <f t="shared" si="267"/>
        <v>0</v>
      </c>
      <c r="AH107" s="627"/>
      <c r="AI107" s="16"/>
      <c r="AJ107" s="16"/>
      <c r="AK107" s="262" t="e">
        <f t="shared" si="268"/>
        <v>#DIV/0!</v>
      </c>
      <c r="AL107" s="277" t="e">
        <f t="shared" si="269"/>
        <v>#DIV/0!</v>
      </c>
      <c r="AM107" s="277" t="e">
        <f t="shared" si="270"/>
        <v>#DIV/0!</v>
      </c>
      <c r="AN107" s="277" t="e">
        <f t="shared" si="271"/>
        <v>#DIV/0!</v>
      </c>
      <c r="AO107" s="277" t="e">
        <f t="shared" si="272"/>
        <v>#DIV/0!</v>
      </c>
      <c r="AP107" s="282" t="e">
        <f t="shared" si="273"/>
        <v>#DIV/0!</v>
      </c>
      <c r="AQ107" s="133" t="e">
        <f t="shared" si="274"/>
        <v>#DIV/0!</v>
      </c>
      <c r="AR107" s="16">
        <f t="shared" si="275"/>
        <v>0</v>
      </c>
      <c r="AS107" s="287">
        <f>AR107-AJ107</f>
        <v>0</v>
      </c>
      <c r="AT107" s="277" t="e">
        <f t="shared" si="277"/>
        <v>#DIV/0!</v>
      </c>
      <c r="AU107" s="277" t="e">
        <f t="shared" si="278"/>
        <v>#DIV/0!</v>
      </c>
      <c r="AV107" s="277" t="e">
        <f t="shared" si="279"/>
        <v>#DIV/0!</v>
      </c>
      <c r="AW107" s="277" t="e">
        <f t="shared" si="280"/>
        <v>#DIV/0!</v>
      </c>
      <c r="AX107" s="277" t="e">
        <f t="shared" si="281"/>
        <v>#DIV/0!</v>
      </c>
      <c r="AY107" s="282" t="e">
        <f t="shared" si="282"/>
        <v>#DIV/0!</v>
      </c>
      <c r="AZ107" s="131"/>
      <c r="BA107" s="28">
        <f t="shared" si="314"/>
        <v>0</v>
      </c>
      <c r="BB107" s="28">
        <f t="shared" si="315"/>
        <v>0</v>
      </c>
      <c r="BC107" s="277"/>
      <c r="BD107" s="277"/>
      <c r="BE107" s="277"/>
      <c r="BF107" s="277"/>
      <c r="BG107" s="11"/>
      <c r="BH107" s="28">
        <f t="shared" si="283"/>
        <v>0</v>
      </c>
      <c r="BI107" s="28">
        <f t="shared" si="284"/>
        <v>0</v>
      </c>
      <c r="BJ107" s="16" t="e">
        <f t="shared" si="285"/>
        <v>#DIV/0!</v>
      </c>
      <c r="BK107" s="16" t="e">
        <f t="shared" si="286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8"/>
      <c r="BQ107" s="375"/>
      <c r="BR107" s="18" t="e">
        <f>AI107/AA107/7.2072</f>
        <v>#DIV/0!</v>
      </c>
      <c r="BS107" s="11">
        <f t="shared" si="289"/>
        <v>0</v>
      </c>
      <c r="BT107" s="514">
        <f t="shared" si="290"/>
        <v>0</v>
      </c>
      <c r="BU107" s="514" t="e">
        <f t="shared" si="291"/>
        <v>#DIV/0!</v>
      </c>
      <c r="BV107" s="501" t="e">
        <f t="shared" si="292"/>
        <v>#DIV/0!</v>
      </c>
      <c r="BW107" s="16"/>
      <c r="BX107" s="16"/>
      <c r="BY107" s="16"/>
      <c r="BZ107" s="40"/>
      <c r="CA107" s="375"/>
      <c r="CB107" s="356"/>
      <c r="CC107" s="352">
        <f>SUMPRODUCT(('[180]Динамика NB'!$T$5:$AE$5=$L107)*('[180]Динамика NB'!$T$169:$AE$169))</f>
        <v>0</v>
      </c>
      <c r="CD107" s="352"/>
      <c r="CE107" s="352"/>
      <c r="CF107" s="352"/>
      <c r="CG107" s="352"/>
      <c r="CH107" s="28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8">
        <f t="shared" si="293"/>
        <v>0</v>
      </c>
      <c r="CJ107" s="28"/>
      <c r="CK107" s="28"/>
      <c r="CL107" s="41"/>
      <c r="CM107" s="57"/>
      <c r="CN107" s="16"/>
      <c r="CO107" s="28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41" t="e">
        <f t="shared" si="294"/>
        <v>#DIV/0!</v>
      </c>
      <c r="CQ107" s="40"/>
      <c r="CR107" s="14"/>
      <c r="CS107" s="15" t="e">
        <f t="shared" si="295"/>
        <v>#DIV/0!</v>
      </c>
      <c r="CT107" s="15">
        <f t="shared" si="296"/>
        <v>0</v>
      </c>
      <c r="CU107" s="15" t="e">
        <f t="shared" si="297"/>
        <v>#DIV/0!</v>
      </c>
      <c r="CV107" s="16" t="e">
        <f t="shared" si="298"/>
        <v>#DIV/0!</v>
      </c>
      <c r="CW107" s="16" t="e">
        <f t="shared" si="299"/>
        <v>#DIV/0!</v>
      </c>
      <c r="CX107" s="15" t="e">
        <f t="shared" si="300"/>
        <v>#DIV/0!</v>
      </c>
      <c r="CY107" s="320" t="e">
        <f t="shared" si="301"/>
        <v>#DIV/0!</v>
      </c>
      <c r="CZ107" s="305" t="e">
        <f t="shared" si="302"/>
        <v>#DIV/0!</v>
      </c>
      <c r="DA107" s="761" t="e">
        <f t="shared" si="303"/>
        <v>#DIV/0!</v>
      </c>
      <c r="DB107" s="771" t="e">
        <f t="shared" si="304"/>
        <v>#DIV/0!</v>
      </c>
      <c r="DC107" s="761"/>
      <c r="DD107" s="761" t="e">
        <f t="shared" si="305"/>
        <v>#DIV/0!</v>
      </c>
      <c r="DE107" s="761" t="e">
        <f t="shared" si="306"/>
        <v>#DIV/0!</v>
      </c>
      <c r="DF107" s="761"/>
      <c r="DG107" s="761">
        <f t="shared" si="307"/>
        <v>0</v>
      </c>
      <c r="DH107" s="761">
        <f t="shared" si="308"/>
        <v>0</v>
      </c>
      <c r="DI107" s="761">
        <f t="shared" si="309"/>
        <v>0</v>
      </c>
      <c r="DJ107" s="761">
        <f t="shared" si="310"/>
        <v>0</v>
      </c>
      <c r="DK107" s="761" t="e">
        <f t="shared" si="311"/>
        <v>#DIV/0!</v>
      </c>
      <c r="DL107" s="761" t="e">
        <f t="shared" si="312"/>
        <v>#DIV/0!</v>
      </c>
      <c r="DM107" s="633" t="e">
        <f t="shared" si="316"/>
        <v>#DIV/0!</v>
      </c>
      <c r="DO107" s="69"/>
    </row>
    <row r="108" spans="1:121" s="25" customFormat="1" ht="15.95" customHeight="1" x14ac:dyDescent="0.25">
      <c r="A108" s="27"/>
      <c r="B108" s="488"/>
      <c r="C108" s="489"/>
      <c r="D108" s="11"/>
      <c r="E108" s="11"/>
      <c r="F108" s="11"/>
      <c r="G108" s="14"/>
      <c r="H108" s="11"/>
      <c r="I108" s="11"/>
      <c r="J108" s="80" t="s">
        <v>392</v>
      </c>
      <c r="K108" s="194"/>
      <c r="L108" s="195"/>
      <c r="M108" s="284"/>
      <c r="N108" s="72"/>
      <c r="O108" s="19"/>
      <c r="P108" s="182"/>
      <c r="Q108" s="16">
        <f t="shared" si="265"/>
        <v>0</v>
      </c>
      <c r="R108" s="679">
        <f t="shared" si="266"/>
        <v>0</v>
      </c>
      <c r="S108" s="683"/>
      <c r="T108" s="717"/>
      <c r="U108" s="718"/>
      <c r="V108" s="718"/>
      <c r="W108" s="718"/>
      <c r="X108" s="16"/>
      <c r="Y108" s="172"/>
      <c r="Z108" s="176"/>
      <c r="AA108" s="16"/>
      <c r="AB108" s="262"/>
      <c r="AC108" s="277"/>
      <c r="AD108" s="11"/>
      <c r="AE108" s="11"/>
      <c r="AF108" s="11"/>
      <c r="AG108" s="75">
        <f t="shared" si="267"/>
        <v>0</v>
      </c>
      <c r="AH108" s="18"/>
      <c r="AI108" s="16"/>
      <c r="AJ108" s="16"/>
      <c r="AK108" s="262" t="e">
        <f t="shared" si="268"/>
        <v>#DIV/0!</v>
      </c>
      <c r="AL108" s="277" t="e">
        <f t="shared" si="269"/>
        <v>#DIV/0!</v>
      </c>
      <c r="AM108" s="277" t="e">
        <f t="shared" si="270"/>
        <v>#DIV/0!</v>
      </c>
      <c r="AN108" s="277" t="e">
        <f t="shared" si="271"/>
        <v>#DIV/0!</v>
      </c>
      <c r="AO108" s="277" t="e">
        <f t="shared" si="272"/>
        <v>#DIV/0!</v>
      </c>
      <c r="AP108" s="282" t="e">
        <f t="shared" si="273"/>
        <v>#DIV/0!</v>
      </c>
      <c r="AQ108" s="133" t="e">
        <f t="shared" si="274"/>
        <v>#DIV/0!</v>
      </c>
      <c r="AR108" s="16">
        <f t="shared" si="275"/>
        <v>0</v>
      </c>
      <c r="AS108" s="287">
        <f t="shared" si="276"/>
        <v>0</v>
      </c>
      <c r="AT108" s="277" t="e">
        <f t="shared" si="277"/>
        <v>#DIV/0!</v>
      </c>
      <c r="AU108" s="277" t="e">
        <f t="shared" si="278"/>
        <v>#DIV/0!</v>
      </c>
      <c r="AV108" s="277" t="e">
        <f t="shared" si="279"/>
        <v>#DIV/0!</v>
      </c>
      <c r="AW108" s="277" t="e">
        <f t="shared" si="280"/>
        <v>#DIV/0!</v>
      </c>
      <c r="AX108" s="277" t="e">
        <f t="shared" si="281"/>
        <v>#DIV/0!</v>
      </c>
      <c r="AY108" s="282" t="e">
        <f t="shared" si="282"/>
        <v>#DIV/0!</v>
      </c>
      <c r="AZ108" s="131"/>
      <c r="BA108" s="28">
        <f t="shared" si="314"/>
        <v>0</v>
      </c>
      <c r="BB108" s="28">
        <f t="shared" si="315"/>
        <v>0</v>
      </c>
      <c r="BC108" s="277"/>
      <c r="BD108" s="277"/>
      <c r="BE108" s="277"/>
      <c r="BF108" s="277"/>
      <c r="BG108" s="11"/>
      <c r="BH108" s="28">
        <f t="shared" si="283"/>
        <v>0</v>
      </c>
      <c r="BI108" s="28">
        <f t="shared" si="284"/>
        <v>0</v>
      </c>
      <c r="BJ108" s="16" t="e">
        <f t="shared" si="285"/>
        <v>#DIV/0!</v>
      </c>
      <c r="BK108" s="16" t="e">
        <f t="shared" si="286"/>
        <v>#DIV/0!</v>
      </c>
      <c r="BL108" s="16"/>
      <c r="BM108" s="16" t="e">
        <f t="shared" si="287"/>
        <v>#DIV/0!</v>
      </c>
      <c r="BN108" s="16" t="e">
        <f t="shared" si="288"/>
        <v>#DIV/0!</v>
      </c>
      <c r="BO108" s="11"/>
      <c r="BP108" s="88"/>
      <c r="BQ108" s="375"/>
      <c r="BR108" s="18" t="e">
        <f>AI108/AA108/7.208</f>
        <v>#DIV/0!</v>
      </c>
      <c r="BS108" s="11">
        <f t="shared" si="289"/>
        <v>0</v>
      </c>
      <c r="BT108" s="514">
        <f t="shared" si="290"/>
        <v>0</v>
      </c>
      <c r="BU108" s="514" t="e">
        <f t="shared" si="291"/>
        <v>#DIV/0!</v>
      </c>
      <c r="BV108" s="501" t="e">
        <f t="shared" si="292"/>
        <v>#DIV/0!</v>
      </c>
      <c r="BW108" s="16"/>
      <c r="BX108" s="16"/>
      <c r="BY108" s="16"/>
      <c r="BZ108" s="40"/>
      <c r="CA108" s="375"/>
      <c r="CB108" s="356"/>
      <c r="CC108" s="352">
        <f>SUMPRODUCT(('[180]Динамика NB'!$T$5:$AE$5=$L108)*('[180]Динамика NB'!$T$169:$AE$169))</f>
        <v>0</v>
      </c>
      <c r="CD108" s="352"/>
      <c r="CE108" s="352"/>
      <c r="CF108" s="352"/>
      <c r="CG108" s="352"/>
      <c r="CH108" s="28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8">
        <f t="shared" si="293"/>
        <v>0</v>
      </c>
      <c r="CJ108" s="28"/>
      <c r="CK108" s="28"/>
      <c r="CL108" s="41"/>
      <c r="CM108" s="57"/>
      <c r="CN108" s="16"/>
      <c r="CO108" s="28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41" t="e">
        <f t="shared" si="294"/>
        <v>#DIV/0!</v>
      </c>
      <c r="CQ108" s="40"/>
      <c r="CR108" s="14"/>
      <c r="CS108" s="15" t="e">
        <f t="shared" si="295"/>
        <v>#DIV/0!</v>
      </c>
      <c r="CT108" s="15">
        <f t="shared" si="296"/>
        <v>0</v>
      </c>
      <c r="CU108" s="15" t="e">
        <f t="shared" si="297"/>
        <v>#DIV/0!</v>
      </c>
      <c r="CV108" s="16" t="e">
        <f t="shared" si="298"/>
        <v>#DIV/0!</v>
      </c>
      <c r="CW108" s="16" t="e">
        <f t="shared" si="299"/>
        <v>#DIV/0!</v>
      </c>
      <c r="CX108" s="15" t="e">
        <f t="shared" si="300"/>
        <v>#DIV/0!</v>
      </c>
      <c r="CY108" s="320" t="e">
        <f t="shared" si="301"/>
        <v>#DIV/0!</v>
      </c>
      <c r="CZ108" s="305" t="e">
        <f t="shared" si="302"/>
        <v>#DIV/0!</v>
      </c>
      <c r="DA108" s="761" t="e">
        <f t="shared" si="303"/>
        <v>#DIV/0!</v>
      </c>
      <c r="DB108" s="771" t="e">
        <f t="shared" si="304"/>
        <v>#DIV/0!</v>
      </c>
      <c r="DC108" s="761"/>
      <c r="DD108" s="761" t="e">
        <f t="shared" si="305"/>
        <v>#DIV/0!</v>
      </c>
      <c r="DE108" s="761" t="e">
        <f t="shared" si="306"/>
        <v>#DIV/0!</v>
      </c>
      <c r="DF108" s="761"/>
      <c r="DG108" s="761">
        <f t="shared" si="307"/>
        <v>0</v>
      </c>
      <c r="DH108" s="761">
        <f t="shared" si="308"/>
        <v>0</v>
      </c>
      <c r="DI108" s="761">
        <f t="shared" si="309"/>
        <v>0</v>
      </c>
      <c r="DJ108" s="761">
        <f t="shared" si="310"/>
        <v>0</v>
      </c>
      <c r="DK108" s="761" t="e">
        <f t="shared" si="311"/>
        <v>#DIV/0!</v>
      </c>
      <c r="DL108" s="761" t="e">
        <f t="shared" si="312"/>
        <v>#DIV/0!</v>
      </c>
      <c r="DM108" s="633" t="e">
        <f t="shared" si="316"/>
        <v>#DIV/0!</v>
      </c>
      <c r="DO108" s="69"/>
    </row>
    <row r="109" spans="1:121" s="25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80" t="s">
        <v>393</v>
      </c>
      <c r="K109" s="194"/>
      <c r="L109" s="195"/>
      <c r="M109" s="284"/>
      <c r="N109" s="72"/>
      <c r="O109" s="19"/>
      <c r="P109" s="182"/>
      <c r="Q109" s="16">
        <f t="shared" si="265"/>
        <v>0</v>
      </c>
      <c r="R109" s="679">
        <f t="shared" si="266"/>
        <v>0</v>
      </c>
      <c r="S109" s="719"/>
      <c r="T109" s="720"/>
      <c r="U109" s="720"/>
      <c r="V109" s="720"/>
      <c r="W109" s="720"/>
      <c r="X109" s="16"/>
      <c r="Y109" s="172"/>
      <c r="Z109" s="176"/>
      <c r="AA109" s="16"/>
      <c r="AB109" s="18"/>
      <c r="AC109" s="11"/>
      <c r="AD109" s="11"/>
      <c r="AE109" s="11"/>
      <c r="AF109" s="11"/>
      <c r="AG109" s="75">
        <f t="shared" si="267"/>
        <v>0</v>
      </c>
      <c r="AH109" s="18"/>
      <c r="AI109" s="16"/>
      <c r="AJ109" s="16"/>
      <c r="AK109" s="262" t="e">
        <f t="shared" si="268"/>
        <v>#DIV/0!</v>
      </c>
      <c r="AL109" s="11" t="e">
        <f t="shared" si="269"/>
        <v>#DIV/0!</v>
      </c>
      <c r="AM109" s="11" t="e">
        <f t="shared" si="270"/>
        <v>#DIV/0!</v>
      </c>
      <c r="AN109" s="11" t="e">
        <f t="shared" si="271"/>
        <v>#DIV/0!</v>
      </c>
      <c r="AO109" s="11" t="e">
        <f t="shared" si="272"/>
        <v>#DIV/0!</v>
      </c>
      <c r="AP109" s="14" t="e">
        <f t="shared" si="273"/>
        <v>#DIV/0!</v>
      </c>
      <c r="AQ109" s="133" t="e">
        <f t="shared" si="274"/>
        <v>#DIV/0!</v>
      </c>
      <c r="AR109" s="16">
        <f t="shared" si="275"/>
        <v>0</v>
      </c>
      <c r="AS109" s="287">
        <f t="shared" si="276"/>
        <v>0</v>
      </c>
      <c r="AT109" s="277" t="e">
        <f t="shared" si="277"/>
        <v>#DIV/0!</v>
      </c>
      <c r="AU109" s="11" t="e">
        <f t="shared" si="278"/>
        <v>#DIV/0!</v>
      </c>
      <c r="AV109" s="11" t="e">
        <f t="shared" si="279"/>
        <v>#DIV/0!</v>
      </c>
      <c r="AW109" s="11" t="e">
        <f t="shared" si="280"/>
        <v>#DIV/0!</v>
      </c>
      <c r="AX109" s="11" t="e">
        <f t="shared" si="281"/>
        <v>#DIV/0!</v>
      </c>
      <c r="AY109" s="14" t="e">
        <f t="shared" si="282"/>
        <v>#DIV/0!</v>
      </c>
      <c r="AZ109" s="131"/>
      <c r="BA109" s="16">
        <f t="shared" si="314"/>
        <v>0</v>
      </c>
      <c r="BB109" s="16">
        <f t="shared" si="315"/>
        <v>0</v>
      </c>
      <c r="BC109" s="11"/>
      <c r="BD109" s="11"/>
      <c r="BE109" s="11"/>
      <c r="BF109" s="11"/>
      <c r="BG109" s="11"/>
      <c r="BH109" s="16">
        <f t="shared" si="283"/>
        <v>0</v>
      </c>
      <c r="BI109" s="16">
        <f t="shared" si="284"/>
        <v>0</v>
      </c>
      <c r="BJ109" s="16" t="e">
        <f t="shared" si="285"/>
        <v>#DIV/0!</v>
      </c>
      <c r="BK109" s="16" t="e">
        <f t="shared" si="286"/>
        <v>#DIV/0!</v>
      </c>
      <c r="BL109" s="16"/>
      <c r="BM109" s="16" t="e">
        <f t="shared" si="287"/>
        <v>#DIV/0!</v>
      </c>
      <c r="BN109" s="16" t="e">
        <f t="shared" si="288"/>
        <v>#DIV/0!</v>
      </c>
      <c r="BO109" s="11"/>
      <c r="BP109" s="88"/>
      <c r="BQ109" s="375"/>
      <c r="BR109" s="18" t="e">
        <f>AI109/AA109/7.2409</f>
        <v>#DIV/0!</v>
      </c>
      <c r="BS109" s="11">
        <f t="shared" si="289"/>
        <v>0</v>
      </c>
      <c r="BT109" s="514">
        <f t="shared" si="290"/>
        <v>0</v>
      </c>
      <c r="BU109" s="514" t="e">
        <f t="shared" si="291"/>
        <v>#DIV/0!</v>
      </c>
      <c r="BV109" s="501" t="e">
        <f t="shared" si="292"/>
        <v>#DIV/0!</v>
      </c>
      <c r="BW109" s="16"/>
      <c r="BX109" s="16"/>
      <c r="BY109" s="16"/>
      <c r="BZ109" s="40"/>
      <c r="CA109" s="375"/>
      <c r="CB109" s="356"/>
      <c r="CC109" s="11">
        <f>SUMPRODUCT(('[180]Динамика NB'!$T$5:$AE$5=$L109)*('[180]Динамика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93"/>
        <v>0</v>
      </c>
      <c r="CJ109" s="16"/>
      <c r="CK109" s="16"/>
      <c r="CL109" s="40"/>
      <c r="CM109" s="57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40" t="e">
        <f t="shared" si="294"/>
        <v>#DIV/0!</v>
      </c>
      <c r="CQ109" s="40"/>
      <c r="CR109" s="14"/>
      <c r="CS109" s="15" t="e">
        <f t="shared" si="295"/>
        <v>#DIV/0!</v>
      </c>
      <c r="CT109" s="15">
        <f t="shared" si="296"/>
        <v>0</v>
      </c>
      <c r="CU109" s="15" t="e">
        <f t="shared" si="297"/>
        <v>#DIV/0!</v>
      </c>
      <c r="CV109" s="16" t="e">
        <f t="shared" si="298"/>
        <v>#DIV/0!</v>
      </c>
      <c r="CW109" s="16" t="e">
        <f t="shared" si="299"/>
        <v>#DIV/0!</v>
      </c>
      <c r="CX109" s="15" t="e">
        <f t="shared" si="300"/>
        <v>#DIV/0!</v>
      </c>
      <c r="CY109" s="320" t="e">
        <f t="shared" si="301"/>
        <v>#DIV/0!</v>
      </c>
      <c r="CZ109" s="305" t="e">
        <f t="shared" si="302"/>
        <v>#DIV/0!</v>
      </c>
      <c r="DA109" s="761" t="e">
        <f t="shared" si="303"/>
        <v>#DIV/0!</v>
      </c>
      <c r="DB109" s="771" t="e">
        <f t="shared" si="304"/>
        <v>#DIV/0!</v>
      </c>
      <c r="DC109" s="761"/>
      <c r="DD109" s="761" t="e">
        <f t="shared" si="305"/>
        <v>#DIV/0!</v>
      </c>
      <c r="DE109" s="761" t="e">
        <f t="shared" si="306"/>
        <v>#DIV/0!</v>
      </c>
      <c r="DF109" s="761"/>
      <c r="DG109" s="761">
        <f t="shared" si="307"/>
        <v>0</v>
      </c>
      <c r="DH109" s="761">
        <f t="shared" si="308"/>
        <v>0</v>
      </c>
      <c r="DI109" s="761">
        <f t="shared" si="309"/>
        <v>0</v>
      </c>
      <c r="DJ109" s="761">
        <f t="shared" si="310"/>
        <v>0</v>
      </c>
      <c r="DK109" s="761" t="e">
        <f t="shared" si="311"/>
        <v>#DIV/0!</v>
      </c>
      <c r="DL109" s="761" t="e">
        <f t="shared" si="312"/>
        <v>#DIV/0!</v>
      </c>
      <c r="DM109" s="633" t="e">
        <f t="shared" si="316"/>
        <v>#DIV/0!</v>
      </c>
      <c r="DO109" s="69"/>
    </row>
    <row r="110" spans="1:121" s="25" customFormat="1" ht="15.95" customHeight="1" x14ac:dyDescent="0.25">
      <c r="A110" s="27"/>
      <c r="B110" s="488"/>
      <c r="C110" s="489"/>
      <c r="D110" s="489"/>
      <c r="E110" s="489"/>
      <c r="F110" s="489"/>
      <c r="G110" s="493"/>
      <c r="H110" s="27"/>
      <c r="I110" s="27"/>
      <c r="J110" s="134" t="s">
        <v>393</v>
      </c>
      <c r="K110" s="196"/>
      <c r="L110" s="197"/>
      <c r="M110" s="189"/>
      <c r="N110" s="22"/>
      <c r="O110" s="26"/>
      <c r="P110" s="183"/>
      <c r="Q110" s="659">
        <f t="shared" si="265"/>
        <v>0</v>
      </c>
      <c r="R110" s="679">
        <f t="shared" si="266"/>
        <v>0</v>
      </c>
      <c r="S110" s="677"/>
      <c r="T110" s="721"/>
      <c r="U110" s="721"/>
      <c r="V110" s="721"/>
      <c r="W110" s="721"/>
      <c r="X110" s="28"/>
      <c r="Y110" s="273"/>
      <c r="Z110" s="288"/>
      <c r="AA110" s="28"/>
      <c r="AB110" s="262"/>
      <c r="AC110" s="277"/>
      <c r="AD110" s="277"/>
      <c r="AE110" s="277"/>
      <c r="AF110" s="277"/>
      <c r="AG110" s="283">
        <f t="shared" si="267"/>
        <v>0</v>
      </c>
      <c r="AH110" s="627"/>
      <c r="AI110" s="659"/>
      <c r="AJ110" s="28"/>
      <c r="AK110" s="18" t="e">
        <f t="shared" si="268"/>
        <v>#DIV/0!</v>
      </c>
      <c r="AL110" s="11" t="e">
        <f t="shared" si="269"/>
        <v>#DIV/0!</v>
      </c>
      <c r="AM110" s="11" t="e">
        <f t="shared" si="270"/>
        <v>#DIV/0!</v>
      </c>
      <c r="AN110" s="11" t="e">
        <f t="shared" si="271"/>
        <v>#DIV/0!</v>
      </c>
      <c r="AO110" s="11" t="e">
        <f t="shared" si="272"/>
        <v>#DIV/0!</v>
      </c>
      <c r="AP110" s="14" t="e">
        <f t="shared" si="273"/>
        <v>#DIV/0!</v>
      </c>
      <c r="AQ110" s="132" t="e">
        <f t="shared" si="274"/>
        <v>#DIV/0!</v>
      </c>
      <c r="AR110" s="28">
        <f t="shared" si="275"/>
        <v>0</v>
      </c>
      <c r="AS110" s="278">
        <f t="shared" si="276"/>
        <v>0</v>
      </c>
      <c r="AT110" s="11" t="e">
        <f t="shared" si="277"/>
        <v>#DIV/0!</v>
      </c>
      <c r="AU110" s="11" t="e">
        <f t="shared" si="278"/>
        <v>#DIV/0!</v>
      </c>
      <c r="AV110" s="11" t="e">
        <f t="shared" si="279"/>
        <v>#DIV/0!</v>
      </c>
      <c r="AW110" s="11" t="e">
        <f t="shared" si="280"/>
        <v>#DIV/0!</v>
      </c>
      <c r="AX110" s="11" t="e">
        <f t="shared" si="281"/>
        <v>#DIV/0!</v>
      </c>
      <c r="AY110" s="14" t="e">
        <f t="shared" si="282"/>
        <v>#DIV/0!</v>
      </c>
      <c r="AZ110" s="57"/>
      <c r="BA110" s="28">
        <f t="shared" si="314"/>
        <v>0</v>
      </c>
      <c r="BB110" s="28">
        <f t="shared" si="315"/>
        <v>0</v>
      </c>
      <c r="BC110" s="11"/>
      <c r="BD110" s="11"/>
      <c r="BE110" s="11"/>
      <c r="BF110" s="11"/>
      <c r="BG110" s="277"/>
      <c r="BH110" s="28">
        <f t="shared" si="283"/>
        <v>0</v>
      </c>
      <c r="BI110" s="28">
        <f t="shared" si="284"/>
        <v>0</v>
      </c>
      <c r="BJ110" s="28" t="e">
        <f t="shared" si="285"/>
        <v>#DIV/0!</v>
      </c>
      <c r="BK110" s="28" t="e">
        <f t="shared" si="286"/>
        <v>#DIV/0!</v>
      </c>
      <c r="BL110" s="28"/>
      <c r="BM110" s="28" t="e">
        <f t="shared" si="287"/>
        <v>#DIV/0!</v>
      </c>
      <c r="BN110" s="28" t="e">
        <f t="shared" si="288"/>
        <v>#DIV/0!</v>
      </c>
      <c r="BO110" s="277"/>
      <c r="BP110" s="78"/>
      <c r="BQ110" s="375"/>
      <c r="BR110" s="488" t="e">
        <f>AI110/AA110/7.229</f>
        <v>#DIV/0!</v>
      </c>
      <c r="BS110" s="489">
        <f t="shared" si="289"/>
        <v>0</v>
      </c>
      <c r="BT110" s="515">
        <f t="shared" si="290"/>
        <v>0</v>
      </c>
      <c r="BU110" s="515" t="e">
        <f t="shared" si="291"/>
        <v>#DIV/0!</v>
      </c>
      <c r="BV110" s="494" t="e">
        <f t="shared" si="292"/>
        <v>#DIV/0!</v>
      </c>
      <c r="BW110" s="28"/>
      <c r="BX110" s="28"/>
      <c r="BY110" s="28"/>
      <c r="BZ110" s="41"/>
      <c r="CA110" s="375"/>
      <c r="CB110" s="356"/>
      <c r="CC110" s="11">
        <f>SUMPRODUCT(('[180]Динамика NB'!$T$5:$AE$5=$L110)*('[180]Динамика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93"/>
        <v>0</v>
      </c>
      <c r="CJ110" s="16"/>
      <c r="CK110" s="16"/>
      <c r="CL110" s="40"/>
      <c r="CM110" s="131"/>
      <c r="CN110" s="28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40" t="e">
        <f t="shared" si="294"/>
        <v>#DIV/0!</v>
      </c>
      <c r="CQ110" s="41"/>
      <c r="CR110" s="282"/>
      <c r="CS110" s="30" t="e">
        <f t="shared" si="295"/>
        <v>#DIV/0!</v>
      </c>
      <c r="CT110" s="30">
        <f t="shared" si="296"/>
        <v>0</v>
      </c>
      <c r="CU110" s="30" t="e">
        <f t="shared" si="297"/>
        <v>#DIV/0!</v>
      </c>
      <c r="CV110" s="551" t="e">
        <f t="shared" si="298"/>
        <v>#DIV/0!</v>
      </c>
      <c r="CW110" s="551" t="e">
        <f t="shared" si="299"/>
        <v>#DIV/0!</v>
      </c>
      <c r="CX110" s="30" t="e">
        <f t="shared" si="300"/>
        <v>#DIV/0!</v>
      </c>
      <c r="CY110" s="322" t="e">
        <f t="shared" si="301"/>
        <v>#DIV/0!</v>
      </c>
      <c r="CZ110" s="305" t="e">
        <f t="shared" si="302"/>
        <v>#DIV/0!</v>
      </c>
      <c r="DA110" s="761" t="e">
        <f t="shared" si="303"/>
        <v>#DIV/0!</v>
      </c>
      <c r="DB110" s="771" t="e">
        <f t="shared" si="304"/>
        <v>#DIV/0!</v>
      </c>
      <c r="DC110" s="761"/>
      <c r="DD110" s="761" t="e">
        <f t="shared" si="305"/>
        <v>#DIV/0!</v>
      </c>
      <c r="DE110" s="761" t="e">
        <f t="shared" si="306"/>
        <v>#DIV/0!</v>
      </c>
      <c r="DF110" s="761"/>
      <c r="DG110" s="761">
        <f t="shared" si="307"/>
        <v>0</v>
      </c>
      <c r="DH110" s="761">
        <f t="shared" si="308"/>
        <v>0</v>
      </c>
      <c r="DI110" s="761">
        <f t="shared" si="309"/>
        <v>0</v>
      </c>
      <c r="DJ110" s="761">
        <f t="shared" si="310"/>
        <v>0</v>
      </c>
      <c r="DK110" s="761" t="e">
        <f t="shared" si="311"/>
        <v>#DIV/0!</v>
      </c>
      <c r="DL110" s="761" t="e">
        <f t="shared" si="312"/>
        <v>#DIV/0!</v>
      </c>
      <c r="DM110" s="633" t="e">
        <f t="shared" si="316"/>
        <v>#DIV/0!</v>
      </c>
      <c r="DO110" s="69"/>
    </row>
    <row r="111" spans="1:121" s="25" customFormat="1" ht="15.95" customHeight="1" x14ac:dyDescent="0.25">
      <c r="A111" s="27"/>
      <c r="B111" s="488"/>
      <c r="C111" s="489"/>
      <c r="D111" s="489"/>
      <c r="E111" s="489"/>
      <c r="F111" s="489"/>
      <c r="G111" s="493"/>
      <c r="H111" s="27"/>
      <c r="I111" s="27"/>
      <c r="J111" s="134" t="s">
        <v>393</v>
      </c>
      <c r="K111" s="196"/>
      <c r="L111" s="197"/>
      <c r="M111" s="189"/>
      <c r="N111" s="22"/>
      <c r="O111" s="22"/>
      <c r="P111" s="183"/>
      <c r="Q111" s="659">
        <f t="shared" si="265"/>
        <v>0</v>
      </c>
      <c r="R111" s="679">
        <f t="shared" si="266"/>
        <v>0</v>
      </c>
      <c r="S111" s="681"/>
      <c r="T111" s="731"/>
      <c r="U111" s="731"/>
      <c r="V111" s="731"/>
      <c r="W111" s="731"/>
      <c r="X111" s="28"/>
      <c r="Y111" s="172"/>
      <c r="Z111" s="176"/>
      <c r="AA111" s="28"/>
      <c r="AB111" s="262"/>
      <c r="AC111" s="277"/>
      <c r="AD111" s="277"/>
      <c r="AE111" s="277"/>
      <c r="AF111" s="277"/>
      <c r="AG111" s="283">
        <f t="shared" si="267"/>
        <v>0</v>
      </c>
      <c r="AH111" s="627"/>
      <c r="AI111" s="659"/>
      <c r="AJ111" s="28"/>
      <c r="AK111" s="262" t="e">
        <f t="shared" si="268"/>
        <v>#DIV/0!</v>
      </c>
      <c r="AL111" s="277" t="e">
        <f t="shared" si="269"/>
        <v>#DIV/0!</v>
      </c>
      <c r="AM111" s="277" t="e">
        <f t="shared" si="270"/>
        <v>#DIV/0!</v>
      </c>
      <c r="AN111" s="277" t="e">
        <f t="shared" si="271"/>
        <v>#DIV/0!</v>
      </c>
      <c r="AO111" s="277" t="e">
        <f t="shared" si="272"/>
        <v>#DIV/0!</v>
      </c>
      <c r="AP111" s="282" t="e">
        <f t="shared" si="273"/>
        <v>#DIV/0!</v>
      </c>
      <c r="AQ111" s="133" t="e">
        <f t="shared" si="274"/>
        <v>#DIV/0!</v>
      </c>
      <c r="AR111" s="28">
        <f t="shared" si="275"/>
        <v>0</v>
      </c>
      <c r="AS111" s="278">
        <f t="shared" si="276"/>
        <v>0</v>
      </c>
      <c r="AT111" s="277" t="e">
        <f t="shared" si="277"/>
        <v>#DIV/0!</v>
      </c>
      <c r="AU111" s="277" t="e">
        <f t="shared" si="278"/>
        <v>#DIV/0!</v>
      </c>
      <c r="AV111" s="277" t="e">
        <f t="shared" si="279"/>
        <v>#DIV/0!</v>
      </c>
      <c r="AW111" s="277" t="e">
        <f t="shared" si="280"/>
        <v>#DIV/0!</v>
      </c>
      <c r="AX111" s="277" t="e">
        <f t="shared" si="281"/>
        <v>#DIV/0!</v>
      </c>
      <c r="AY111" s="282" t="e">
        <f t="shared" si="282"/>
        <v>#DIV/0!</v>
      </c>
      <c r="AZ111" s="57"/>
      <c r="BA111" s="28">
        <f t="shared" si="314"/>
        <v>0</v>
      </c>
      <c r="BB111" s="28">
        <f t="shared" si="315"/>
        <v>0</v>
      </c>
      <c r="BC111" s="277"/>
      <c r="BD111" s="277"/>
      <c r="BE111" s="277"/>
      <c r="BF111" s="277"/>
      <c r="BG111" s="277"/>
      <c r="BH111" s="28">
        <f t="shared" si="283"/>
        <v>0</v>
      </c>
      <c r="BI111" s="28">
        <f t="shared" si="284"/>
        <v>0</v>
      </c>
      <c r="BJ111" s="28" t="e">
        <f t="shared" si="285"/>
        <v>#DIV/0!</v>
      </c>
      <c r="BK111" s="28" t="e">
        <f t="shared" si="286"/>
        <v>#DIV/0!</v>
      </c>
      <c r="BL111" s="28"/>
      <c r="BM111" s="28" t="e">
        <f t="shared" ref="BM111:BM116" si="317">BJ111-BL111</f>
        <v>#DIV/0!</v>
      </c>
      <c r="BN111" s="28" t="e">
        <f>BK111-BL111</f>
        <v>#DIV/0!</v>
      </c>
      <c r="BO111" s="11"/>
      <c r="BP111" s="78"/>
      <c r="BQ111" s="375"/>
      <c r="BR111" s="488" t="e">
        <f>AI111/AA111/7.2064</f>
        <v>#DIV/0!</v>
      </c>
      <c r="BS111" s="489">
        <f t="shared" si="289"/>
        <v>0</v>
      </c>
      <c r="BT111" s="515">
        <f t="shared" si="290"/>
        <v>0</v>
      </c>
      <c r="BU111" s="515" t="e">
        <f t="shared" si="291"/>
        <v>#DIV/0!</v>
      </c>
      <c r="BV111" s="494" t="e">
        <f t="shared" si="292"/>
        <v>#DIV/0!</v>
      </c>
      <c r="BW111" s="28"/>
      <c r="BX111" s="28"/>
      <c r="BY111" s="28"/>
      <c r="BZ111" s="41"/>
      <c r="CA111" s="375"/>
      <c r="CB111" s="356"/>
      <c r="CC111" s="352">
        <f>SUMPRODUCT(('[180]Динамика NB'!$T$5:$AE$5=$L111)*('[180]Динамика NB'!$T$169:$AE$169))</f>
        <v>0</v>
      </c>
      <c r="CD111" s="352"/>
      <c r="CE111" s="352"/>
      <c r="CF111" s="352"/>
      <c r="CG111" s="352"/>
      <c r="CH111" s="28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8">
        <f t="shared" si="293"/>
        <v>0</v>
      </c>
      <c r="CJ111" s="28"/>
      <c r="CK111" s="28"/>
      <c r="CL111" s="41"/>
      <c r="CM111" s="57"/>
      <c r="CN111" s="16"/>
      <c r="CO111" s="28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41" t="e">
        <f t="shared" si="294"/>
        <v>#DIV/0!</v>
      </c>
      <c r="CQ111" s="41"/>
      <c r="CR111" s="14"/>
      <c r="CS111" s="30" t="e">
        <f t="shared" si="295"/>
        <v>#DIV/0!</v>
      </c>
      <c r="CT111" s="30">
        <f t="shared" si="296"/>
        <v>0</v>
      </c>
      <c r="CU111" s="30" t="e">
        <f t="shared" si="297"/>
        <v>#DIV/0!</v>
      </c>
      <c r="CV111" s="551" t="e">
        <f t="shared" si="298"/>
        <v>#DIV/0!</v>
      </c>
      <c r="CW111" s="551" t="e">
        <f t="shared" si="299"/>
        <v>#DIV/0!</v>
      </c>
      <c r="CX111" s="30" t="e">
        <f t="shared" si="300"/>
        <v>#DIV/0!</v>
      </c>
      <c r="CY111" s="323" t="e">
        <f t="shared" si="301"/>
        <v>#DIV/0!</v>
      </c>
      <c r="CZ111" s="310" t="e">
        <f t="shared" si="302"/>
        <v>#DIV/0!</v>
      </c>
      <c r="DA111" s="761" t="e">
        <f t="shared" si="303"/>
        <v>#DIV/0!</v>
      </c>
      <c r="DB111" s="771" t="e">
        <f t="shared" si="304"/>
        <v>#DIV/0!</v>
      </c>
      <c r="DC111" s="761"/>
      <c r="DD111" s="761" t="e">
        <f t="shared" si="305"/>
        <v>#DIV/0!</v>
      </c>
      <c r="DE111" s="761" t="e">
        <f t="shared" si="306"/>
        <v>#DIV/0!</v>
      </c>
      <c r="DF111" s="761"/>
      <c r="DG111" s="761">
        <f t="shared" si="307"/>
        <v>0</v>
      </c>
      <c r="DH111" s="761">
        <f t="shared" si="308"/>
        <v>0</v>
      </c>
      <c r="DI111" s="761">
        <f t="shared" si="309"/>
        <v>0</v>
      </c>
      <c r="DJ111" s="761">
        <f t="shared" si="310"/>
        <v>0</v>
      </c>
      <c r="DK111" s="761" t="e">
        <f t="shared" si="311"/>
        <v>#DIV/0!</v>
      </c>
      <c r="DL111" s="761" t="e">
        <f t="shared" si="312"/>
        <v>#DIV/0!</v>
      </c>
      <c r="DM111" s="633" t="e">
        <f t="shared" si="316"/>
        <v>#DIV/0!</v>
      </c>
      <c r="DO111" s="69"/>
    </row>
    <row r="112" spans="1:121" s="25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2" t="s">
        <v>393</v>
      </c>
      <c r="K112" s="196"/>
      <c r="L112" s="195"/>
      <c r="M112" s="184"/>
      <c r="N112" s="72"/>
      <c r="O112" s="19"/>
      <c r="P112" s="182"/>
      <c r="Q112" s="659">
        <f t="shared" si="265"/>
        <v>0</v>
      </c>
      <c r="R112" s="679">
        <f t="shared" si="266"/>
        <v>0</v>
      </c>
      <c r="S112" s="722"/>
      <c r="T112" s="723"/>
      <c r="U112" s="723"/>
      <c r="V112" s="723"/>
      <c r="W112" s="723"/>
      <c r="X112" s="28"/>
      <c r="Y112" s="172"/>
      <c r="Z112" s="176"/>
      <c r="AA112" s="16"/>
      <c r="AB112" s="18"/>
      <c r="AC112" s="11"/>
      <c r="AD112" s="11"/>
      <c r="AE112" s="11"/>
      <c r="AF112" s="11"/>
      <c r="AG112" s="75">
        <f t="shared" si="267"/>
        <v>0</v>
      </c>
      <c r="AH112" s="627"/>
      <c r="AI112" s="659"/>
      <c r="AJ112" s="28"/>
      <c r="AK112" s="262" t="e">
        <f t="shared" si="268"/>
        <v>#DIV/0!</v>
      </c>
      <c r="AL112" s="277" t="e">
        <f t="shared" si="269"/>
        <v>#DIV/0!</v>
      </c>
      <c r="AM112" s="277" t="e">
        <f t="shared" si="270"/>
        <v>#DIV/0!</v>
      </c>
      <c r="AN112" s="277" t="e">
        <f t="shared" si="271"/>
        <v>#DIV/0!</v>
      </c>
      <c r="AO112" s="277" t="e">
        <f t="shared" si="272"/>
        <v>#DIV/0!</v>
      </c>
      <c r="AP112" s="282" t="e">
        <f t="shared" si="273"/>
        <v>#DIV/0!</v>
      </c>
      <c r="AQ112" s="133" t="e">
        <f t="shared" si="274"/>
        <v>#DIV/0!</v>
      </c>
      <c r="AR112" s="28">
        <f t="shared" si="275"/>
        <v>0</v>
      </c>
      <c r="AS112" s="278">
        <f>AR112-AJ112</f>
        <v>0</v>
      </c>
      <c r="AT112" s="277" t="e">
        <f t="shared" si="277"/>
        <v>#DIV/0!</v>
      </c>
      <c r="AU112" s="277" t="e">
        <f t="shared" si="278"/>
        <v>#DIV/0!</v>
      </c>
      <c r="AV112" s="277" t="e">
        <f t="shared" si="279"/>
        <v>#DIV/0!</v>
      </c>
      <c r="AW112" s="277" t="e">
        <f t="shared" si="280"/>
        <v>#DIV/0!</v>
      </c>
      <c r="AX112" s="277" t="e">
        <f t="shared" si="281"/>
        <v>#DIV/0!</v>
      </c>
      <c r="AY112" s="282" t="e">
        <f t="shared" si="282"/>
        <v>#DIV/0!</v>
      </c>
      <c r="AZ112" s="57"/>
      <c r="BA112" s="28">
        <f t="shared" si="314"/>
        <v>0</v>
      </c>
      <c r="BB112" s="28">
        <f t="shared" si="315"/>
        <v>0</v>
      </c>
      <c r="BC112" s="277"/>
      <c r="BD112" s="277"/>
      <c r="BE112" s="277"/>
      <c r="BF112" s="277"/>
      <c r="BG112" s="277"/>
      <c r="BH112" s="28">
        <f t="shared" si="283"/>
        <v>0</v>
      </c>
      <c r="BI112" s="28">
        <f t="shared" si="284"/>
        <v>0</v>
      </c>
      <c r="BJ112" s="28" t="e">
        <f t="shared" si="285"/>
        <v>#DIV/0!</v>
      </c>
      <c r="BK112" s="28" t="e">
        <f t="shared" si="286"/>
        <v>#DIV/0!</v>
      </c>
      <c r="BL112" s="28"/>
      <c r="BM112" s="28" t="e">
        <f t="shared" si="317"/>
        <v>#DIV/0!</v>
      </c>
      <c r="BN112" s="28" t="e">
        <f>BK112-BL112</f>
        <v>#DIV/0!</v>
      </c>
      <c r="BO112" s="11"/>
      <c r="BP112" s="78"/>
      <c r="BQ112" s="375"/>
      <c r="BR112" s="488" t="e">
        <f>AI112/AA112/7.225</f>
        <v>#DIV/0!</v>
      </c>
      <c r="BS112" s="489">
        <f t="shared" si="289"/>
        <v>0</v>
      </c>
      <c r="BT112" s="515">
        <f t="shared" si="290"/>
        <v>0</v>
      </c>
      <c r="BU112" s="515" t="e">
        <f t="shared" si="291"/>
        <v>#DIV/0!</v>
      </c>
      <c r="BV112" s="494" t="e">
        <f t="shared" si="292"/>
        <v>#DIV/0!</v>
      </c>
      <c r="BW112" s="28"/>
      <c r="BX112" s="28"/>
      <c r="BY112" s="28"/>
      <c r="BZ112" s="41"/>
      <c r="CA112" s="375"/>
      <c r="CB112" s="356"/>
      <c r="CC112" s="352">
        <f>SUMPRODUCT(('[180]Динамика NB'!$T$5:$AE$5=$L112)*('[180]Динамика NB'!$T$169:$AE$169))</f>
        <v>0</v>
      </c>
      <c r="CD112" s="352"/>
      <c r="CE112" s="352"/>
      <c r="CF112" s="352"/>
      <c r="CG112" s="352"/>
      <c r="CH112" s="28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8">
        <f t="shared" si="293"/>
        <v>0</v>
      </c>
      <c r="CJ112" s="28"/>
      <c r="CK112" s="28"/>
      <c r="CL112" s="41"/>
      <c r="CM112" s="57"/>
      <c r="CN112" s="16"/>
      <c r="CO112" s="28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41" t="e">
        <f t="shared" si="294"/>
        <v>#DIV/0!</v>
      </c>
      <c r="CQ112" s="41"/>
      <c r="CR112" s="14"/>
      <c r="CS112" s="30" t="e">
        <f t="shared" si="295"/>
        <v>#DIV/0!</v>
      </c>
      <c r="CT112" s="30">
        <f t="shared" si="296"/>
        <v>0</v>
      </c>
      <c r="CU112" s="30" t="e">
        <f t="shared" si="297"/>
        <v>#DIV/0!</v>
      </c>
      <c r="CV112" s="551" t="e">
        <f t="shared" si="298"/>
        <v>#DIV/0!</v>
      </c>
      <c r="CW112" s="551" t="e">
        <f t="shared" si="299"/>
        <v>#DIV/0!</v>
      </c>
      <c r="CX112" s="30" t="e">
        <f t="shared" si="300"/>
        <v>#DIV/0!</v>
      </c>
      <c r="CY112" s="323" t="e">
        <f t="shared" si="301"/>
        <v>#DIV/0!</v>
      </c>
      <c r="CZ112" s="310" t="e">
        <f t="shared" si="302"/>
        <v>#DIV/0!</v>
      </c>
      <c r="DA112" s="761" t="e">
        <f t="shared" si="303"/>
        <v>#DIV/0!</v>
      </c>
      <c r="DB112" s="771" t="e">
        <f t="shared" si="304"/>
        <v>#DIV/0!</v>
      </c>
      <c r="DC112" s="761"/>
      <c r="DD112" s="761" t="e">
        <f t="shared" si="305"/>
        <v>#DIV/0!</v>
      </c>
      <c r="DE112" s="761" t="e">
        <f t="shared" si="306"/>
        <v>#DIV/0!</v>
      </c>
      <c r="DF112" s="761"/>
      <c r="DG112" s="761">
        <f t="shared" si="307"/>
        <v>0</v>
      </c>
      <c r="DH112" s="761">
        <f t="shared" si="308"/>
        <v>0</v>
      </c>
      <c r="DI112" s="761">
        <f t="shared" si="309"/>
        <v>0</v>
      </c>
      <c r="DJ112" s="761">
        <f t="shared" si="310"/>
        <v>0</v>
      </c>
      <c r="DK112" s="761" t="e">
        <f t="shared" si="311"/>
        <v>#DIV/0!</v>
      </c>
      <c r="DL112" s="761" t="e">
        <f t="shared" si="312"/>
        <v>#DIV/0!</v>
      </c>
      <c r="DM112" s="633" t="e">
        <f t="shared" si="316"/>
        <v>#DIV/0!</v>
      </c>
      <c r="DN112" s="20"/>
      <c r="DO112" s="69"/>
      <c r="DQ112" s="24"/>
    </row>
    <row r="113" spans="1:121" s="25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2" t="s">
        <v>393</v>
      </c>
      <c r="K113" s="196"/>
      <c r="L113" s="195"/>
      <c r="M113" s="184"/>
      <c r="N113" s="72"/>
      <c r="O113" s="19"/>
      <c r="P113" s="182"/>
      <c r="Q113" s="659">
        <f t="shared" si="265"/>
        <v>0</v>
      </c>
      <c r="R113" s="679">
        <f t="shared" si="266"/>
        <v>0</v>
      </c>
      <c r="S113" s="722"/>
      <c r="T113" s="723"/>
      <c r="U113" s="723"/>
      <c r="V113" s="723"/>
      <c r="W113" s="723"/>
      <c r="X113" s="28"/>
      <c r="Y113" s="172"/>
      <c r="Z113" s="176"/>
      <c r="AA113" s="16"/>
      <c r="AB113" s="18"/>
      <c r="AC113" s="11"/>
      <c r="AD113" s="11"/>
      <c r="AE113" s="11"/>
      <c r="AF113" s="11"/>
      <c r="AG113" s="75">
        <f t="shared" si="267"/>
        <v>0</v>
      </c>
      <c r="AH113" s="627"/>
      <c r="AI113" s="659"/>
      <c r="AJ113" s="28"/>
      <c r="AK113" s="262" t="e">
        <f t="shared" si="268"/>
        <v>#DIV/0!</v>
      </c>
      <c r="AL113" s="277" t="e">
        <f t="shared" si="269"/>
        <v>#DIV/0!</v>
      </c>
      <c r="AM113" s="277" t="e">
        <f t="shared" si="270"/>
        <v>#DIV/0!</v>
      </c>
      <c r="AN113" s="277" t="e">
        <f t="shared" si="271"/>
        <v>#DIV/0!</v>
      </c>
      <c r="AO113" s="277" t="e">
        <f t="shared" si="272"/>
        <v>#DIV/0!</v>
      </c>
      <c r="AP113" s="282" t="e">
        <f t="shared" si="273"/>
        <v>#DIV/0!</v>
      </c>
      <c r="AQ113" s="133" t="e">
        <f t="shared" si="274"/>
        <v>#DIV/0!</v>
      </c>
      <c r="AR113" s="28">
        <f t="shared" si="275"/>
        <v>0</v>
      </c>
      <c r="AS113" s="278">
        <f>AR113-AJ113</f>
        <v>0</v>
      </c>
      <c r="AT113" s="277" t="e">
        <f t="shared" si="277"/>
        <v>#DIV/0!</v>
      </c>
      <c r="AU113" s="277" t="e">
        <f t="shared" si="278"/>
        <v>#DIV/0!</v>
      </c>
      <c r="AV113" s="277" t="e">
        <f t="shared" si="279"/>
        <v>#DIV/0!</v>
      </c>
      <c r="AW113" s="277" t="e">
        <f t="shared" si="280"/>
        <v>#DIV/0!</v>
      </c>
      <c r="AX113" s="277" t="e">
        <f t="shared" si="281"/>
        <v>#DIV/0!</v>
      </c>
      <c r="AY113" s="282" t="e">
        <f t="shared" si="282"/>
        <v>#DIV/0!</v>
      </c>
      <c r="AZ113" s="57"/>
      <c r="BA113" s="28">
        <f t="shared" si="314"/>
        <v>0</v>
      </c>
      <c r="BB113" s="28">
        <f t="shared" si="315"/>
        <v>0</v>
      </c>
      <c r="BC113" s="277"/>
      <c r="BD113" s="277"/>
      <c r="BE113" s="277"/>
      <c r="BF113" s="277"/>
      <c r="BG113" s="277"/>
      <c r="BH113" s="28">
        <f t="shared" si="283"/>
        <v>0</v>
      </c>
      <c r="BI113" s="28">
        <f t="shared" si="284"/>
        <v>0</v>
      </c>
      <c r="BJ113" s="28" t="e">
        <f t="shared" si="285"/>
        <v>#DIV/0!</v>
      </c>
      <c r="BK113" s="28" t="e">
        <f t="shared" si="286"/>
        <v>#DIV/0!</v>
      </c>
      <c r="BL113" s="28"/>
      <c r="BM113" s="28" t="e">
        <f t="shared" si="317"/>
        <v>#DIV/0!</v>
      </c>
      <c r="BN113" s="28" t="e">
        <f>BK113-BL113</f>
        <v>#DIV/0!</v>
      </c>
      <c r="BO113" s="11"/>
      <c r="BP113" s="78"/>
      <c r="BQ113" s="375"/>
      <c r="BR113" s="488" t="e">
        <f>AI113/AA113/7.225</f>
        <v>#DIV/0!</v>
      </c>
      <c r="BS113" s="489">
        <f t="shared" si="289"/>
        <v>0</v>
      </c>
      <c r="BT113" s="515">
        <f t="shared" si="290"/>
        <v>0</v>
      </c>
      <c r="BU113" s="515" t="e">
        <f t="shared" si="291"/>
        <v>#DIV/0!</v>
      </c>
      <c r="BV113" s="494" t="e">
        <f t="shared" si="292"/>
        <v>#DIV/0!</v>
      </c>
      <c r="BW113" s="28"/>
      <c r="BX113" s="28"/>
      <c r="BY113" s="28"/>
      <c r="BZ113" s="41"/>
      <c r="CA113" s="375"/>
      <c r="CB113" s="356"/>
      <c r="CC113" s="352">
        <f>SUMPRODUCT(('[180]Динамика NB'!$T$5:$AE$5=$L113)*('[180]Динамика NB'!$T$169:$AE$169))</f>
        <v>0</v>
      </c>
      <c r="CD113" s="352"/>
      <c r="CE113" s="352"/>
      <c r="CF113" s="352"/>
      <c r="CG113" s="352"/>
      <c r="CH113" s="28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8">
        <f t="shared" si="293"/>
        <v>0</v>
      </c>
      <c r="CJ113" s="28"/>
      <c r="CK113" s="28"/>
      <c r="CL113" s="41"/>
      <c r="CM113" s="57"/>
      <c r="CN113" s="16"/>
      <c r="CO113" s="28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41" t="e">
        <f t="shared" si="294"/>
        <v>#DIV/0!</v>
      </c>
      <c r="CQ113" s="41"/>
      <c r="CR113" s="14"/>
      <c r="CS113" s="30" t="e">
        <f t="shared" si="295"/>
        <v>#DIV/0!</v>
      </c>
      <c r="CT113" s="30">
        <f t="shared" si="296"/>
        <v>0</v>
      </c>
      <c r="CU113" s="30" t="e">
        <f t="shared" si="297"/>
        <v>#DIV/0!</v>
      </c>
      <c r="CV113" s="551" t="e">
        <f t="shared" si="298"/>
        <v>#DIV/0!</v>
      </c>
      <c r="CW113" s="551" t="e">
        <f t="shared" si="299"/>
        <v>#DIV/0!</v>
      </c>
      <c r="CX113" s="30" t="e">
        <f t="shared" si="300"/>
        <v>#DIV/0!</v>
      </c>
      <c r="CY113" s="323" t="e">
        <f t="shared" si="301"/>
        <v>#DIV/0!</v>
      </c>
      <c r="CZ113" s="310" t="e">
        <f t="shared" si="302"/>
        <v>#DIV/0!</v>
      </c>
      <c r="DA113" s="761" t="e">
        <f t="shared" si="303"/>
        <v>#DIV/0!</v>
      </c>
      <c r="DB113" s="771" t="e">
        <f t="shared" si="304"/>
        <v>#DIV/0!</v>
      </c>
      <c r="DC113" s="761"/>
      <c r="DD113" s="761" t="e">
        <f t="shared" si="305"/>
        <v>#DIV/0!</v>
      </c>
      <c r="DE113" s="761" t="e">
        <f t="shared" si="306"/>
        <v>#DIV/0!</v>
      </c>
      <c r="DF113" s="761"/>
      <c r="DG113" s="761">
        <f t="shared" si="307"/>
        <v>0</v>
      </c>
      <c r="DH113" s="761">
        <f t="shared" si="308"/>
        <v>0</v>
      </c>
      <c r="DI113" s="761">
        <f t="shared" si="309"/>
        <v>0</v>
      </c>
      <c r="DJ113" s="761">
        <f t="shared" si="310"/>
        <v>0</v>
      </c>
      <c r="DK113" s="761" t="e">
        <f t="shared" si="311"/>
        <v>#DIV/0!</v>
      </c>
      <c r="DL113" s="761" t="e">
        <f t="shared" si="312"/>
        <v>#DIV/0!</v>
      </c>
      <c r="DM113" s="633" t="e">
        <f t="shared" si="316"/>
        <v>#DIV/0!</v>
      </c>
      <c r="DN113" s="20"/>
      <c r="DO113" s="69"/>
      <c r="DQ113" s="24"/>
    </row>
    <row r="114" spans="1:121" s="21" customFormat="1" ht="15.95" customHeight="1" x14ac:dyDescent="0.25">
      <c r="A114" s="33"/>
      <c r="B114" s="52"/>
      <c r="C114" s="33"/>
      <c r="D114" s="33"/>
      <c r="E114" s="33"/>
      <c r="F114" s="33"/>
      <c r="G114" s="49"/>
      <c r="H114" s="33"/>
      <c r="I114" s="33"/>
      <c r="J114" s="42" t="s">
        <v>393</v>
      </c>
      <c r="K114" s="194"/>
      <c r="L114" s="195"/>
      <c r="M114" s="184"/>
      <c r="N114" s="72"/>
      <c r="O114" s="19"/>
      <c r="P114" s="182"/>
      <c r="Q114" s="16">
        <f t="shared" si="265"/>
        <v>0</v>
      </c>
      <c r="R114" s="72">
        <f t="shared" si="266"/>
        <v>0</v>
      </c>
      <c r="S114" s="722"/>
      <c r="T114" s="16"/>
      <c r="U114" s="16"/>
      <c r="V114" s="16"/>
      <c r="W114" s="16"/>
      <c r="X114" s="19"/>
      <c r="Y114" s="75"/>
      <c r="Z114" s="75"/>
      <c r="AA114" s="16"/>
      <c r="AB114" s="18"/>
      <c r="AC114" s="11"/>
      <c r="AD114" s="11"/>
      <c r="AE114" s="11"/>
      <c r="AF114" s="11"/>
      <c r="AG114" s="75">
        <f t="shared" si="267"/>
        <v>0</v>
      </c>
      <c r="AH114" s="18"/>
      <c r="AI114" s="16"/>
      <c r="AJ114" s="16"/>
      <c r="AK114" s="787" t="e">
        <f t="shared" si="268"/>
        <v>#DIV/0!</v>
      </c>
      <c r="AL114" s="788" t="e">
        <f t="shared" si="269"/>
        <v>#DIV/0!</v>
      </c>
      <c r="AM114" s="788" t="e">
        <f t="shared" si="270"/>
        <v>#DIV/0!</v>
      </c>
      <c r="AN114" s="788" t="e">
        <f t="shared" si="271"/>
        <v>#DIV/0!</v>
      </c>
      <c r="AO114" s="788" t="e">
        <f t="shared" si="272"/>
        <v>#DIV/0!</v>
      </c>
      <c r="AP114" s="795" t="e">
        <f t="shared" si="273"/>
        <v>#DIV/0!</v>
      </c>
      <c r="AQ114" s="133" t="e">
        <f t="shared" si="274"/>
        <v>#DIV/0!</v>
      </c>
      <c r="AR114" s="16">
        <f t="shared" si="275"/>
        <v>0</v>
      </c>
      <c r="AS114" s="797">
        <f>AR114-AJ114</f>
        <v>0</v>
      </c>
      <c r="AT114" s="788" t="e">
        <f t="shared" si="277"/>
        <v>#DIV/0!</v>
      </c>
      <c r="AU114" s="788" t="e">
        <f t="shared" si="278"/>
        <v>#DIV/0!</v>
      </c>
      <c r="AV114" s="788" t="e">
        <f t="shared" si="279"/>
        <v>#DIV/0!</v>
      </c>
      <c r="AW114" s="788" t="e">
        <f t="shared" si="280"/>
        <v>#DIV/0!</v>
      </c>
      <c r="AX114" s="788" t="e">
        <f t="shared" si="281"/>
        <v>#DIV/0!</v>
      </c>
      <c r="AY114" s="795" t="e">
        <f t="shared" si="282"/>
        <v>#DIV/0!</v>
      </c>
      <c r="AZ114" s="131"/>
      <c r="BA114" s="793">
        <f t="shared" si="314"/>
        <v>0</v>
      </c>
      <c r="BB114" s="793">
        <f t="shared" si="315"/>
        <v>0</v>
      </c>
      <c r="BC114" s="788"/>
      <c r="BD114" s="788"/>
      <c r="BE114" s="788"/>
      <c r="BF114" s="788"/>
      <c r="BG114" s="801"/>
      <c r="BH114" s="793">
        <f t="shared" si="283"/>
        <v>0</v>
      </c>
      <c r="BI114" s="793">
        <f t="shared" si="284"/>
        <v>0</v>
      </c>
      <c r="BJ114" s="16" t="e">
        <f t="shared" si="285"/>
        <v>#DIV/0!</v>
      </c>
      <c r="BK114" s="16" t="e">
        <f t="shared" si="286"/>
        <v>#DIV/0!</v>
      </c>
      <c r="BL114" s="802"/>
      <c r="BM114" s="16" t="e">
        <f t="shared" si="317"/>
        <v>#DIV/0!</v>
      </c>
      <c r="BN114" s="647" t="e">
        <f>BK114-BL114</f>
        <v>#DIV/0!</v>
      </c>
      <c r="BO114" s="801"/>
      <c r="BP114" s="78"/>
      <c r="BQ114" s="237"/>
      <c r="BR114" s="18" t="e">
        <f>AI114/AA114/7.2214+0.01</f>
        <v>#DIV/0!</v>
      </c>
      <c r="BS114" s="11">
        <f t="shared" si="289"/>
        <v>0</v>
      </c>
      <c r="BT114" s="514">
        <f t="shared" si="290"/>
        <v>0</v>
      </c>
      <c r="BU114" s="514" t="e">
        <f t="shared" si="291"/>
        <v>#DIV/0!</v>
      </c>
      <c r="BV114" s="798" t="e">
        <f t="shared" si="292"/>
        <v>#DIV/0!</v>
      </c>
      <c r="BW114" s="16"/>
      <c r="BX114" s="16"/>
      <c r="BY114" s="16"/>
      <c r="BZ114" s="40"/>
      <c r="CA114" s="237"/>
      <c r="CB114" s="796"/>
      <c r="CC114" s="11"/>
      <c r="CD114" s="788"/>
      <c r="CE114" s="788"/>
      <c r="CF114" s="788"/>
      <c r="CG114" s="788"/>
      <c r="CH114" s="793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793">
        <f t="shared" si="293"/>
        <v>0</v>
      </c>
      <c r="CJ114" s="793"/>
      <c r="CK114" s="793"/>
      <c r="CL114" s="791"/>
      <c r="CM114" s="794"/>
      <c r="CN114" s="16"/>
      <c r="CO114" s="793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791" t="e">
        <f t="shared" si="294"/>
        <v>#DIV/0!</v>
      </c>
      <c r="CQ114" s="791"/>
      <c r="CR114" s="14"/>
      <c r="CS114" s="15" t="e">
        <f t="shared" si="295"/>
        <v>#DIV/0!</v>
      </c>
      <c r="CT114" s="15">
        <f t="shared" si="296"/>
        <v>0</v>
      </c>
      <c r="CU114" s="762" t="e">
        <f t="shared" si="297"/>
        <v>#DIV/0!</v>
      </c>
      <c r="CV114" s="16" t="e">
        <f t="shared" si="298"/>
        <v>#DIV/0!</v>
      </c>
      <c r="CW114" s="16" t="e">
        <f t="shared" si="299"/>
        <v>#DIV/0!</v>
      </c>
      <c r="CX114" s="15" t="e">
        <f t="shared" si="300"/>
        <v>#DIV/0!</v>
      </c>
      <c r="CY114" s="320" t="e">
        <f t="shared" si="301"/>
        <v>#DIV/0!</v>
      </c>
      <c r="CZ114" s="310" t="e">
        <f t="shared" si="302"/>
        <v>#DIV/0!</v>
      </c>
      <c r="DA114" s="761" t="e">
        <f t="shared" si="303"/>
        <v>#DIV/0!</v>
      </c>
      <c r="DB114" s="771" t="e">
        <f t="shared" si="304"/>
        <v>#DIV/0!</v>
      </c>
      <c r="DC114" s="761"/>
      <c r="DD114" s="761" t="e">
        <f t="shared" si="305"/>
        <v>#DIV/0!</v>
      </c>
      <c r="DE114" s="761" t="e">
        <f t="shared" si="306"/>
        <v>#DIV/0!</v>
      </c>
      <c r="DF114" s="761"/>
      <c r="DG114" s="761">
        <f t="shared" si="307"/>
        <v>0</v>
      </c>
      <c r="DH114" s="761">
        <f t="shared" si="308"/>
        <v>0</v>
      </c>
      <c r="DI114" s="761">
        <f t="shared" si="309"/>
        <v>0</v>
      </c>
      <c r="DJ114" s="761">
        <f t="shared" si="310"/>
        <v>0</v>
      </c>
      <c r="DK114" s="761" t="e">
        <f t="shared" si="311"/>
        <v>#DIV/0!</v>
      </c>
      <c r="DL114" s="761" t="e">
        <f t="shared" si="312"/>
        <v>#DIV/0!</v>
      </c>
      <c r="DM114" s="633" t="e">
        <f t="shared" si="316"/>
        <v>#DIV/0!</v>
      </c>
      <c r="DN114" s="20"/>
      <c r="DO114" s="69"/>
      <c r="DQ114" s="20"/>
    </row>
    <row r="115" spans="1:121" s="21" customFormat="1" ht="15.95" customHeight="1" x14ac:dyDescent="0.25">
      <c r="A115" s="33"/>
      <c r="B115" s="52"/>
      <c r="C115" s="33"/>
      <c r="D115" s="33"/>
      <c r="E115" s="33"/>
      <c r="F115" s="33"/>
      <c r="G115" s="49"/>
      <c r="H115" s="33"/>
      <c r="I115" s="33"/>
      <c r="J115" s="621" t="s">
        <v>393</v>
      </c>
      <c r="K115" s="757"/>
      <c r="L115" s="758"/>
      <c r="M115" s="622"/>
      <c r="N115" s="612"/>
      <c r="O115" s="613"/>
      <c r="P115" s="614"/>
      <c r="Q115" s="616">
        <f t="shared" si="265"/>
        <v>0</v>
      </c>
      <c r="R115" s="612">
        <f t="shared" si="266"/>
        <v>0</v>
      </c>
      <c r="S115" s="688"/>
      <c r="T115" s="616"/>
      <c r="U115" s="616"/>
      <c r="V115" s="616"/>
      <c r="W115" s="616"/>
      <c r="X115" s="32"/>
      <c r="Y115" s="76"/>
      <c r="Z115" s="670"/>
      <c r="AA115" s="616"/>
      <c r="AB115" s="52"/>
      <c r="AC115" s="33"/>
      <c r="AD115" s="33"/>
      <c r="AE115" s="33"/>
      <c r="AF115" s="33"/>
      <c r="AG115" s="76" t="e">
        <f>(AI115)/AA115/CZ115</f>
        <v>#DIV/0!</v>
      </c>
      <c r="AH115" s="52"/>
      <c r="AI115" s="623"/>
      <c r="AJ115" s="623"/>
      <c r="AK115" s="624" t="e">
        <f>AB115*$CZ115*$AA115*$Y115/1000/1000</f>
        <v>#DIV/0!</v>
      </c>
      <c r="AL115" s="620" t="e">
        <f>AC115*$CZ115*$AA115*$Y115/1000/1000</f>
        <v>#DIV/0!</v>
      </c>
      <c r="AM115" s="620"/>
      <c r="AN115" s="620" t="e">
        <f>AE115*$CZ115*$AA115*$Y115/1000/1000</f>
        <v>#DIV/0!</v>
      </c>
      <c r="AO115" s="620" t="e">
        <f>AF115*$CZ115*$AA115*$Y115/1000/1000</f>
        <v>#DIV/0!</v>
      </c>
      <c r="AP115" s="618" t="e">
        <f>AG115*$CZ115*$AA115*$Y115/1000/1000</f>
        <v>#DIV/0!</v>
      </c>
      <c r="AQ115" s="625" t="e">
        <f t="shared" si="274"/>
        <v>#DIV/0!</v>
      </c>
      <c r="AR115" s="623">
        <f t="shared" si="275"/>
        <v>0</v>
      </c>
      <c r="AS115" s="626">
        <f t="shared" ref="AS115:AS116" si="318">AR115-AJ115</f>
        <v>0</v>
      </c>
      <c r="AT115" s="598" t="e">
        <f>(AB115-B115)*$CZ115*$AA115*$Y115/1000/1000</f>
        <v>#DIV/0!</v>
      </c>
      <c r="AU115" s="598" t="e">
        <f>(AC115-C115)*$CZ115*$AA115*$Y115/1000/1000</f>
        <v>#DIV/0!</v>
      </c>
      <c r="AV115" s="598"/>
      <c r="AW115" s="598" t="e">
        <f>(AE115-E115)*$CZ115*$AA115*$Y115/1000/1000</f>
        <v>#DIV/0!</v>
      </c>
      <c r="AX115" s="598" t="e">
        <f>(AF115-F115)*$CZ115*$AA115*$Y115/1000/1000</f>
        <v>#DIV/0!</v>
      </c>
      <c r="AY115" s="600" t="e">
        <f t="shared" si="282"/>
        <v>#DIV/0!</v>
      </c>
      <c r="AZ115" s="665" t="e">
        <f>7993580.82/(AA115+AA116)</f>
        <v>#DIV/0!</v>
      </c>
      <c r="BA115" s="598" t="e">
        <f>(I115+D115)*AA115*CZ115*A115</f>
        <v>#DIV/0!</v>
      </c>
      <c r="BB115" s="598" t="e">
        <f>AZ115*AA115</f>
        <v>#DIV/0!</v>
      </c>
      <c r="BC115" s="73"/>
      <c r="BD115" s="73"/>
      <c r="BE115" s="598"/>
      <c r="BF115" s="598"/>
      <c r="BG115" s="666"/>
      <c r="BH115" s="605">
        <f t="shared" si="283"/>
        <v>0</v>
      </c>
      <c r="BI115" s="598">
        <f t="shared" si="284"/>
        <v>0</v>
      </c>
      <c r="BJ115" s="34" t="e">
        <f>AJ115/AA115-AZ115-BG115*Y115</f>
        <v>#DIV/0!</v>
      </c>
      <c r="BK115" s="34" t="e">
        <f>AR115/AA115-AZ115-BG115</f>
        <v>#DIV/0!</v>
      </c>
      <c r="BL115" s="616"/>
      <c r="BM115" s="34" t="e">
        <f t="shared" si="317"/>
        <v>#DIV/0!</v>
      </c>
      <c r="BN115" s="34" t="e">
        <f t="shared" ref="BN115" si="319">BK115-BL115</f>
        <v>#DIV/0!</v>
      </c>
      <c r="BO115" s="666"/>
      <c r="BP115" s="78"/>
      <c r="BQ115" s="604"/>
      <c r="BR115" s="667" t="e">
        <f>(AI115)/AA115/7.21</f>
        <v>#DIV/0!</v>
      </c>
      <c r="BS115" s="666">
        <f t="shared" si="289"/>
        <v>0</v>
      </c>
      <c r="BT115" s="668">
        <f t="shared" si="290"/>
        <v>0</v>
      </c>
      <c r="BU115" s="668" t="e">
        <f t="shared" si="291"/>
        <v>#DIV/0!</v>
      </c>
      <c r="BV115" s="669" t="e">
        <f t="shared" si="292"/>
        <v>#DIV/0!</v>
      </c>
      <c r="BW115" s="34"/>
      <c r="BX115" s="34"/>
      <c r="BY115" s="34"/>
      <c r="BZ115" s="63"/>
      <c r="CA115" s="604"/>
      <c r="CB115" s="603"/>
      <c r="CC115" s="616"/>
      <c r="CD115" s="598"/>
      <c r="CE115" s="598"/>
      <c r="CF115" s="598"/>
      <c r="CG115" s="598"/>
      <c r="CH115" s="605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605">
        <f t="shared" si="293"/>
        <v>0</v>
      </c>
      <c r="CJ115" s="605"/>
      <c r="CK115" s="605"/>
      <c r="CL115" s="607"/>
      <c r="CM115" s="609"/>
      <c r="CN115" s="23"/>
      <c r="CO115" s="605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607" t="e">
        <f t="shared" si="294"/>
        <v>#DIV/0!</v>
      </c>
      <c r="CQ115" s="600"/>
      <c r="CR115" s="671"/>
      <c r="CS115" s="34" t="e">
        <f t="shared" si="295"/>
        <v>#DIV/0!</v>
      </c>
      <c r="CT115" s="34">
        <f t="shared" si="296"/>
        <v>0</v>
      </c>
      <c r="CU115" s="34" t="e">
        <f t="shared" si="297"/>
        <v>#DIV/0!</v>
      </c>
      <c r="CV115" s="23" t="e">
        <f t="shared" si="298"/>
        <v>#DIV/0!</v>
      </c>
      <c r="CW115" s="23" t="e">
        <f t="shared" si="299"/>
        <v>#DIV/0!</v>
      </c>
      <c r="CX115" s="34" t="e">
        <f t="shared" si="300"/>
        <v>#DIV/0!</v>
      </c>
      <c r="CY115" s="63" t="e">
        <f t="shared" si="301"/>
        <v>#DIV/0!</v>
      </c>
      <c r="CZ115" s="619" t="e">
        <f t="shared" si="302"/>
        <v>#DIV/0!</v>
      </c>
      <c r="DA115" s="47" t="e">
        <f t="shared" si="303"/>
        <v>#DIV/0!</v>
      </c>
      <c r="DB115" s="47" t="e">
        <f t="shared" si="304"/>
        <v>#DIV/0!</v>
      </c>
      <c r="DC115" s="47"/>
      <c r="DD115" s="47" t="e">
        <f t="shared" si="305"/>
        <v>#DIV/0!</v>
      </c>
      <c r="DE115" s="47" t="e">
        <f t="shared" si="306"/>
        <v>#DIV/0!</v>
      </c>
      <c r="DF115" s="47"/>
      <c r="DG115" s="47" t="e">
        <f t="shared" si="307"/>
        <v>#DIV/0!</v>
      </c>
      <c r="DH115" s="47">
        <f t="shared" si="308"/>
        <v>0</v>
      </c>
      <c r="DI115" s="47">
        <f t="shared" si="309"/>
        <v>0</v>
      </c>
      <c r="DJ115" s="47">
        <f t="shared" si="310"/>
        <v>0</v>
      </c>
      <c r="DK115" s="47" t="e">
        <f t="shared" si="311"/>
        <v>#DIV/0!</v>
      </c>
      <c r="DL115" s="47" t="e">
        <f t="shared" si="312"/>
        <v>#DIV/0!</v>
      </c>
      <c r="DM115" s="56" t="e">
        <f t="shared" ref="DM115" si="320">SUM(DA115:DL115)</f>
        <v>#DIV/0!</v>
      </c>
      <c r="DN115" s="20"/>
      <c r="DO115" s="69"/>
      <c r="DQ115" s="20"/>
    </row>
    <row r="116" spans="1:121" s="21" customFormat="1" ht="15.95" customHeight="1" x14ac:dyDescent="0.25">
      <c r="A116" s="33"/>
      <c r="B116" s="52"/>
      <c r="C116" s="33"/>
      <c r="D116" s="33"/>
      <c r="E116" s="33"/>
      <c r="F116" s="33"/>
      <c r="G116" s="49"/>
      <c r="H116" s="33"/>
      <c r="I116" s="33"/>
      <c r="J116" s="621" t="s">
        <v>393</v>
      </c>
      <c r="K116" s="757"/>
      <c r="L116" s="758"/>
      <c r="M116" s="622"/>
      <c r="N116" s="612"/>
      <c r="O116" s="613"/>
      <c r="P116" s="614"/>
      <c r="Q116" s="616">
        <f t="shared" ref="Q116" si="321">P116-M116</f>
        <v>0</v>
      </c>
      <c r="R116" s="35"/>
      <c r="S116" s="35"/>
      <c r="T116" s="23"/>
      <c r="U116" s="23"/>
      <c r="V116" s="23"/>
      <c r="W116" s="23"/>
      <c r="X116" s="32"/>
      <c r="Y116" s="76"/>
      <c r="Z116" s="76"/>
      <c r="AA116" s="616"/>
      <c r="AB116" s="52"/>
      <c r="AC116" s="33"/>
      <c r="AD116" s="33"/>
      <c r="AE116" s="33"/>
      <c r="AF116" s="33"/>
      <c r="AG116" s="76" t="e">
        <f>(AI116)/AA116/CZ116</f>
        <v>#DIV/0!</v>
      </c>
      <c r="AH116" s="667"/>
      <c r="AI116" s="616"/>
      <c r="AJ116" s="616"/>
      <c r="AK116" s="998"/>
      <c r="AL116" s="993"/>
      <c r="AM116" s="993"/>
      <c r="AN116" s="993"/>
      <c r="AO116" s="993"/>
      <c r="AP116" s="1004"/>
      <c r="AQ116" s="805"/>
      <c r="AR116" s="616">
        <f t="shared" si="275"/>
        <v>0</v>
      </c>
      <c r="AS116" s="626">
        <f t="shared" si="318"/>
        <v>0</v>
      </c>
      <c r="AT116" s="576"/>
      <c r="AU116" s="576"/>
      <c r="AV116" s="576"/>
      <c r="AW116" s="576"/>
      <c r="AX116" s="576"/>
      <c r="AY116" s="590"/>
      <c r="AZ116" s="665" t="e">
        <f>AZ115</f>
        <v>#DIV/0!</v>
      </c>
      <c r="BA116" s="988" t="e">
        <f>(I116+D116)*AA116*CZ116*A116</f>
        <v>#DIV/0!</v>
      </c>
      <c r="BB116" s="594" t="e">
        <f>AZ116*AA116</f>
        <v>#DIV/0!</v>
      </c>
      <c r="BC116" s="576"/>
      <c r="BD116" s="576"/>
      <c r="BE116" s="576"/>
      <c r="BF116" s="576"/>
      <c r="BG116" s="33"/>
      <c r="BH116" s="594">
        <f t="shared" si="283"/>
        <v>0</v>
      </c>
      <c r="BI116" s="988">
        <f t="shared" si="284"/>
        <v>0</v>
      </c>
      <c r="BJ116" s="34" t="e">
        <f>AJ116/AA116-AZ116-BG116*Y116</f>
        <v>#DIV/0!</v>
      </c>
      <c r="BK116" s="34" t="e">
        <f>AR116/AA116-AZ116-BG116</f>
        <v>#DIV/0!</v>
      </c>
      <c r="BL116" s="616"/>
      <c r="BM116" s="34" t="e">
        <f t="shared" si="317"/>
        <v>#DIV/0!</v>
      </c>
      <c r="BN116" s="34" t="e">
        <f t="shared" ref="BN116" si="322">BK116-BL116</f>
        <v>#DIV/0!</v>
      </c>
      <c r="BO116" s="666"/>
      <c r="BP116" s="576"/>
      <c r="BQ116" s="375"/>
      <c r="BR116" s="667" t="e">
        <f>(AI116)/AA116/7.21</f>
        <v>#DIV/0!</v>
      </c>
      <c r="BS116" s="666">
        <f t="shared" ref="BS116" si="323">CN116-BO116</f>
        <v>0</v>
      </c>
      <c r="BT116" s="668">
        <f t="shared" ref="BT116" si="324">CM116-BO116</f>
        <v>0</v>
      </c>
      <c r="BU116" s="668" t="e">
        <f t="shared" ref="BU116" si="325">BR116-BS116</f>
        <v>#DIV/0!</v>
      </c>
      <c r="BV116" s="669" t="e">
        <f t="shared" ref="BV116" si="326">BR116-BT116</f>
        <v>#DIV/0!</v>
      </c>
      <c r="BW116" s="23"/>
      <c r="BX116" s="23"/>
      <c r="BY116" s="23"/>
      <c r="BZ116" s="201"/>
      <c r="CA116" s="375"/>
      <c r="CB116" s="584"/>
      <c r="CC116" s="984"/>
      <c r="CD116" s="576"/>
      <c r="CE116" s="576"/>
      <c r="CF116" s="576"/>
      <c r="CG116" s="576"/>
      <c r="CH116" s="594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594">
        <f t="shared" si="293"/>
        <v>0</v>
      </c>
      <c r="CJ116" s="594"/>
      <c r="CK116" s="594"/>
      <c r="CL116" s="596"/>
      <c r="CM116" s="595">
        <f>CM115</f>
        <v>0</v>
      </c>
      <c r="CN116" s="23">
        <f>CN115</f>
        <v>0</v>
      </c>
      <c r="CO116" s="594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596" t="e">
        <f t="shared" si="294"/>
        <v>#DIV/0!</v>
      </c>
      <c r="CQ116" s="596"/>
      <c r="CR116" s="671"/>
      <c r="CS116" s="34" t="e">
        <f t="shared" si="295"/>
        <v>#DIV/0!</v>
      </c>
      <c r="CT116" s="34">
        <f t="shared" si="296"/>
        <v>0</v>
      </c>
      <c r="CU116" s="34" t="e">
        <f t="shared" ref="CU116" si="327">CS116-CT116</f>
        <v>#DIV/0!</v>
      </c>
      <c r="CV116" s="23" t="e">
        <f t="shared" si="298"/>
        <v>#DIV/0!</v>
      </c>
      <c r="CW116" s="23" t="e">
        <f t="shared" si="299"/>
        <v>#DIV/0!</v>
      </c>
      <c r="CX116" s="34" t="e">
        <f t="shared" ref="CX116" si="328">CV116-CT116</f>
        <v>#DIV/0!</v>
      </c>
      <c r="CY116" s="63" t="e">
        <f t="shared" si="301"/>
        <v>#DIV/0!</v>
      </c>
      <c r="CZ116" s="1002" t="e">
        <f t="shared" si="302"/>
        <v>#DIV/0!</v>
      </c>
      <c r="DA116" s="47" t="e">
        <f t="shared" si="303"/>
        <v>#DIV/0!</v>
      </c>
      <c r="DB116" s="47" t="e">
        <f t="shared" si="304"/>
        <v>#DIV/0!</v>
      </c>
      <c r="DC116" s="47"/>
      <c r="DD116" s="47">
        <f t="shared" si="305"/>
        <v>0</v>
      </c>
      <c r="DE116" s="47">
        <f t="shared" si="306"/>
        <v>0</v>
      </c>
      <c r="DF116" s="47"/>
      <c r="DG116" s="47" t="e">
        <f t="shared" si="307"/>
        <v>#DIV/0!</v>
      </c>
      <c r="DH116" s="47">
        <f t="shared" si="308"/>
        <v>0</v>
      </c>
      <c r="DI116" s="47">
        <f t="shared" si="309"/>
        <v>0</v>
      </c>
      <c r="DJ116" s="47">
        <f t="shared" si="310"/>
        <v>0</v>
      </c>
      <c r="DK116" s="47" t="e">
        <f t="shared" ref="DK116" si="329">CY116/1000/1000</f>
        <v>#DIV/0!</v>
      </c>
      <c r="DL116" s="47" t="e">
        <f t="shared" ref="DL116" si="330">CP116/1000/1000</f>
        <v>#DIV/0!</v>
      </c>
      <c r="DM116" s="56" t="e">
        <f t="shared" ref="DM116" si="331">SUM(DA116:DL116)</f>
        <v>#DIV/0!</v>
      </c>
      <c r="DN116" s="20"/>
      <c r="DO116" s="69"/>
      <c r="DQ116" s="20"/>
    </row>
    <row r="117" spans="1:121" s="21" customFormat="1" ht="15.95" customHeight="1" outlineLevel="1" x14ac:dyDescent="0.25">
      <c r="A117" s="33"/>
      <c r="B117" s="52"/>
      <c r="C117" s="33"/>
      <c r="D117" s="33"/>
      <c r="E117" s="33"/>
      <c r="F117" s="33"/>
      <c r="G117" s="49"/>
      <c r="H117" s="33"/>
      <c r="I117" s="33"/>
      <c r="J117" s="46"/>
      <c r="K117" s="198"/>
      <c r="L117" s="199"/>
      <c r="M117" s="185"/>
      <c r="N117" s="35"/>
      <c r="O117" s="32"/>
      <c r="P117" s="186"/>
      <c r="Q117" s="23"/>
      <c r="R117" s="35"/>
      <c r="S117" s="35"/>
      <c r="T117" s="23"/>
      <c r="U117" s="23"/>
      <c r="V117" s="23"/>
      <c r="W117" s="23"/>
      <c r="X117" s="32"/>
      <c r="Y117" s="76"/>
      <c r="Z117" s="76"/>
      <c r="AA117" s="23"/>
      <c r="AB117" s="52"/>
      <c r="AC117" s="33"/>
      <c r="AD117" s="33"/>
      <c r="AE117" s="33"/>
      <c r="AF117" s="33"/>
      <c r="AG117" s="76"/>
      <c r="AH117" s="52"/>
      <c r="AI117" s="23"/>
      <c r="AJ117" s="23"/>
      <c r="AK117" s="575"/>
      <c r="AL117" s="576"/>
      <c r="AM117" s="576"/>
      <c r="AN117" s="576"/>
      <c r="AO117" s="576"/>
      <c r="AP117" s="590"/>
      <c r="AQ117" s="136"/>
      <c r="AR117" s="23"/>
      <c r="AS117" s="63"/>
      <c r="AT117" s="576"/>
      <c r="AU117" s="576"/>
      <c r="AV117" s="576"/>
      <c r="AW117" s="576"/>
      <c r="AX117" s="576"/>
      <c r="AY117" s="590"/>
      <c r="AZ117" s="135"/>
      <c r="BA117" s="594"/>
      <c r="BB117" s="594"/>
      <c r="BC117" s="576"/>
      <c r="BD117" s="576"/>
      <c r="BE117" s="576"/>
      <c r="BF117" s="576"/>
      <c r="BG117" s="33"/>
      <c r="BH117" s="594"/>
      <c r="BI117" s="594"/>
      <c r="BJ117" s="23"/>
      <c r="BK117" s="23"/>
      <c r="BL117" s="23"/>
      <c r="BM117" s="23"/>
      <c r="BN117" s="34"/>
      <c r="BO117" s="33"/>
      <c r="BP117" s="576"/>
      <c r="BQ117" s="375"/>
      <c r="BR117" s="52"/>
      <c r="BS117" s="33"/>
      <c r="BT117" s="521"/>
      <c r="BU117" s="521"/>
      <c r="BV117" s="315"/>
      <c r="BW117" s="23"/>
      <c r="BX117" s="23"/>
      <c r="BY117" s="23"/>
      <c r="BZ117" s="201"/>
      <c r="CA117" s="375"/>
      <c r="CB117" s="584"/>
      <c r="CC117" s="576"/>
      <c r="CD117" s="576"/>
      <c r="CE117" s="576"/>
      <c r="CF117" s="576"/>
      <c r="CG117" s="576"/>
      <c r="CH117" s="594"/>
      <c r="CI117" s="594"/>
      <c r="CJ117" s="594"/>
      <c r="CK117" s="594"/>
      <c r="CL117" s="596"/>
      <c r="CM117" s="595"/>
      <c r="CN117" s="23"/>
      <c r="CO117" s="594"/>
      <c r="CP117" s="596"/>
      <c r="CQ117" s="596"/>
      <c r="CR117" s="49"/>
      <c r="CS117" s="45"/>
      <c r="CT117" s="45"/>
      <c r="CU117" s="47"/>
      <c r="CV117" s="23"/>
      <c r="CW117" s="23"/>
      <c r="CX117" s="45"/>
      <c r="CY117" s="324"/>
      <c r="CZ117" s="311"/>
      <c r="DA117" s="649"/>
      <c r="DB117" s="769"/>
      <c r="DC117" s="649"/>
      <c r="DD117" s="649"/>
      <c r="DE117" s="649"/>
      <c r="DF117" s="649"/>
      <c r="DG117" s="649"/>
      <c r="DH117" s="649"/>
      <c r="DI117" s="649"/>
      <c r="DJ117" s="649"/>
      <c r="DK117" s="649"/>
      <c r="DL117" s="649"/>
      <c r="DM117" s="650"/>
      <c r="DN117" s="20"/>
      <c r="DO117" s="69"/>
      <c r="DQ117" s="20"/>
    </row>
    <row r="118" spans="1:121" s="21" customFormat="1" ht="15.95" customHeight="1" outlineLevel="1" x14ac:dyDescent="0.25">
      <c r="A118" s="33"/>
      <c r="B118" s="52"/>
      <c r="C118" s="33"/>
      <c r="D118" s="33"/>
      <c r="E118" s="33"/>
      <c r="F118" s="33"/>
      <c r="G118" s="49"/>
      <c r="H118" s="33"/>
      <c r="I118" s="33"/>
      <c r="J118" s="46"/>
      <c r="K118" s="198"/>
      <c r="L118" s="199"/>
      <c r="M118" s="185"/>
      <c r="N118" s="35"/>
      <c r="O118" s="32"/>
      <c r="P118" s="186"/>
      <c r="Q118" s="23"/>
      <c r="R118" s="35"/>
      <c r="S118" s="35"/>
      <c r="T118" s="23"/>
      <c r="U118" s="23"/>
      <c r="V118" s="23"/>
      <c r="W118" s="23"/>
      <c r="X118" s="32"/>
      <c r="Y118" s="76"/>
      <c r="Z118" s="76"/>
      <c r="AA118" s="23"/>
      <c r="AB118" s="52"/>
      <c r="AC118" s="33"/>
      <c r="AD118" s="33"/>
      <c r="AE118" s="33"/>
      <c r="AF118" s="33"/>
      <c r="AG118" s="76"/>
      <c r="AH118" s="52"/>
      <c r="AI118" s="23"/>
      <c r="AJ118" s="23"/>
      <c r="AK118" s="575"/>
      <c r="AL118" s="576"/>
      <c r="AM118" s="576"/>
      <c r="AN118" s="576"/>
      <c r="AO118" s="576"/>
      <c r="AP118" s="590"/>
      <c r="AQ118" s="136"/>
      <c r="AR118" s="23"/>
      <c r="AS118" s="63"/>
      <c r="AT118" s="576"/>
      <c r="AU118" s="576"/>
      <c r="AV118" s="576"/>
      <c r="AW118" s="576"/>
      <c r="AX118" s="576"/>
      <c r="AY118" s="590"/>
      <c r="AZ118" s="135"/>
      <c r="BA118" s="594"/>
      <c r="BB118" s="594"/>
      <c r="BC118" s="576"/>
      <c r="BD118" s="576"/>
      <c r="BE118" s="576"/>
      <c r="BF118" s="576"/>
      <c r="BG118" s="33"/>
      <c r="BH118" s="594"/>
      <c r="BI118" s="594"/>
      <c r="BJ118" s="23"/>
      <c r="BK118" s="23"/>
      <c r="BL118" s="23"/>
      <c r="BM118" s="23"/>
      <c r="BN118" s="34"/>
      <c r="BO118" s="33"/>
      <c r="BP118" s="576"/>
      <c r="BQ118" s="375"/>
      <c r="BR118" s="52"/>
      <c r="BS118" s="33"/>
      <c r="BT118" s="521"/>
      <c r="BU118" s="521"/>
      <c r="BV118" s="315"/>
      <c r="BW118" s="23"/>
      <c r="BX118" s="23"/>
      <c r="BY118" s="23"/>
      <c r="BZ118" s="201"/>
      <c r="CA118" s="375"/>
      <c r="CB118" s="584"/>
      <c r="CC118" s="576"/>
      <c r="CD118" s="576"/>
      <c r="CE118" s="576"/>
      <c r="CF118" s="576"/>
      <c r="CG118" s="576"/>
      <c r="CH118" s="594"/>
      <c r="CI118" s="594"/>
      <c r="CJ118" s="594"/>
      <c r="CK118" s="594"/>
      <c r="CL118" s="596"/>
      <c r="CM118" s="595"/>
      <c r="CN118" s="23"/>
      <c r="CO118" s="594"/>
      <c r="CP118" s="596"/>
      <c r="CQ118" s="596"/>
      <c r="CR118" s="49"/>
      <c r="CS118" s="45"/>
      <c r="CT118" s="45"/>
      <c r="CU118" s="47"/>
      <c r="CV118" s="23"/>
      <c r="CW118" s="23"/>
      <c r="CX118" s="45"/>
      <c r="CY118" s="324"/>
      <c r="CZ118" s="311"/>
      <c r="DA118" s="649"/>
      <c r="DB118" s="769"/>
      <c r="DC118" s="649"/>
      <c r="DD118" s="649"/>
      <c r="DE118" s="649"/>
      <c r="DF118" s="649"/>
      <c r="DG118" s="649"/>
      <c r="DH118" s="649"/>
      <c r="DI118" s="649"/>
      <c r="DJ118" s="649"/>
      <c r="DK118" s="649"/>
      <c r="DL118" s="649"/>
      <c r="DM118" s="650"/>
      <c r="DN118" s="20"/>
      <c r="DO118" s="69"/>
      <c r="DQ118" s="20"/>
    </row>
    <row r="119" spans="1:121" s="21" customFormat="1" ht="15.95" customHeight="1" outlineLevel="1" x14ac:dyDescent="0.25">
      <c r="A119" s="33"/>
      <c r="B119" s="52"/>
      <c r="C119" s="33"/>
      <c r="D119" s="33"/>
      <c r="E119" s="33"/>
      <c r="F119" s="33"/>
      <c r="G119" s="49"/>
      <c r="H119" s="33"/>
      <c r="I119" s="33"/>
      <c r="J119" s="46"/>
      <c r="K119" s="198"/>
      <c r="L119" s="199"/>
      <c r="M119" s="185"/>
      <c r="N119" s="35"/>
      <c r="O119" s="32"/>
      <c r="P119" s="186"/>
      <c r="Q119" s="23"/>
      <c r="R119" s="35"/>
      <c r="S119" s="35"/>
      <c r="T119" s="23"/>
      <c r="U119" s="23"/>
      <c r="V119" s="23"/>
      <c r="W119" s="23"/>
      <c r="X119" s="32"/>
      <c r="Y119" s="76"/>
      <c r="Z119" s="76"/>
      <c r="AA119" s="23"/>
      <c r="AB119" s="52"/>
      <c r="AC119" s="33"/>
      <c r="AD119" s="33"/>
      <c r="AE119" s="33"/>
      <c r="AF119" s="33"/>
      <c r="AG119" s="76"/>
      <c r="AH119" s="52"/>
      <c r="AI119" s="23"/>
      <c r="AJ119" s="23"/>
      <c r="AK119" s="575"/>
      <c r="AL119" s="576"/>
      <c r="AM119" s="576"/>
      <c r="AN119" s="576"/>
      <c r="AO119" s="576"/>
      <c r="AP119" s="590"/>
      <c r="AQ119" s="136"/>
      <c r="AR119" s="23"/>
      <c r="AS119" s="63"/>
      <c r="AT119" s="576"/>
      <c r="AU119" s="576"/>
      <c r="AV119" s="576"/>
      <c r="AW119" s="576"/>
      <c r="AX119" s="576"/>
      <c r="AY119" s="590"/>
      <c r="AZ119" s="135"/>
      <c r="BA119" s="594"/>
      <c r="BB119" s="594"/>
      <c r="BC119" s="576"/>
      <c r="BD119" s="576"/>
      <c r="BE119" s="576"/>
      <c r="BF119" s="576"/>
      <c r="BG119" s="33"/>
      <c r="BH119" s="594"/>
      <c r="BI119" s="594"/>
      <c r="BJ119" s="23"/>
      <c r="BK119" s="23"/>
      <c r="BL119" s="23"/>
      <c r="BM119" s="23"/>
      <c r="BN119" s="34"/>
      <c r="BO119" s="33"/>
      <c r="BP119" s="576"/>
      <c r="BQ119" s="375"/>
      <c r="BR119" s="52"/>
      <c r="BS119" s="33"/>
      <c r="BT119" s="521"/>
      <c r="BU119" s="521"/>
      <c r="BV119" s="315"/>
      <c r="BW119" s="23"/>
      <c r="BX119" s="23"/>
      <c r="BY119" s="23"/>
      <c r="BZ119" s="201"/>
      <c r="CA119" s="375"/>
      <c r="CB119" s="584"/>
      <c r="CC119" s="576"/>
      <c r="CD119" s="576"/>
      <c r="CE119" s="576"/>
      <c r="CF119" s="576"/>
      <c r="CG119" s="576"/>
      <c r="CH119" s="594"/>
      <c r="CI119" s="594"/>
      <c r="CJ119" s="594"/>
      <c r="CK119" s="594"/>
      <c r="CL119" s="596"/>
      <c r="CM119" s="595"/>
      <c r="CN119" s="23"/>
      <c r="CO119" s="594"/>
      <c r="CP119" s="596"/>
      <c r="CQ119" s="596"/>
      <c r="CR119" s="49"/>
      <c r="CS119" s="45"/>
      <c r="CT119" s="45"/>
      <c r="CU119" s="47"/>
      <c r="CV119" s="23"/>
      <c r="CW119" s="23"/>
      <c r="CX119" s="45"/>
      <c r="CY119" s="324"/>
      <c r="CZ119" s="311"/>
      <c r="DA119" s="649"/>
      <c r="DB119" s="769"/>
      <c r="DC119" s="649"/>
      <c r="DD119" s="649"/>
      <c r="DE119" s="649"/>
      <c r="DF119" s="649"/>
      <c r="DG119" s="649"/>
      <c r="DH119" s="649"/>
      <c r="DI119" s="649"/>
      <c r="DJ119" s="649"/>
      <c r="DK119" s="649"/>
      <c r="DL119" s="649"/>
      <c r="DM119" s="650">
        <f>SUM(DA119:DK119)</f>
        <v>0</v>
      </c>
      <c r="DN119" s="20"/>
      <c r="DO119" s="69"/>
      <c r="DQ119" s="20"/>
    </row>
    <row r="120" spans="1:121" s="21" customFormat="1" ht="15.95" customHeight="1" outlineLevel="1" x14ac:dyDescent="0.25">
      <c r="A120" s="33"/>
      <c r="B120" s="575"/>
      <c r="C120" s="576"/>
      <c r="D120" s="576"/>
      <c r="E120" s="576"/>
      <c r="F120" s="576"/>
      <c r="G120" s="590"/>
      <c r="H120" s="33"/>
      <c r="I120" s="33"/>
      <c r="J120" s="46"/>
      <c r="K120" s="198"/>
      <c r="L120" s="199"/>
      <c r="M120" s="185"/>
      <c r="N120" s="35"/>
      <c r="O120" s="32"/>
      <c r="P120" s="186"/>
      <c r="Q120" s="23"/>
      <c r="R120" s="35"/>
      <c r="S120" s="35"/>
      <c r="T120" s="23"/>
      <c r="U120" s="23"/>
      <c r="V120" s="23"/>
      <c r="W120" s="23"/>
      <c r="X120" s="32"/>
      <c r="Y120" s="76"/>
      <c r="Z120" s="76"/>
      <c r="AA120" s="23"/>
      <c r="AB120" s="52"/>
      <c r="AC120" s="33"/>
      <c r="AD120" s="33"/>
      <c r="AE120" s="33"/>
      <c r="AF120" s="33"/>
      <c r="AG120" s="76"/>
      <c r="AH120" s="52"/>
      <c r="AI120" s="23"/>
      <c r="AJ120" s="23"/>
      <c r="AK120" s="575"/>
      <c r="AL120" s="576"/>
      <c r="AM120" s="576"/>
      <c r="AN120" s="576"/>
      <c r="AO120" s="576"/>
      <c r="AP120" s="590"/>
      <c r="AQ120" s="136"/>
      <c r="AR120" s="23"/>
      <c r="AS120" s="63"/>
      <c r="AT120" s="576"/>
      <c r="AU120" s="576"/>
      <c r="AV120" s="576"/>
      <c r="AW120" s="576"/>
      <c r="AX120" s="576"/>
      <c r="AY120" s="590"/>
      <c r="AZ120" s="135"/>
      <c r="BA120" s="594"/>
      <c r="BB120" s="594"/>
      <c r="BC120" s="576"/>
      <c r="BD120" s="576"/>
      <c r="BE120" s="576"/>
      <c r="BF120" s="576"/>
      <c r="BG120" s="33"/>
      <c r="BH120" s="594"/>
      <c r="BI120" s="594"/>
      <c r="BJ120" s="23"/>
      <c r="BK120" s="23"/>
      <c r="BL120" s="23"/>
      <c r="BM120" s="23"/>
      <c r="BN120" s="34"/>
      <c r="BO120" s="33"/>
      <c r="BP120" s="576"/>
      <c r="BQ120" s="375"/>
      <c r="BR120" s="52"/>
      <c r="BS120" s="33"/>
      <c r="BT120" s="521"/>
      <c r="BU120" s="521"/>
      <c r="BV120" s="315"/>
      <c r="BW120" s="23"/>
      <c r="BX120" s="23"/>
      <c r="BY120" s="23"/>
      <c r="BZ120" s="201"/>
      <c r="CA120" s="375"/>
      <c r="CB120" s="584"/>
      <c r="CC120" s="576"/>
      <c r="CD120" s="576"/>
      <c r="CE120" s="576"/>
      <c r="CF120" s="576"/>
      <c r="CG120" s="576"/>
      <c r="CH120" s="594"/>
      <c r="CI120" s="594"/>
      <c r="CJ120" s="594"/>
      <c r="CK120" s="594"/>
      <c r="CL120" s="596"/>
      <c r="CM120" s="595"/>
      <c r="CN120" s="23"/>
      <c r="CO120" s="594"/>
      <c r="CP120" s="596"/>
      <c r="CQ120" s="596"/>
      <c r="CR120" s="49"/>
      <c r="CS120" s="45"/>
      <c r="CT120" s="45"/>
      <c r="CU120" s="47"/>
      <c r="CV120" s="23"/>
      <c r="CW120" s="23"/>
      <c r="CX120" s="45"/>
      <c r="CY120" s="324"/>
      <c r="CZ120" s="311"/>
      <c r="DA120" s="649"/>
      <c r="DB120" s="769"/>
      <c r="DC120" s="649"/>
      <c r="DD120" s="649"/>
      <c r="DE120" s="649"/>
      <c r="DF120" s="649"/>
      <c r="DG120" s="649"/>
      <c r="DH120" s="649"/>
      <c r="DI120" s="649"/>
      <c r="DJ120" s="649"/>
      <c r="DK120" s="649"/>
      <c r="DL120" s="649"/>
      <c r="DM120" s="650">
        <f>SUM(DA120:DK120)</f>
        <v>0</v>
      </c>
      <c r="DN120" s="20"/>
      <c r="DO120" s="69"/>
      <c r="DQ120" s="20"/>
    </row>
    <row r="121" spans="1:121" s="137" customFormat="1" ht="24.95" customHeight="1" x14ac:dyDescent="0.25">
      <c r="A121" s="392"/>
      <c r="B121" s="393"/>
      <c r="C121" s="393"/>
      <c r="D121" s="393"/>
      <c r="E121" s="393"/>
      <c r="F121" s="393"/>
      <c r="G121" s="393"/>
      <c r="H121" s="393"/>
      <c r="I121" s="393"/>
      <c r="J121" s="402" t="s">
        <v>380</v>
      </c>
      <c r="K121" s="759"/>
      <c r="L121" s="403"/>
      <c r="M121" s="674"/>
      <c r="N121" s="387"/>
      <c r="O121" s="403"/>
      <c r="P121" s="389"/>
      <c r="Q121" s="562"/>
      <c r="R121" s="674"/>
      <c r="S121" s="674"/>
      <c r="T121" s="562">
        <f>SUM(T101:T120)</f>
        <v>0</v>
      </c>
      <c r="U121" s="562">
        <f>SUM(U101:U120)</f>
        <v>0</v>
      </c>
      <c r="V121" s="562"/>
      <c r="W121" s="562"/>
      <c r="X121" s="403"/>
      <c r="Y121" s="394" t="e">
        <f>AJ121/AI121</f>
        <v>#DIV/0!</v>
      </c>
      <c r="Z121" s="394" t="e">
        <f>AR121/AI121</f>
        <v>#DIV/0!</v>
      </c>
      <c r="AA121" s="404">
        <f>SUM(AA101:AA120)</f>
        <v>0</v>
      </c>
      <c r="AB121" s="392"/>
      <c r="AC121" s="393"/>
      <c r="AD121" s="393"/>
      <c r="AE121" s="393"/>
      <c r="AF121" s="393"/>
      <c r="AG121" s="394"/>
      <c r="AH121" s="392"/>
      <c r="AI121" s="404">
        <f>SUM(AI101:AI120)</f>
        <v>0</v>
      </c>
      <c r="AJ121" s="404">
        <f>SUM(AJ101:AJ120)</f>
        <v>0</v>
      </c>
      <c r="AK121" s="404" t="e">
        <f>SUM(AK101:AK120)</f>
        <v>#DIV/0!</v>
      </c>
      <c r="AL121" s="404" t="e">
        <f t="shared" ref="AL121:AO121" si="332">SUM(AL101:AL120)</f>
        <v>#DIV/0!</v>
      </c>
      <c r="AM121" s="404" t="e">
        <f t="shared" si="332"/>
        <v>#DIV/0!</v>
      </c>
      <c r="AN121" s="404" t="e">
        <f t="shared" si="332"/>
        <v>#DIV/0!</v>
      </c>
      <c r="AO121" s="404" t="e">
        <f t="shared" si="332"/>
        <v>#DIV/0!</v>
      </c>
      <c r="AP121" s="404" t="e">
        <f>SUM(AP101:AP120)</f>
        <v>#DIV/0!</v>
      </c>
      <c r="AQ121" s="724"/>
      <c r="AR121" s="404">
        <f>SUM(AR101:AR120)</f>
        <v>0</v>
      </c>
      <c r="AS121" s="385">
        <f>SUM(AS101:AS120)</f>
        <v>0</v>
      </c>
      <c r="AT121" s="393" t="e">
        <f>SUM(AT101:AT120)</f>
        <v>#DIV/0!</v>
      </c>
      <c r="AU121" s="393" t="e">
        <f>SUM(AU101:AU120)</f>
        <v>#DIV/0!</v>
      </c>
      <c r="AV121" s="393" t="e">
        <f>SUM(AV101:AV120)</f>
        <v>#DIV/0!</v>
      </c>
      <c r="AW121" s="393" t="e">
        <f>SUM(AW83:AW120)</f>
        <v>#DIV/0!</v>
      </c>
      <c r="AX121" s="393" t="e">
        <f>SUM(AX83:AX120)</f>
        <v>#DIV/0!</v>
      </c>
      <c r="AY121" s="407" t="e">
        <f>SUM(AY101:AY120)</f>
        <v>#DIV/0!</v>
      </c>
      <c r="AZ121" s="405"/>
      <c r="BA121" s="404" t="e">
        <f>SUM(BA101:BA120)</f>
        <v>#DIV/0!</v>
      </c>
      <c r="BB121" s="404" t="e">
        <f>SUM(BB101:BB120)</f>
        <v>#DIV/0!</v>
      </c>
      <c r="BC121" s="393"/>
      <c r="BD121" s="393"/>
      <c r="BE121" s="393"/>
      <c r="BF121" s="393"/>
      <c r="BG121" s="393"/>
      <c r="BH121" s="404" t="e">
        <f>SUMPRODUCT(Y101:Y120,BH101:BH120)/Y121</f>
        <v>#DIV/0!</v>
      </c>
      <c r="BI121" s="404" t="e">
        <f>SUMPRODUCT(Z101:Z120,BI101:BI120)/Z121</f>
        <v>#DIV/0!</v>
      </c>
      <c r="BJ121" s="404" t="e">
        <f>SUMPRODUCT(AA101:AA120,BJ101:BJ120)/AA121</f>
        <v>#DIV/0!</v>
      </c>
      <c r="BK121" s="404" t="e">
        <f>SUMPRODUCT(AA101:AA120,BK101:BK120)/AA121</f>
        <v>#DIV/0!</v>
      </c>
      <c r="BL121" s="404" t="e">
        <f>SUMPRODUCT(AA101:AA120,BL101:BL120)/AA121</f>
        <v>#DIV/0!</v>
      </c>
      <c r="BM121" s="404" t="e">
        <f>SUMPRODUCT(AA101:AA120,BM101:BM120)/AA121</f>
        <v>#DIV/0!</v>
      </c>
      <c r="BN121" s="404" t="e">
        <f>BK121-BL121</f>
        <v>#DIV/0!</v>
      </c>
      <c r="BO121" s="393" t="e">
        <f>SUMPRODUCT(AA101:AA120,BO101:BO120)/AA121</f>
        <v>#DIV/0!</v>
      </c>
      <c r="BP121" s="393"/>
      <c r="BQ121" s="483"/>
      <c r="BR121" s="392" t="e">
        <f>SUMPRODUCT(AA101:AA120,BR101:BR120)/AA121</f>
        <v>#DIV/0!</v>
      </c>
      <c r="BS121" s="393" t="e">
        <f>SUMPRODUCT(AA101:AA120,BS101:BS120)/AA121</f>
        <v>#DIV/0!</v>
      </c>
      <c r="BT121" s="524" t="e">
        <f>SUMPRODUCT($AA$101:$AA$120,BT101:BT120)/$AA$121</f>
        <v>#DIV/0!</v>
      </c>
      <c r="BU121" s="517" t="e">
        <f>BR121-BS121</f>
        <v>#DIV/0!</v>
      </c>
      <c r="BV121" s="424" t="e">
        <f>SUMPRODUCT($AA$101:$AA$120,BV101:BV120)/$AA$121</f>
        <v>#DIV/0!</v>
      </c>
      <c r="BW121" s="409" t="e">
        <f>BU121*AA121*CZ121</f>
        <v>#DIV/0!</v>
      </c>
      <c r="BX121" s="409" t="e">
        <f>SUMPRODUCT(AA101:AA120,BU101:BU120,CZ101:CZ120,CR101:CR120)</f>
        <v>#DIV/0!</v>
      </c>
      <c r="BY121" s="446" t="e">
        <f>BV121*AA121*CZ121</f>
        <v>#DIV/0!</v>
      </c>
      <c r="BZ121" s="448" t="e">
        <f>SUMPRODUCT(AA101:AA120,BV101:BV120,CZ101:CZ120,CR101:CR120)</f>
        <v>#DIV/0!</v>
      </c>
      <c r="CA121" s="483"/>
      <c r="CB121" s="395" t="e">
        <f>SUMPRODUCT(CB101:CB120,AA101:AA120)/$AA$121</f>
        <v>#DIV/0!</v>
      </c>
      <c r="CC121" s="388" t="e">
        <f>SUMPRODUCT(CC101:CC120,AA101:AA120)/$AA$121</f>
        <v>#DIV/0!</v>
      </c>
      <c r="CD121" s="393"/>
      <c r="CE121" s="393"/>
      <c r="CF121" s="393"/>
      <c r="CG121" s="393"/>
      <c r="CH121" s="404" t="e">
        <f>SUM(CH101:CH120)</f>
        <v>#DIV/0!</v>
      </c>
      <c r="CI121" s="404">
        <f>SUM(CI101:CI120)</f>
        <v>0</v>
      </c>
      <c r="CJ121" s="404"/>
      <c r="CK121" s="404"/>
      <c r="CL121" s="406"/>
      <c r="CM121" s="405" t="e">
        <f>SUMPRODUCT(AA101:AA120,CM101:CM120)/AA121</f>
        <v>#DIV/0!</v>
      </c>
      <c r="CN121" s="404" t="e">
        <f>SUMPRODUCT($AA$101:$AA$120,CN101:CN120)/AA121</f>
        <v>#DIV/0!</v>
      </c>
      <c r="CO121" s="404" t="e">
        <f>SUM(CO101:CO120)</f>
        <v>#DIV/0!</v>
      </c>
      <c r="CP121" s="406" t="e">
        <f>SUM(CP101:CP120)</f>
        <v>#DIV/0!</v>
      </c>
      <c r="CQ121" s="411" t="e">
        <f>BX121/BW121</f>
        <v>#DIV/0!</v>
      </c>
      <c r="CR121" s="407" t="e">
        <f>SUMPRODUCT(AA101:AA120,CR101:CR120)/AA121</f>
        <v>#DIV/0!</v>
      </c>
      <c r="CS121" s="412" t="e">
        <f t="shared" ref="CS121:CY121" si="333">SUM(CS101:CS120)</f>
        <v>#DIV/0!</v>
      </c>
      <c r="CT121" s="412">
        <f t="shared" si="333"/>
        <v>0</v>
      </c>
      <c r="CU121" s="412" t="e">
        <f t="shared" si="333"/>
        <v>#DIV/0!</v>
      </c>
      <c r="CV121" s="404" t="e">
        <f t="shared" si="333"/>
        <v>#DIV/0!</v>
      </c>
      <c r="CW121" s="404" t="e">
        <f t="shared" si="333"/>
        <v>#DIV/0!</v>
      </c>
      <c r="CX121" s="412" t="e">
        <f t="shared" si="333"/>
        <v>#DIV/0!</v>
      </c>
      <c r="CY121" s="410" t="e">
        <f t="shared" si="333"/>
        <v>#DIV/0!</v>
      </c>
      <c r="CZ121" s="399" t="e">
        <f>AI121/AA121/BR121</f>
        <v>#DIV/0!</v>
      </c>
      <c r="DA121" s="442" t="e">
        <f>SUM(DA101:DA120)</f>
        <v>#DIV/0!</v>
      </c>
      <c r="DB121" s="442" t="e">
        <f>SUM(DB101:DB120)</f>
        <v>#DIV/0!</v>
      </c>
      <c r="DC121" s="442">
        <f t="shared" ref="DC121" si="334">SUM(DC101:DC120)</f>
        <v>0</v>
      </c>
      <c r="DD121" s="442" t="e">
        <f>SUM(DD101:DD120)</f>
        <v>#DIV/0!</v>
      </c>
      <c r="DE121" s="442" t="e">
        <f>SUM(DE101:DE120)</f>
        <v>#DIV/0!</v>
      </c>
      <c r="DF121" s="442">
        <f t="shared" ref="DF121" si="335">SUM(DF101:DF120)</f>
        <v>0</v>
      </c>
      <c r="DG121" s="442" t="e">
        <f t="shared" ref="DG121:DL121" si="336">SUM(DG101:DG120)</f>
        <v>#DIV/0!</v>
      </c>
      <c r="DH121" s="442">
        <f t="shared" si="336"/>
        <v>0</v>
      </c>
      <c r="DI121" s="442">
        <f t="shared" si="336"/>
        <v>0</v>
      </c>
      <c r="DJ121" s="442">
        <f t="shared" si="336"/>
        <v>0</v>
      </c>
      <c r="DK121" s="442" t="e">
        <f t="shared" si="336"/>
        <v>#DIV/0!</v>
      </c>
      <c r="DL121" s="442" t="e">
        <f t="shared" si="336"/>
        <v>#DIV/0!</v>
      </c>
      <c r="DM121" s="400" t="e">
        <f>SUM(DA121:DL121)</f>
        <v>#DIV/0!</v>
      </c>
      <c r="DO121" s="69"/>
    </row>
    <row r="122" spans="1:121" s="213" customFormat="1" ht="20.100000000000001" customHeight="1" outlineLevel="1" x14ac:dyDescent="0.25">
      <c r="A122" s="110"/>
      <c r="B122" s="110"/>
      <c r="C122" s="110"/>
      <c r="D122" s="110"/>
      <c r="E122" s="110"/>
      <c r="F122" s="110"/>
      <c r="G122" s="110"/>
      <c r="H122" s="110"/>
      <c r="I122" s="110"/>
      <c r="J122" s="205" t="s">
        <v>88</v>
      </c>
      <c r="K122" s="206"/>
      <c r="L122" s="207"/>
      <c r="M122" s="208"/>
      <c r="N122" s="208"/>
      <c r="O122" s="207"/>
      <c r="P122" s="208"/>
      <c r="Q122" s="202"/>
      <c r="R122" s="208"/>
      <c r="S122" s="208"/>
      <c r="T122" s="202"/>
      <c r="U122" s="202"/>
      <c r="V122" s="202"/>
      <c r="W122" s="202"/>
      <c r="X122" s="207"/>
      <c r="Y122" s="110"/>
      <c r="Z122" s="110"/>
      <c r="AA122" s="202"/>
      <c r="AB122" s="106"/>
      <c r="AC122" s="110"/>
      <c r="AD122" s="110"/>
      <c r="AE122" s="110"/>
      <c r="AF122" s="110"/>
      <c r="AG122" s="209"/>
      <c r="AH122" s="110"/>
      <c r="AI122" s="202"/>
      <c r="AJ122" s="202"/>
      <c r="AK122" s="106"/>
      <c r="AL122" s="202"/>
      <c r="AM122" s="202"/>
      <c r="AN122" s="202"/>
      <c r="AO122" s="202"/>
      <c r="AP122" s="210"/>
      <c r="AQ122" s="109"/>
      <c r="AR122" s="290" t="s">
        <v>94</v>
      </c>
      <c r="AS122" s="292"/>
      <c r="AT122" s="110"/>
      <c r="AU122" s="202"/>
      <c r="AV122" s="202"/>
      <c r="AW122" s="202"/>
      <c r="AX122" s="202"/>
      <c r="AY122" s="210"/>
      <c r="AZ122" s="200"/>
      <c r="BA122" s="110"/>
      <c r="BB122" s="202"/>
      <c r="BC122" s="202"/>
      <c r="BD122" s="202"/>
      <c r="BE122" s="202"/>
      <c r="BF122" s="202"/>
      <c r="BG122" s="110"/>
      <c r="BH122" s="202"/>
      <c r="BI122" s="202"/>
      <c r="BJ122" s="202"/>
      <c r="BK122" s="202"/>
      <c r="BL122" s="202"/>
      <c r="BM122" s="202"/>
      <c r="BN122" s="202"/>
      <c r="BO122" s="110"/>
      <c r="BP122" s="110"/>
      <c r="BQ122" s="210"/>
      <c r="BR122" s="104" t="e">
        <f>BR121*$AA121*$CZ121</f>
        <v>#DIV/0!</v>
      </c>
      <c r="BS122" s="100" t="e">
        <f>BS121*$AA121*$CZ121</f>
        <v>#DIV/0!</v>
      </c>
      <c r="BT122" s="100" t="e">
        <f>BT121*$AA121*$CZ121</f>
        <v>#DIV/0!</v>
      </c>
      <c r="BU122" s="518"/>
      <c r="BV122" s="380"/>
      <c r="BW122" s="202"/>
      <c r="BX122" s="202"/>
      <c r="BY122" s="202"/>
      <c r="BZ122" s="210"/>
      <c r="CA122" s="210"/>
      <c r="CB122" s="113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10"/>
      <c r="CM122" s="552" t="e">
        <f>CM121*$AA121*$CZ121</f>
        <v>#DIV/0!</v>
      </c>
      <c r="CN122" s="122" t="e">
        <f>CN121*$AA121*$CZ121</f>
        <v>#DIV/0!</v>
      </c>
      <c r="CO122" s="202"/>
      <c r="CP122" s="210"/>
      <c r="CQ122" s="210"/>
      <c r="CR122" s="222"/>
      <c r="CS122" s="110"/>
      <c r="CT122" s="107"/>
      <c r="CU122" s="107"/>
      <c r="CV122" s="107"/>
      <c r="CW122" s="107"/>
      <c r="CX122" s="107"/>
      <c r="CY122" s="502" t="e">
        <f>CW121-CH121</f>
        <v>#DIV/0!</v>
      </c>
      <c r="CZ122" s="308"/>
      <c r="DA122" s="211"/>
      <c r="DB122" s="211"/>
      <c r="DC122" s="211"/>
      <c r="DD122" s="211"/>
      <c r="DE122" s="211"/>
      <c r="DF122" s="211"/>
      <c r="DG122" s="211"/>
      <c r="DH122" s="211"/>
      <c r="DI122" s="211"/>
      <c r="DJ122" s="211"/>
      <c r="DK122" s="211"/>
      <c r="DL122" s="211"/>
      <c r="DM122" s="212"/>
      <c r="DO122" s="69"/>
    </row>
    <row r="123" spans="1:121" s="213" customFormat="1" ht="20.100000000000001" customHeight="1" outlineLevel="1" x14ac:dyDescent="0.25">
      <c r="A123" s="110"/>
      <c r="B123" s="110"/>
      <c r="C123" s="110"/>
      <c r="D123" s="110"/>
      <c r="E123" s="110"/>
      <c r="F123" s="110"/>
      <c r="G123" s="110"/>
      <c r="H123" s="110"/>
      <c r="I123" s="110"/>
      <c r="J123" s="205" t="s">
        <v>87</v>
      </c>
      <c r="K123" s="206"/>
      <c r="L123" s="207"/>
      <c r="M123" s="208"/>
      <c r="N123" s="208"/>
      <c r="O123" s="207"/>
      <c r="P123" s="208"/>
      <c r="Q123" s="202"/>
      <c r="R123" s="208"/>
      <c r="S123" s="208"/>
      <c r="T123" s="202"/>
      <c r="U123" s="202"/>
      <c r="V123" s="202"/>
      <c r="W123" s="202"/>
      <c r="X123" s="207"/>
      <c r="Y123" s="110"/>
      <c r="Z123" s="110"/>
      <c r="AA123" s="202"/>
      <c r="AB123" s="106"/>
      <c r="AC123" s="110"/>
      <c r="AD123" s="110"/>
      <c r="AE123" s="110"/>
      <c r="AF123" s="110"/>
      <c r="AG123" s="209"/>
      <c r="AH123" s="110"/>
      <c r="AI123" s="202"/>
      <c r="AJ123" s="202"/>
      <c r="AK123" s="106"/>
      <c r="AL123" s="202"/>
      <c r="AM123" s="202"/>
      <c r="AN123" s="202"/>
      <c r="AO123" s="202"/>
      <c r="AP123" s="210"/>
      <c r="AQ123" s="109"/>
      <c r="AR123" s="290" t="s">
        <v>89</v>
      </c>
      <c r="AS123" s="292"/>
      <c r="AT123" s="110"/>
      <c r="AU123" s="202"/>
      <c r="AV123" s="202"/>
      <c r="AW123" s="202"/>
      <c r="AX123" s="202"/>
      <c r="AY123" s="210"/>
      <c r="AZ123" s="200" t="s">
        <v>89</v>
      </c>
      <c r="BA123" s="110"/>
      <c r="BB123" s="202"/>
      <c r="BC123" s="202"/>
      <c r="BD123" s="202"/>
      <c r="BE123" s="202"/>
      <c r="BF123" s="202"/>
      <c r="BG123" s="110"/>
      <c r="BH123" s="202"/>
      <c r="BI123" s="202"/>
      <c r="BJ123" s="202"/>
      <c r="BK123" s="202"/>
      <c r="BL123" s="202"/>
      <c r="BM123" s="202"/>
      <c r="BN123" s="202"/>
      <c r="BO123" s="110"/>
      <c r="BP123" s="110"/>
      <c r="BQ123" s="210"/>
      <c r="BR123" s="106"/>
      <c r="BS123" s="110"/>
      <c r="BT123" s="523"/>
      <c r="BU123" s="523"/>
      <c r="BV123" s="380"/>
      <c r="BW123" s="202"/>
      <c r="BX123" s="202"/>
      <c r="BY123" s="202"/>
      <c r="BZ123" s="210"/>
      <c r="CA123" s="210"/>
      <c r="CB123" s="113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10"/>
      <c r="CM123" s="200"/>
      <c r="CN123" s="202"/>
      <c r="CO123" s="202"/>
      <c r="CP123" s="210"/>
      <c r="CQ123" s="210"/>
      <c r="CR123" s="222"/>
      <c r="CS123" s="110"/>
      <c r="CT123" s="107"/>
      <c r="CU123" s="107"/>
      <c r="CV123" s="107"/>
      <c r="CW123" s="107"/>
      <c r="CX123" s="107"/>
      <c r="CY123" s="108"/>
      <c r="CZ123" s="308"/>
      <c r="DA123" s="211"/>
      <c r="DB123" s="211"/>
      <c r="DC123" s="211"/>
      <c r="DD123" s="211"/>
      <c r="DE123" s="211"/>
      <c r="DF123" s="211"/>
      <c r="DG123" s="211"/>
      <c r="DH123" s="211"/>
      <c r="DI123" s="211"/>
      <c r="DJ123" s="211"/>
      <c r="DK123" s="211"/>
      <c r="DL123" s="211"/>
      <c r="DM123" s="212"/>
      <c r="DO123" s="69"/>
    </row>
    <row r="124" spans="1:121" s="213" customFormat="1" ht="20.100000000000001" customHeight="1" outlineLevel="1" x14ac:dyDescent="0.25">
      <c r="A124" s="110"/>
      <c r="B124" s="110"/>
      <c r="C124" s="110"/>
      <c r="D124" s="110"/>
      <c r="E124" s="110"/>
      <c r="F124" s="110"/>
      <c r="G124" s="110"/>
      <c r="H124" s="110"/>
      <c r="I124" s="110"/>
      <c r="J124" s="213" t="s">
        <v>96</v>
      </c>
      <c r="K124" s="206"/>
      <c r="L124" s="207"/>
      <c r="M124" s="208"/>
      <c r="N124" s="208"/>
      <c r="O124" s="207"/>
      <c r="P124" s="208"/>
      <c r="Q124" s="202"/>
      <c r="R124" s="208"/>
      <c r="S124" s="208"/>
      <c r="T124" s="202"/>
      <c r="U124" s="202"/>
      <c r="V124" s="202"/>
      <c r="W124" s="202"/>
      <c r="X124" s="207"/>
      <c r="Y124" s="110"/>
      <c r="Z124" s="110"/>
      <c r="AA124" s="202"/>
      <c r="AB124" s="106"/>
      <c r="AC124" s="110"/>
      <c r="AD124" s="110"/>
      <c r="AE124" s="110"/>
      <c r="AF124" s="110"/>
      <c r="AG124" s="209"/>
      <c r="AH124" s="110"/>
      <c r="AI124" s="202"/>
      <c r="AJ124" s="202"/>
      <c r="AK124" s="106"/>
      <c r="AL124" s="202"/>
      <c r="AM124" s="202"/>
      <c r="AN124" s="202"/>
      <c r="AO124" s="202"/>
      <c r="AP124" s="210"/>
      <c r="AQ124" s="109"/>
      <c r="AR124" s="290" t="s">
        <v>95</v>
      </c>
      <c r="AS124" s="292"/>
      <c r="AT124" s="110"/>
      <c r="AU124" s="202"/>
      <c r="AV124" s="202"/>
      <c r="AW124" s="202"/>
      <c r="AX124" s="202"/>
      <c r="AY124" s="210"/>
      <c r="AZ124" s="200"/>
      <c r="BA124" s="110"/>
      <c r="BB124" s="202"/>
      <c r="BC124" s="202"/>
      <c r="BD124" s="202"/>
      <c r="BE124" s="202"/>
      <c r="BF124" s="202"/>
      <c r="BG124" s="110"/>
      <c r="BH124" s="202"/>
      <c r="BI124" s="202"/>
      <c r="BJ124" s="202"/>
      <c r="BK124" s="202"/>
      <c r="BL124" s="202"/>
      <c r="BM124" s="202"/>
      <c r="BN124" s="202"/>
      <c r="BO124" s="110"/>
      <c r="BP124" s="110"/>
      <c r="BQ124" s="210"/>
      <c r="BR124" s="106"/>
      <c r="BS124" s="110"/>
      <c r="BT124" s="523"/>
      <c r="BU124" s="523"/>
      <c r="BV124" s="380"/>
      <c r="BW124" s="202"/>
      <c r="BX124" s="202"/>
      <c r="BY124" s="202"/>
      <c r="BZ124" s="210"/>
      <c r="CA124" s="210"/>
      <c r="CB124" s="113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10"/>
      <c r="CM124" s="200"/>
      <c r="CN124" s="202"/>
      <c r="CO124" s="202"/>
      <c r="CP124" s="210"/>
      <c r="CQ124" s="210"/>
      <c r="CR124" s="222"/>
      <c r="CS124" s="110"/>
      <c r="CT124" s="107"/>
      <c r="CU124" s="107"/>
      <c r="CV124" s="107"/>
      <c r="CW124" s="107"/>
      <c r="CX124" s="107"/>
      <c r="CY124" s="108"/>
      <c r="CZ124" s="308"/>
      <c r="DA124" s="211"/>
      <c r="DB124" s="211"/>
      <c r="DC124" s="211"/>
      <c r="DD124" s="211"/>
      <c r="DE124" s="211"/>
      <c r="DF124" s="211"/>
      <c r="DG124" s="211"/>
      <c r="DH124" s="211"/>
      <c r="DI124" s="211"/>
      <c r="DJ124" s="211"/>
      <c r="DK124" s="211"/>
      <c r="DL124" s="211"/>
      <c r="DM124" s="212"/>
      <c r="DO124" s="69"/>
    </row>
    <row r="125" spans="1:121" s="169" customFormat="1" ht="21" customHeight="1" outlineLevel="1" x14ac:dyDescent="0.25">
      <c r="A125" s="162"/>
      <c r="B125" s="162"/>
      <c r="C125" s="163"/>
      <c r="D125" s="163"/>
      <c r="E125" s="163"/>
      <c r="F125" s="163"/>
      <c r="G125" s="163"/>
      <c r="H125" s="162"/>
      <c r="I125" s="163"/>
      <c r="J125" s="384" t="s">
        <v>380</v>
      </c>
      <c r="K125" s="384"/>
      <c r="L125" s="385"/>
      <c r="M125" s="386"/>
      <c r="N125" s="387"/>
      <c r="O125" s="388"/>
      <c r="P125" s="389"/>
      <c r="Q125" s="562"/>
      <c r="R125" s="674"/>
      <c r="S125" s="674"/>
      <c r="T125" s="562"/>
      <c r="U125" s="562"/>
      <c r="V125" s="562"/>
      <c r="W125" s="562"/>
      <c r="X125" s="388"/>
      <c r="Y125" s="390"/>
      <c r="Z125" s="391"/>
      <c r="AA125" s="388"/>
      <c r="AB125" s="392"/>
      <c r="AC125" s="393"/>
      <c r="AD125" s="393"/>
      <c r="AE125" s="393"/>
      <c r="AF125" s="393"/>
      <c r="AG125" s="394"/>
      <c r="AH125" s="393"/>
      <c r="AI125" s="388"/>
      <c r="AJ125" s="388"/>
      <c r="AK125" s="395"/>
      <c r="AL125" s="388"/>
      <c r="AM125" s="388"/>
      <c r="AN125" s="388"/>
      <c r="AO125" s="388"/>
      <c r="AP125" s="385"/>
      <c r="AQ125" s="396"/>
      <c r="AR125" s="388"/>
      <c r="AS125" s="385">
        <f>AS121+AS122+AS124+AS123</f>
        <v>0</v>
      </c>
      <c r="AT125" s="164"/>
      <c r="AU125" s="164"/>
      <c r="AV125" s="164"/>
      <c r="AW125" s="164"/>
      <c r="AX125" s="164"/>
      <c r="AY125" s="166"/>
      <c r="AZ125" s="165"/>
      <c r="BA125" s="164"/>
      <c r="BB125" s="164"/>
      <c r="BC125" s="164"/>
      <c r="BD125" s="164"/>
      <c r="BE125" s="164"/>
      <c r="BF125" s="164"/>
      <c r="BG125" s="163"/>
      <c r="BH125" s="164"/>
      <c r="BI125" s="164"/>
      <c r="BJ125" s="164"/>
      <c r="BK125" s="164"/>
      <c r="BL125" s="164"/>
      <c r="BM125" s="164"/>
      <c r="BN125" s="164"/>
      <c r="BO125" s="163"/>
      <c r="BP125" s="163"/>
      <c r="BQ125" s="164"/>
      <c r="BR125" s="392"/>
      <c r="BS125" s="393"/>
      <c r="BT125" s="524"/>
      <c r="BU125" s="524"/>
      <c r="BV125" s="408"/>
      <c r="BW125" s="388"/>
      <c r="BX125" s="388"/>
      <c r="BY125" s="388"/>
      <c r="BZ125" s="385"/>
      <c r="CA125" s="166"/>
      <c r="CB125" s="165"/>
      <c r="CC125" s="164"/>
      <c r="CD125" s="164"/>
      <c r="CE125" s="164"/>
      <c r="CF125" s="164"/>
      <c r="CG125" s="164"/>
      <c r="CH125" s="560"/>
      <c r="CI125" s="555"/>
      <c r="CJ125" s="555"/>
      <c r="CK125" s="555"/>
      <c r="CL125" s="555"/>
      <c r="CM125" s="561"/>
      <c r="CN125" s="404"/>
      <c r="CO125" s="562"/>
      <c r="CP125" s="474"/>
      <c r="CQ125" s="469"/>
      <c r="CR125" s="470"/>
      <c r="CS125" s="468"/>
      <c r="CT125" s="471"/>
      <c r="CU125" s="471"/>
      <c r="CV125" s="475"/>
      <c r="CW125" s="476"/>
      <c r="CX125" s="476"/>
      <c r="CY125" s="477"/>
      <c r="CZ125" s="306"/>
      <c r="DA125" s="764"/>
      <c r="DB125" s="764"/>
      <c r="DC125" s="764"/>
      <c r="DD125" s="764"/>
      <c r="DE125" s="764"/>
      <c r="DF125" s="764"/>
      <c r="DG125" s="764"/>
      <c r="DH125" s="764"/>
      <c r="DI125" s="764"/>
      <c r="DJ125" s="764"/>
      <c r="DK125" s="764"/>
      <c r="DL125" s="764"/>
      <c r="DM125" s="167"/>
      <c r="DN125" s="168"/>
      <c r="DO125" s="69"/>
    </row>
    <row r="126" spans="1:121" s="67" customFormat="1" ht="20.100000000000001" customHeight="1" outlineLevel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153" t="s">
        <v>29</v>
      </c>
      <c r="K126" s="153"/>
      <c r="L126" s="160"/>
      <c r="M126" s="187"/>
      <c r="N126" s="155"/>
      <c r="O126" s="154"/>
      <c r="P126" s="188"/>
      <c r="Q126" s="676"/>
      <c r="R126" s="675"/>
      <c r="S126" s="675"/>
      <c r="T126" s="676"/>
      <c r="U126" s="676"/>
      <c r="V126" s="676"/>
      <c r="W126" s="676"/>
      <c r="X126" s="154"/>
      <c r="Y126" s="173"/>
      <c r="Z126" s="177"/>
      <c r="AA126" s="154"/>
      <c r="AB126" s="157"/>
      <c r="AC126" s="156"/>
      <c r="AD126" s="156"/>
      <c r="AE126" s="156"/>
      <c r="AF126" s="156"/>
      <c r="AG126" s="158"/>
      <c r="AH126" s="156"/>
      <c r="AI126" s="154"/>
      <c r="AJ126" s="154"/>
      <c r="AK126" s="159"/>
      <c r="AL126" s="154"/>
      <c r="AM126" s="154"/>
      <c r="AN126" s="154"/>
      <c r="AO126" s="154"/>
      <c r="AP126" s="160"/>
      <c r="AQ126" s="161"/>
      <c r="AR126" s="154"/>
      <c r="AS126" s="160">
        <f>AS125</f>
        <v>0</v>
      </c>
      <c r="AT126" s="64"/>
      <c r="AU126" s="64"/>
      <c r="AV126" s="64"/>
      <c r="AW126" s="64"/>
      <c r="AX126" s="64"/>
      <c r="AY126" s="66"/>
      <c r="AZ126" s="65"/>
      <c r="BA126" s="64"/>
      <c r="BB126" s="64"/>
      <c r="BC126" s="64"/>
      <c r="BD126" s="64"/>
      <c r="BE126" s="64"/>
      <c r="BF126" s="64"/>
      <c r="BG126" s="50"/>
      <c r="BH126" s="64"/>
      <c r="BI126" s="64"/>
      <c r="BJ126" s="64"/>
      <c r="BK126" s="64"/>
      <c r="BL126" s="64"/>
      <c r="BM126" s="64"/>
      <c r="BN126" s="64"/>
      <c r="BO126" s="50"/>
      <c r="BP126" s="50"/>
      <c r="BQ126" s="373"/>
      <c r="BR126" s="51"/>
      <c r="BS126" s="50"/>
      <c r="BT126" s="522"/>
      <c r="BU126" s="522"/>
      <c r="BV126" s="379"/>
      <c r="BW126" s="64"/>
      <c r="BX126" s="64"/>
      <c r="BY126" s="64"/>
      <c r="BZ126" s="66"/>
      <c r="CA126" s="373"/>
      <c r="CB126" s="65"/>
      <c r="CC126" s="64"/>
      <c r="CD126" s="64"/>
      <c r="CE126" s="64"/>
      <c r="CF126" s="64"/>
      <c r="CG126" s="64"/>
      <c r="CH126" s="556"/>
      <c r="CI126" s="556"/>
      <c r="CJ126" s="556"/>
      <c r="CK126" s="556"/>
      <c r="CL126" s="557"/>
      <c r="CM126" s="99"/>
      <c r="CN126" s="556"/>
      <c r="CO126" s="36"/>
      <c r="CP126" s="98"/>
      <c r="CQ126" s="98"/>
      <c r="CR126" s="224"/>
      <c r="CS126" s="77"/>
      <c r="CT126" s="37"/>
      <c r="CU126" s="37"/>
      <c r="CV126" s="541"/>
      <c r="CW126" s="542"/>
      <c r="CX126" s="542"/>
      <c r="CY126" s="543"/>
      <c r="CZ126" s="307"/>
      <c r="DA126" s="765"/>
      <c r="DB126" s="765"/>
      <c r="DC126" s="765"/>
      <c r="DD126" s="765"/>
      <c r="DE126" s="765"/>
      <c r="DF126" s="765"/>
      <c r="DG126" s="765"/>
      <c r="DH126" s="765"/>
      <c r="DI126" s="765"/>
      <c r="DJ126" s="765"/>
      <c r="DK126" s="765"/>
      <c r="DL126" s="765"/>
      <c r="DM126" s="97"/>
      <c r="DO126" s="69"/>
    </row>
    <row r="127" spans="1:121" s="25" customFormat="1" ht="15" x14ac:dyDescent="0.25">
      <c r="A127" s="138"/>
      <c r="B127" s="138"/>
      <c r="C127" s="138"/>
      <c r="D127" s="138"/>
      <c r="E127" s="138"/>
      <c r="F127" s="138"/>
      <c r="G127" s="138"/>
      <c r="H127" s="138"/>
      <c r="I127" s="138"/>
      <c r="J127" s="101"/>
      <c r="K127" s="102"/>
      <c r="L127" s="102"/>
      <c r="M127" s="103"/>
      <c r="N127" s="103"/>
      <c r="O127" s="102"/>
      <c r="P127" s="103"/>
      <c r="Q127" s="122"/>
      <c r="R127" s="103"/>
      <c r="S127" s="103"/>
      <c r="T127" s="122"/>
      <c r="U127" s="122"/>
      <c r="V127" s="122"/>
      <c r="W127" s="122"/>
      <c r="X127" s="102"/>
      <c r="Y127" s="100"/>
      <c r="Z127" s="100"/>
      <c r="AA127" s="102"/>
      <c r="AB127" s="100"/>
      <c r="AC127" s="100"/>
      <c r="AD127" s="100"/>
      <c r="AE127" s="100"/>
      <c r="AF127" s="100"/>
      <c r="AG127" s="100"/>
      <c r="AH127" s="100"/>
      <c r="AI127" s="102"/>
      <c r="AJ127" s="102"/>
      <c r="AK127" s="100"/>
      <c r="AL127" s="122"/>
      <c r="AM127" s="122"/>
      <c r="AN127" s="122"/>
      <c r="AO127" s="122"/>
      <c r="AP127" s="122"/>
      <c r="AQ127" s="100"/>
      <c r="AR127" s="102"/>
      <c r="AS127" s="293"/>
      <c r="AT127" s="100"/>
      <c r="AU127" s="122"/>
      <c r="AV127" s="122"/>
      <c r="AW127" s="122"/>
      <c r="AX127" s="122"/>
      <c r="AY127" s="122"/>
      <c r="AZ127" s="102"/>
      <c r="BA127" s="102"/>
      <c r="BB127" s="102"/>
      <c r="BC127" s="122"/>
      <c r="BD127" s="122"/>
      <c r="BE127" s="122"/>
      <c r="BF127" s="122"/>
      <c r="BG127" s="100"/>
      <c r="BH127" s="102"/>
      <c r="BI127" s="102"/>
      <c r="BJ127" s="102"/>
      <c r="BK127" s="102"/>
      <c r="BL127" s="102"/>
      <c r="BM127" s="102"/>
      <c r="BN127" s="102"/>
      <c r="BO127" s="100"/>
      <c r="BP127" s="100"/>
      <c r="BQ127" s="374"/>
      <c r="BR127" s="104"/>
      <c r="BS127" s="100"/>
      <c r="BT127" s="518"/>
      <c r="BU127" s="518"/>
      <c r="BV127" s="381"/>
      <c r="BW127" s="122"/>
      <c r="BX127" s="122"/>
      <c r="BY127" s="122"/>
      <c r="BZ127" s="123"/>
      <c r="CA127" s="374"/>
      <c r="CB127" s="126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3"/>
      <c r="CM127" s="552"/>
      <c r="CN127" s="122"/>
      <c r="CO127" s="122"/>
      <c r="CP127" s="123"/>
      <c r="CQ127" s="123"/>
      <c r="CR127" s="223"/>
      <c r="CS127" s="102"/>
      <c r="CT127" s="102"/>
      <c r="CU127" s="102"/>
      <c r="CV127" s="101"/>
      <c r="CW127" s="102"/>
      <c r="CX127" s="115"/>
      <c r="CY127" s="538"/>
      <c r="CZ127" s="312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235"/>
      <c r="DO127" s="69"/>
    </row>
    <row r="128" spans="1:121" s="25" customFormat="1" ht="15" x14ac:dyDescent="0.25">
      <c r="A128" s="138"/>
      <c r="B128" s="138"/>
      <c r="C128" s="138"/>
      <c r="D128" s="138"/>
      <c r="E128" s="138"/>
      <c r="F128" s="138"/>
      <c r="G128" s="138"/>
      <c r="H128" s="138"/>
      <c r="I128" s="138"/>
      <c r="J128" s="101"/>
      <c r="K128" s="102"/>
      <c r="L128" s="102"/>
      <c r="M128" s="103"/>
      <c r="N128" s="103"/>
      <c r="O128" s="102"/>
      <c r="P128" s="103"/>
      <c r="Q128" s="122"/>
      <c r="R128" s="103"/>
      <c r="S128" s="103"/>
      <c r="T128" s="122"/>
      <c r="U128" s="122"/>
      <c r="V128" s="122"/>
      <c r="W128" s="122"/>
      <c r="X128" s="102"/>
      <c r="Y128" s="100"/>
      <c r="Z128" s="100"/>
      <c r="AA128" s="102"/>
      <c r="AB128" s="100"/>
      <c r="AC128" s="100"/>
      <c r="AD128" s="100"/>
      <c r="AE128" s="100"/>
      <c r="AF128" s="100"/>
      <c r="AG128" s="100"/>
      <c r="AH128" s="100"/>
      <c r="AI128" s="102"/>
      <c r="AJ128" s="102"/>
      <c r="AK128" s="100"/>
      <c r="AL128" s="122"/>
      <c r="AM128" s="122"/>
      <c r="AN128" s="122"/>
      <c r="AO128" s="122"/>
      <c r="AP128" s="122"/>
      <c r="AQ128" s="100"/>
      <c r="AR128" s="102"/>
      <c r="AS128" s="293"/>
      <c r="AT128" s="100"/>
      <c r="AU128" s="122"/>
      <c r="AV128" s="122"/>
      <c r="AW128" s="122"/>
      <c r="AX128" s="122"/>
      <c r="AY128" s="122"/>
      <c r="AZ128" s="102"/>
      <c r="BA128" s="102"/>
      <c r="BB128" s="102"/>
      <c r="BC128" s="122"/>
      <c r="BD128" s="122"/>
      <c r="BE128" s="122"/>
      <c r="BF128" s="122"/>
      <c r="BG128" s="100"/>
      <c r="BH128" s="102"/>
      <c r="BI128" s="102"/>
      <c r="BJ128" s="102"/>
      <c r="BK128" s="102"/>
      <c r="BL128" s="102"/>
      <c r="BM128" s="102"/>
      <c r="BN128" s="102"/>
      <c r="BO128" s="100"/>
      <c r="BP128" s="100"/>
      <c r="BQ128" s="374"/>
      <c r="BR128" s="104"/>
      <c r="BS128" s="100"/>
      <c r="BT128" s="518"/>
      <c r="BU128" s="518"/>
      <c r="BV128" s="381"/>
      <c r="BW128" s="122"/>
      <c r="BX128" s="545"/>
      <c r="BY128" s="122"/>
      <c r="BZ128" s="447"/>
      <c r="CA128" s="374"/>
      <c r="CB128" s="126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3"/>
      <c r="CM128" s="552"/>
      <c r="CN128" s="122"/>
      <c r="CO128" s="122"/>
      <c r="CP128" s="123"/>
      <c r="CQ128" s="123"/>
      <c r="CR128" s="223"/>
      <c r="CS128" s="102"/>
      <c r="CT128" s="102"/>
      <c r="CU128" s="102"/>
      <c r="CV128" s="539"/>
      <c r="CW128" s="540"/>
      <c r="CX128" s="531"/>
      <c r="CY128" s="532"/>
      <c r="CZ128" s="537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235"/>
      <c r="DO128" s="69"/>
    </row>
    <row r="129" spans="1:121" s="152" customFormat="1" ht="20.100000000000001" customHeight="1" x14ac:dyDescent="0.25">
      <c r="A129" s="139"/>
      <c r="B129" s="139"/>
      <c r="C129" s="140"/>
      <c r="D129" s="140"/>
      <c r="E129" s="140"/>
      <c r="F129" s="140"/>
      <c r="G129" s="140"/>
      <c r="H129" s="139"/>
      <c r="I129" s="140"/>
      <c r="J129" s="141" t="s">
        <v>394</v>
      </c>
      <c r="K129" s="141"/>
      <c r="L129" s="191"/>
      <c r="M129" s="178"/>
      <c r="N129" s="143"/>
      <c r="O129" s="142"/>
      <c r="P129" s="143"/>
      <c r="Q129" s="449"/>
      <c r="R129" s="143"/>
      <c r="S129" s="143"/>
      <c r="T129" s="449"/>
      <c r="U129" s="449"/>
      <c r="V129" s="449"/>
      <c r="W129" s="449"/>
      <c r="X129" s="191"/>
      <c r="Y129" s="336"/>
      <c r="Z129" s="329"/>
      <c r="AA129" s="333"/>
      <c r="AB129" s="140"/>
      <c r="AC129" s="140"/>
      <c r="AD129" s="140"/>
      <c r="AE129" s="140"/>
      <c r="AF129" s="140"/>
      <c r="AG129" s="145"/>
      <c r="AH129" s="140"/>
      <c r="AI129" s="144"/>
      <c r="AJ129" s="144"/>
      <c r="AK129" s="139"/>
      <c r="AL129" s="144"/>
      <c r="AM129" s="144"/>
      <c r="AN129" s="144"/>
      <c r="AO129" s="144"/>
      <c r="AP129" s="146"/>
      <c r="AQ129" s="147"/>
      <c r="AR129" s="144"/>
      <c r="AS129" s="291"/>
      <c r="AT129" s="140"/>
      <c r="AU129" s="144"/>
      <c r="AV129" s="144"/>
      <c r="AW129" s="144"/>
      <c r="AX129" s="144"/>
      <c r="AY129" s="146"/>
      <c r="AZ129" s="148"/>
      <c r="BA129" s="144"/>
      <c r="BB129" s="144"/>
      <c r="BC129" s="149"/>
      <c r="BD129" s="149"/>
      <c r="BE129" s="149"/>
      <c r="BF129" s="149"/>
      <c r="BG129" s="140"/>
      <c r="BH129" s="144"/>
      <c r="BI129" s="144"/>
      <c r="BJ129" s="144"/>
      <c r="BK129" s="144"/>
      <c r="BL129" s="144"/>
      <c r="BM129" s="144"/>
      <c r="BN129" s="144"/>
      <c r="BO129" s="140"/>
      <c r="BP129" s="140"/>
      <c r="BQ129" s="371"/>
      <c r="BR129" s="139"/>
      <c r="BS129" s="140"/>
      <c r="BT129" s="512"/>
      <c r="BU129" s="512"/>
      <c r="BV129" s="377"/>
      <c r="BW129" s="144"/>
      <c r="BX129" s="144"/>
      <c r="BY129" s="144"/>
      <c r="BZ129" s="146"/>
      <c r="CA129" s="371"/>
      <c r="CB129" s="150"/>
      <c r="CC129" s="144"/>
      <c r="CD129" s="144"/>
      <c r="CE129" s="144"/>
      <c r="CF129" s="144"/>
      <c r="CG129" s="144"/>
      <c r="CH129" s="449"/>
      <c r="CI129" s="144"/>
      <c r="CJ129" s="144"/>
      <c r="CK129" s="144"/>
      <c r="CL129" s="146"/>
      <c r="CM129" s="148"/>
      <c r="CN129" s="144"/>
      <c r="CO129" s="144"/>
      <c r="CP129" s="146"/>
      <c r="CQ129" s="146"/>
      <c r="CR129" s="232"/>
      <c r="CS129" s="151"/>
      <c r="CT129" s="151"/>
      <c r="CU129" s="151"/>
      <c r="CV129" s="151"/>
      <c r="CW129" s="151"/>
      <c r="CX129" s="151"/>
      <c r="CY129" s="318"/>
      <c r="CZ129" s="151"/>
      <c r="DA129" s="766"/>
      <c r="DB129" s="766"/>
      <c r="DC129" s="766"/>
      <c r="DD129" s="766"/>
      <c r="DE129" s="766"/>
      <c r="DF129" s="766"/>
      <c r="DG129" s="766"/>
      <c r="DH129" s="766"/>
      <c r="DI129" s="766"/>
      <c r="DJ129" s="766"/>
      <c r="DK129" s="766"/>
      <c r="DL129" s="766"/>
      <c r="DM129" s="767"/>
      <c r="DO129" s="69"/>
    </row>
    <row r="130" spans="1:121" s="25" customFormat="1" ht="15.95" customHeight="1" x14ac:dyDescent="0.25">
      <c r="A130" s="44"/>
      <c r="B130" s="44"/>
      <c r="C130" s="10"/>
      <c r="D130" s="10"/>
      <c r="E130" s="10"/>
      <c r="F130" s="10"/>
      <c r="G130" s="12"/>
      <c r="H130" s="10"/>
      <c r="I130" s="12"/>
      <c r="J130" s="42" t="s">
        <v>381</v>
      </c>
      <c r="K130" s="196"/>
      <c r="L130" s="195"/>
      <c r="M130" s="184"/>
      <c r="N130" s="72"/>
      <c r="O130" s="19"/>
      <c r="P130" s="72"/>
      <c r="Q130" s="733">
        <f>P130-M130</f>
        <v>0</v>
      </c>
      <c r="R130" s="733">
        <f t="shared" ref="R130:R155" si="337">P130-N130</f>
        <v>0</v>
      </c>
      <c r="S130" s="734"/>
      <c r="T130" s="721"/>
      <c r="U130" s="721"/>
      <c r="V130" s="735"/>
      <c r="W130" s="735"/>
      <c r="X130" s="729"/>
      <c r="Y130" s="337"/>
      <c r="Z130" s="330"/>
      <c r="AA130" s="334"/>
      <c r="AB130" s="44"/>
      <c r="AC130" s="10"/>
      <c r="AD130" s="10"/>
      <c r="AE130" s="10"/>
      <c r="AF130" s="12"/>
      <c r="AG130" s="82" t="e">
        <f t="shared" ref="AG130:AG140" si="338">AI130/AA130/CZ130</f>
        <v>#DIV/0!</v>
      </c>
      <c r="AH130" s="218"/>
      <c r="AI130" s="28"/>
      <c r="AJ130" s="28">
        <f>AI130*Y130</f>
        <v>0</v>
      </c>
      <c r="AK130" s="450"/>
      <c r="AL130" s="451"/>
      <c r="AM130" s="451"/>
      <c r="AN130" s="451"/>
      <c r="AO130" s="451"/>
      <c r="AP130" s="451"/>
      <c r="AQ130" s="452"/>
      <c r="AR130" s="28">
        <f t="shared" ref="AR130:AR136" si="339">AI130*Z130</f>
        <v>0</v>
      </c>
      <c r="AS130" s="278">
        <f t="shared" ref="AS130:AS150" si="340">AR130-AJ130</f>
        <v>0</v>
      </c>
      <c r="AT130" s="277"/>
      <c r="AU130" s="277"/>
      <c r="AV130" s="277"/>
      <c r="AW130" s="277"/>
      <c r="AX130" s="277"/>
      <c r="AY130" s="282"/>
      <c r="AZ130" s="57"/>
      <c r="BA130" s="28"/>
      <c r="BB130" s="28"/>
      <c r="BC130" s="277"/>
      <c r="BD130" s="277"/>
      <c r="BE130" s="277"/>
      <c r="BF130" s="277"/>
      <c r="BG130" s="277"/>
      <c r="BH130" s="28"/>
      <c r="BI130" s="28"/>
      <c r="BJ130" s="28"/>
      <c r="BK130" s="28"/>
      <c r="BL130" s="28"/>
      <c r="BM130" s="28"/>
      <c r="BN130" s="28"/>
      <c r="BO130" s="11"/>
      <c r="BP130" s="78"/>
      <c r="BQ130" s="375"/>
      <c r="BR130" s="488" t="e">
        <f>AI130/AA130/7.181</f>
        <v>#DIV/0!</v>
      </c>
      <c r="BS130" s="489">
        <f t="shared" ref="BS130:BS136" si="341">CN130-BO130</f>
        <v>0</v>
      </c>
      <c r="BT130" s="515">
        <f t="shared" ref="BT130:BT151" si="342">CM130-BO130</f>
        <v>0</v>
      </c>
      <c r="BU130" s="515" t="e">
        <f t="shared" ref="BU130:BU136" si="343">BR130-BS130</f>
        <v>#DIV/0!</v>
      </c>
      <c r="BV130" s="494" t="e">
        <f t="shared" ref="BV130:BV151" si="344">BR130-BT130</f>
        <v>#DIV/0!</v>
      </c>
      <c r="BW130" s="28"/>
      <c r="BX130" s="28"/>
      <c r="BY130" s="28"/>
      <c r="BZ130" s="41"/>
      <c r="CA130" s="375"/>
      <c r="CB130" s="356"/>
      <c r="CC130" s="352"/>
      <c r="CD130" s="352"/>
      <c r="CE130" s="352"/>
      <c r="CF130" s="352"/>
      <c r="CG130" s="352"/>
      <c r="CH130" s="28"/>
      <c r="CI130" s="28"/>
      <c r="CJ130" s="28"/>
      <c r="CK130" s="28"/>
      <c r="CL130" s="41"/>
      <c r="CM130" s="57"/>
      <c r="CN130" s="16"/>
      <c r="CO130" s="28"/>
      <c r="CP130" s="41"/>
      <c r="CQ130" s="41"/>
      <c r="CR130" s="14"/>
      <c r="CS130" s="30"/>
      <c r="CT130" s="30"/>
      <c r="CU130" s="30"/>
      <c r="CV130" s="30"/>
      <c r="CW130" s="30"/>
      <c r="CX130" s="30"/>
      <c r="CY130" s="323" t="e">
        <f>CZ130-[181]Анализ!BC99</f>
        <v>#DIV/0!</v>
      </c>
      <c r="CZ130" s="310" t="e">
        <f t="shared" ref="CZ130:CZ136" si="345">AI130/AA130/BR130</f>
        <v>#DIV/0!</v>
      </c>
      <c r="DA130" s="761" t="e">
        <f t="shared" ref="DA130:DA136" si="346">BU130*CZ130*AA130*CR130/1000/1000</f>
        <v>#DIV/0!</v>
      </c>
      <c r="DB130" s="771" t="e">
        <f t="shared" ref="DB130:DB136" si="347">BV130*CZ130*AA130*CR130/1000/1000</f>
        <v>#DIV/0!</v>
      </c>
      <c r="DC130" s="761"/>
      <c r="DD130" s="761"/>
      <c r="DE130" s="761"/>
      <c r="DF130" s="761"/>
      <c r="DG130" s="761"/>
      <c r="DH130" s="761"/>
      <c r="DI130" s="761">
        <f t="shared" ref="DI130:DI151" si="348">AS130/1000/1000</f>
        <v>0</v>
      </c>
      <c r="DJ130" s="761"/>
      <c r="DK130" s="761"/>
      <c r="DL130" s="761"/>
      <c r="DM130" s="633" t="e">
        <f t="shared" ref="DM130:DM200" si="349">SUM(DA130:DL130)</f>
        <v>#DIV/0!</v>
      </c>
      <c r="DN130" s="20"/>
      <c r="DO130" s="69"/>
      <c r="DQ130" s="24"/>
    </row>
    <row r="131" spans="1:121" s="25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2" t="s">
        <v>381</v>
      </c>
      <c r="K131" s="196"/>
      <c r="L131" s="195"/>
      <c r="M131" s="184"/>
      <c r="N131" s="72"/>
      <c r="O131" s="19"/>
      <c r="P131" s="72"/>
      <c r="Q131" s="709">
        <f t="shared" ref="Q131:Q140" si="350">P131-M131</f>
        <v>0</v>
      </c>
      <c r="R131" s="709">
        <f t="shared" si="337"/>
        <v>0</v>
      </c>
      <c r="S131" s="736"/>
      <c r="T131" s="720"/>
      <c r="U131" s="720"/>
      <c r="V131" s="720"/>
      <c r="W131" s="720"/>
      <c r="X131" s="661"/>
      <c r="Y131" s="337"/>
      <c r="Z131" s="330"/>
      <c r="AA131" s="334"/>
      <c r="AB131" s="18"/>
      <c r="AC131" s="11"/>
      <c r="AD131" s="11"/>
      <c r="AE131" s="11"/>
      <c r="AF131" s="14"/>
      <c r="AG131" s="75" t="e">
        <f t="shared" si="338"/>
        <v>#DIV/0!</v>
      </c>
      <c r="AH131" s="629"/>
      <c r="AI131" s="28"/>
      <c r="AJ131" s="28">
        <f t="shared" ref="AJ131:AJ150" si="351">AI131*Y131</f>
        <v>0</v>
      </c>
      <c r="AK131" s="366"/>
      <c r="AL131" s="367"/>
      <c r="AM131" s="367"/>
      <c r="AN131" s="367"/>
      <c r="AO131" s="367"/>
      <c r="AP131" s="367"/>
      <c r="AQ131" s="133"/>
      <c r="AR131" s="28">
        <f t="shared" si="339"/>
        <v>0</v>
      </c>
      <c r="AS131" s="278">
        <f t="shared" si="340"/>
        <v>0</v>
      </c>
      <c r="AT131" s="277"/>
      <c r="AU131" s="277"/>
      <c r="AV131" s="277"/>
      <c r="AW131" s="277"/>
      <c r="AX131" s="277"/>
      <c r="AY131" s="282"/>
      <c r="AZ131" s="57"/>
      <c r="BA131" s="28"/>
      <c r="BB131" s="28"/>
      <c r="BC131" s="277"/>
      <c r="BD131" s="277"/>
      <c r="BE131" s="277"/>
      <c r="BF131" s="277"/>
      <c r="BG131" s="277"/>
      <c r="BH131" s="28"/>
      <c r="BI131" s="28"/>
      <c r="BJ131" s="28"/>
      <c r="BK131" s="28"/>
      <c r="BL131" s="28"/>
      <c r="BM131" s="28"/>
      <c r="BN131" s="28"/>
      <c r="BO131" s="11"/>
      <c r="BP131" s="78"/>
      <c r="BQ131" s="375"/>
      <c r="BR131" s="488" t="e">
        <f>AI131/AA131/7.185</f>
        <v>#DIV/0!</v>
      </c>
      <c r="BS131" s="489">
        <f t="shared" si="341"/>
        <v>0</v>
      </c>
      <c r="BT131" s="515">
        <f t="shared" si="342"/>
        <v>0</v>
      </c>
      <c r="BU131" s="515" t="e">
        <f t="shared" si="343"/>
        <v>#DIV/0!</v>
      </c>
      <c r="BV131" s="494" t="e">
        <f t="shared" si="344"/>
        <v>#DIV/0!</v>
      </c>
      <c r="BW131" s="28"/>
      <c r="BX131" s="28"/>
      <c r="BY131" s="28"/>
      <c r="BZ131" s="41"/>
      <c r="CA131" s="375"/>
      <c r="CB131" s="356"/>
      <c r="CC131" s="352"/>
      <c r="CD131" s="352"/>
      <c r="CE131" s="352"/>
      <c r="CF131" s="352"/>
      <c r="CG131" s="352"/>
      <c r="CH131" s="28"/>
      <c r="CI131" s="28"/>
      <c r="CJ131" s="28"/>
      <c r="CK131" s="28"/>
      <c r="CL131" s="41"/>
      <c r="CM131" s="57"/>
      <c r="CN131" s="16"/>
      <c r="CO131" s="28"/>
      <c r="CP131" s="41"/>
      <c r="CQ131" s="41"/>
      <c r="CR131" s="14"/>
      <c r="CS131" s="30"/>
      <c r="CT131" s="30"/>
      <c r="CU131" s="30"/>
      <c r="CV131" s="30"/>
      <c r="CW131" s="30"/>
      <c r="CX131" s="30"/>
      <c r="CY131" s="323" t="e">
        <f>CZ131-[181]Анализ!BC100</f>
        <v>#DIV/0!</v>
      </c>
      <c r="CZ131" s="310" t="e">
        <f t="shared" si="345"/>
        <v>#DIV/0!</v>
      </c>
      <c r="DA131" s="761" t="e">
        <f t="shared" si="346"/>
        <v>#DIV/0!</v>
      </c>
      <c r="DB131" s="771" t="e">
        <f t="shared" si="347"/>
        <v>#DIV/0!</v>
      </c>
      <c r="DC131" s="761"/>
      <c r="DD131" s="761"/>
      <c r="DE131" s="761"/>
      <c r="DF131" s="761"/>
      <c r="DG131" s="761"/>
      <c r="DH131" s="761"/>
      <c r="DI131" s="761">
        <f t="shared" si="348"/>
        <v>0</v>
      </c>
      <c r="DJ131" s="761"/>
      <c r="DK131" s="761"/>
      <c r="DL131" s="761"/>
      <c r="DM131" s="633" t="e">
        <f t="shared" si="349"/>
        <v>#DIV/0!</v>
      </c>
      <c r="DN131" s="20"/>
      <c r="DO131" s="69"/>
      <c r="DQ131" s="24"/>
    </row>
    <row r="132" spans="1:121" s="25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2" t="s">
        <v>381</v>
      </c>
      <c r="K132" s="196"/>
      <c r="L132" s="195"/>
      <c r="M132" s="184"/>
      <c r="N132" s="72"/>
      <c r="O132" s="19"/>
      <c r="P132" s="72"/>
      <c r="Q132" s="709"/>
      <c r="R132" s="709"/>
      <c r="S132" s="736"/>
      <c r="T132" s="720"/>
      <c r="U132" s="720"/>
      <c r="V132" s="720"/>
      <c r="W132" s="720"/>
      <c r="X132" s="661"/>
      <c r="Y132" s="337"/>
      <c r="Z132" s="330"/>
      <c r="AA132" s="334"/>
      <c r="AB132" s="18"/>
      <c r="AC132" s="11"/>
      <c r="AD132" s="11"/>
      <c r="AE132" s="11"/>
      <c r="AF132" s="14"/>
      <c r="AG132" s="75" t="e">
        <f t="shared" si="338"/>
        <v>#DIV/0!</v>
      </c>
      <c r="AH132" s="629"/>
      <c r="AI132" s="28"/>
      <c r="AJ132" s="28">
        <f t="shared" si="351"/>
        <v>0</v>
      </c>
      <c r="AK132" s="366"/>
      <c r="AL132" s="367"/>
      <c r="AM132" s="367"/>
      <c r="AN132" s="367"/>
      <c r="AO132" s="367"/>
      <c r="AP132" s="367"/>
      <c r="AQ132" s="133"/>
      <c r="AR132" s="28">
        <f t="shared" si="339"/>
        <v>0</v>
      </c>
      <c r="AS132" s="278">
        <f t="shared" si="340"/>
        <v>0</v>
      </c>
      <c r="AT132" s="277"/>
      <c r="AU132" s="277"/>
      <c r="AV132" s="277"/>
      <c r="AW132" s="277"/>
      <c r="AX132" s="277"/>
      <c r="AY132" s="282"/>
      <c r="AZ132" s="57"/>
      <c r="BA132" s="28"/>
      <c r="BB132" s="28"/>
      <c r="BC132" s="277"/>
      <c r="BD132" s="277"/>
      <c r="BE132" s="277"/>
      <c r="BF132" s="277"/>
      <c r="BG132" s="277"/>
      <c r="BH132" s="28"/>
      <c r="BI132" s="28"/>
      <c r="BJ132" s="28"/>
      <c r="BK132" s="28"/>
      <c r="BL132" s="28"/>
      <c r="BM132" s="28"/>
      <c r="BN132" s="28"/>
      <c r="BO132" s="11"/>
      <c r="BP132" s="78"/>
      <c r="BQ132" s="375"/>
      <c r="BR132" s="488" t="e">
        <f>AI132/AA132/7.186</f>
        <v>#DIV/0!</v>
      </c>
      <c r="BS132" s="489">
        <f t="shared" si="341"/>
        <v>0</v>
      </c>
      <c r="BT132" s="515">
        <f t="shared" si="342"/>
        <v>0</v>
      </c>
      <c r="BU132" s="515" t="e">
        <f t="shared" si="343"/>
        <v>#DIV/0!</v>
      </c>
      <c r="BV132" s="494" t="e">
        <f t="shared" si="344"/>
        <v>#DIV/0!</v>
      </c>
      <c r="BW132" s="28"/>
      <c r="BX132" s="28"/>
      <c r="BY132" s="28"/>
      <c r="BZ132" s="41"/>
      <c r="CA132" s="375"/>
      <c r="CB132" s="356"/>
      <c r="CC132" s="352"/>
      <c r="CD132" s="352"/>
      <c r="CE132" s="352"/>
      <c r="CF132" s="352"/>
      <c r="CG132" s="352"/>
      <c r="CH132" s="28"/>
      <c r="CI132" s="28"/>
      <c r="CJ132" s="28"/>
      <c r="CK132" s="28"/>
      <c r="CL132" s="41"/>
      <c r="CM132" s="57"/>
      <c r="CN132" s="16"/>
      <c r="CO132" s="28"/>
      <c r="CP132" s="41"/>
      <c r="CQ132" s="41"/>
      <c r="CR132" s="14"/>
      <c r="CS132" s="30"/>
      <c r="CT132" s="30"/>
      <c r="CU132" s="30"/>
      <c r="CV132" s="30"/>
      <c r="CW132" s="30"/>
      <c r="CX132" s="30"/>
      <c r="CY132" s="323" t="e">
        <f>CZ132-[181]Анализ!BC101</f>
        <v>#DIV/0!</v>
      </c>
      <c r="CZ132" s="310" t="e">
        <f t="shared" si="345"/>
        <v>#DIV/0!</v>
      </c>
      <c r="DA132" s="761" t="e">
        <f t="shared" si="346"/>
        <v>#DIV/0!</v>
      </c>
      <c r="DB132" s="771" t="e">
        <f t="shared" si="347"/>
        <v>#DIV/0!</v>
      </c>
      <c r="DC132" s="761"/>
      <c r="DD132" s="761"/>
      <c r="DE132" s="761"/>
      <c r="DF132" s="761"/>
      <c r="DG132" s="761"/>
      <c r="DH132" s="761"/>
      <c r="DI132" s="761">
        <f t="shared" si="348"/>
        <v>0</v>
      </c>
      <c r="DJ132" s="761"/>
      <c r="DK132" s="761"/>
      <c r="DL132" s="761"/>
      <c r="DM132" s="633" t="e">
        <f t="shared" si="349"/>
        <v>#DIV/0!</v>
      </c>
      <c r="DN132" s="20"/>
      <c r="DO132" s="69"/>
      <c r="DQ132" s="24"/>
    </row>
    <row r="133" spans="1:121" s="25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2" t="s">
        <v>383</v>
      </c>
      <c r="K133" s="196"/>
      <c r="L133" s="195"/>
      <c r="M133" s="184"/>
      <c r="N133" s="72"/>
      <c r="O133" s="19"/>
      <c r="P133" s="338"/>
      <c r="Q133" s="709"/>
      <c r="R133" s="709"/>
      <c r="S133" s="736"/>
      <c r="T133" s="720"/>
      <c r="U133" s="720"/>
      <c r="V133" s="720"/>
      <c r="W133" s="720"/>
      <c r="X133" s="661"/>
      <c r="Y133" s="337"/>
      <c r="Z133" s="330"/>
      <c r="AA133" s="334"/>
      <c r="AB133" s="18"/>
      <c r="AC133" s="11"/>
      <c r="AD133" s="11"/>
      <c r="AE133" s="11"/>
      <c r="AF133" s="14"/>
      <c r="AG133" s="75" t="e">
        <f t="shared" si="338"/>
        <v>#DIV/0!</v>
      </c>
      <c r="AH133" s="629"/>
      <c r="AI133" s="28"/>
      <c r="AJ133" s="28">
        <f t="shared" si="351"/>
        <v>0</v>
      </c>
      <c r="AK133" s="366"/>
      <c r="AL133" s="367"/>
      <c r="AM133" s="367"/>
      <c r="AN133" s="367"/>
      <c r="AO133" s="367"/>
      <c r="AP133" s="367"/>
      <c r="AQ133" s="133"/>
      <c r="AR133" s="28">
        <f t="shared" si="339"/>
        <v>0</v>
      </c>
      <c r="AS133" s="278">
        <f t="shared" si="340"/>
        <v>0</v>
      </c>
      <c r="AT133" s="277"/>
      <c r="AU133" s="277"/>
      <c r="AV133" s="277"/>
      <c r="AW133" s="277"/>
      <c r="AX133" s="277"/>
      <c r="AY133" s="282"/>
      <c r="AZ133" s="57"/>
      <c r="BA133" s="28"/>
      <c r="BB133" s="28"/>
      <c r="BC133" s="277"/>
      <c r="BD133" s="277"/>
      <c r="BE133" s="277"/>
      <c r="BF133" s="277"/>
      <c r="BG133" s="277"/>
      <c r="BH133" s="28"/>
      <c r="BI133" s="28"/>
      <c r="BJ133" s="28"/>
      <c r="BK133" s="28"/>
      <c r="BL133" s="28"/>
      <c r="BM133" s="28"/>
      <c r="BN133" s="28"/>
      <c r="BO133" s="11"/>
      <c r="BP133" s="78"/>
      <c r="BQ133" s="375"/>
      <c r="BR133" s="488" t="e">
        <f>AI133/AA133/7.185</f>
        <v>#DIV/0!</v>
      </c>
      <c r="BS133" s="489">
        <f t="shared" si="341"/>
        <v>0</v>
      </c>
      <c r="BT133" s="515">
        <f t="shared" si="342"/>
        <v>0</v>
      </c>
      <c r="BU133" s="515" t="e">
        <f t="shared" si="343"/>
        <v>#DIV/0!</v>
      </c>
      <c r="BV133" s="494" t="e">
        <f t="shared" si="344"/>
        <v>#DIV/0!</v>
      </c>
      <c r="BW133" s="28"/>
      <c r="BX133" s="28"/>
      <c r="BY133" s="28"/>
      <c r="BZ133" s="41"/>
      <c r="CA133" s="375"/>
      <c r="CB133" s="356"/>
      <c r="CC133" s="352"/>
      <c r="CD133" s="352"/>
      <c r="CE133" s="352"/>
      <c r="CF133" s="352"/>
      <c r="CG133" s="352"/>
      <c r="CH133" s="28"/>
      <c r="CI133" s="28"/>
      <c r="CJ133" s="28"/>
      <c r="CK133" s="28"/>
      <c r="CL133" s="41"/>
      <c r="CM133" s="57"/>
      <c r="CN133" s="16"/>
      <c r="CO133" s="28"/>
      <c r="CP133" s="41"/>
      <c r="CQ133" s="41"/>
      <c r="CR133" s="14"/>
      <c r="CS133" s="30"/>
      <c r="CT133" s="30"/>
      <c r="CU133" s="30"/>
      <c r="CV133" s="30"/>
      <c r="CW133" s="30"/>
      <c r="CX133" s="30"/>
      <c r="CY133" s="323" t="e">
        <f>CZ133-[181]Анализ!BC102</f>
        <v>#DIV/0!</v>
      </c>
      <c r="CZ133" s="310" t="e">
        <f t="shared" si="345"/>
        <v>#DIV/0!</v>
      </c>
      <c r="DA133" s="761" t="e">
        <f t="shared" si="346"/>
        <v>#DIV/0!</v>
      </c>
      <c r="DB133" s="771" t="e">
        <f t="shared" si="347"/>
        <v>#DIV/0!</v>
      </c>
      <c r="DC133" s="761"/>
      <c r="DD133" s="761"/>
      <c r="DE133" s="761"/>
      <c r="DF133" s="761"/>
      <c r="DG133" s="761"/>
      <c r="DH133" s="761"/>
      <c r="DI133" s="761">
        <f t="shared" si="348"/>
        <v>0</v>
      </c>
      <c r="DJ133" s="761"/>
      <c r="DK133" s="761"/>
      <c r="DL133" s="761"/>
      <c r="DM133" s="633" t="e">
        <f t="shared" si="349"/>
        <v>#DIV/0!</v>
      </c>
      <c r="DN133" s="20"/>
      <c r="DO133" s="69"/>
      <c r="DQ133" s="24"/>
    </row>
    <row r="134" spans="1:121" s="25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2" t="s">
        <v>382</v>
      </c>
      <c r="K134" s="196"/>
      <c r="L134" s="195"/>
      <c r="M134" s="184"/>
      <c r="N134" s="72"/>
      <c r="O134" s="19"/>
      <c r="P134" s="72"/>
      <c r="Q134" s="709"/>
      <c r="R134" s="709"/>
      <c r="S134" s="683"/>
      <c r="T134" s="652"/>
      <c r="U134" s="718"/>
      <c r="V134" s="718"/>
      <c r="W134" s="718"/>
      <c r="X134" s="661"/>
      <c r="Y134" s="337"/>
      <c r="Z134" s="330"/>
      <c r="AA134" s="334"/>
      <c r="AB134" s="18"/>
      <c r="AC134" s="11"/>
      <c r="AD134" s="11"/>
      <c r="AE134" s="11"/>
      <c r="AF134" s="14"/>
      <c r="AG134" s="75" t="e">
        <f t="shared" si="338"/>
        <v>#DIV/0!</v>
      </c>
      <c r="AH134" s="629"/>
      <c r="AI134" s="28"/>
      <c r="AJ134" s="28">
        <f t="shared" si="351"/>
        <v>0</v>
      </c>
      <c r="AK134" s="366"/>
      <c r="AL134" s="367"/>
      <c r="AM134" s="367"/>
      <c r="AN134" s="367"/>
      <c r="AO134" s="367"/>
      <c r="AP134" s="367"/>
      <c r="AQ134" s="133"/>
      <c r="AR134" s="28">
        <f t="shared" si="339"/>
        <v>0</v>
      </c>
      <c r="AS134" s="278">
        <f t="shared" si="340"/>
        <v>0</v>
      </c>
      <c r="AT134" s="277"/>
      <c r="AU134" s="277"/>
      <c r="AV134" s="277"/>
      <c r="AW134" s="277"/>
      <c r="AX134" s="277"/>
      <c r="AY134" s="282"/>
      <c r="AZ134" s="57"/>
      <c r="BA134" s="28"/>
      <c r="BB134" s="28"/>
      <c r="BC134" s="277"/>
      <c r="BD134" s="277"/>
      <c r="BE134" s="277"/>
      <c r="BF134" s="277"/>
      <c r="BG134" s="277"/>
      <c r="BH134" s="28"/>
      <c r="BI134" s="28"/>
      <c r="BJ134" s="28"/>
      <c r="BK134" s="28"/>
      <c r="BL134" s="28"/>
      <c r="BM134" s="28"/>
      <c r="BN134" s="28"/>
      <c r="BO134" s="11"/>
      <c r="BP134" s="78"/>
      <c r="BQ134" s="375"/>
      <c r="BR134" s="488" t="e">
        <f>AI134/AA134/7.1928</f>
        <v>#DIV/0!</v>
      </c>
      <c r="BS134" s="489">
        <f t="shared" si="341"/>
        <v>0</v>
      </c>
      <c r="BT134" s="515">
        <f t="shared" si="342"/>
        <v>0</v>
      </c>
      <c r="BU134" s="515" t="e">
        <f t="shared" si="343"/>
        <v>#DIV/0!</v>
      </c>
      <c r="BV134" s="494" t="e">
        <f t="shared" si="344"/>
        <v>#DIV/0!</v>
      </c>
      <c r="BW134" s="28"/>
      <c r="BX134" s="28"/>
      <c r="BY134" s="28"/>
      <c r="BZ134" s="41"/>
      <c r="CA134" s="375"/>
      <c r="CB134" s="356"/>
      <c r="CC134" s="352"/>
      <c r="CD134" s="352"/>
      <c r="CE134" s="352"/>
      <c r="CF134" s="352"/>
      <c r="CG134" s="352"/>
      <c r="CH134" s="28"/>
      <c r="CI134" s="28"/>
      <c r="CJ134" s="28"/>
      <c r="CK134" s="28"/>
      <c r="CL134" s="41"/>
      <c r="CM134" s="57"/>
      <c r="CN134" s="16"/>
      <c r="CO134" s="28"/>
      <c r="CP134" s="41"/>
      <c r="CQ134" s="41"/>
      <c r="CR134" s="14"/>
      <c r="CS134" s="30"/>
      <c r="CT134" s="30"/>
      <c r="CU134" s="30"/>
      <c r="CV134" s="30"/>
      <c r="CW134" s="30"/>
      <c r="CX134" s="30"/>
      <c r="CY134" s="323" t="e">
        <f>CZ134-[181]Анализ!BC103</f>
        <v>#DIV/0!</v>
      </c>
      <c r="CZ134" s="310" t="e">
        <f t="shared" si="345"/>
        <v>#DIV/0!</v>
      </c>
      <c r="DA134" s="761" t="e">
        <f t="shared" si="346"/>
        <v>#DIV/0!</v>
      </c>
      <c r="DB134" s="771" t="e">
        <f t="shared" si="347"/>
        <v>#DIV/0!</v>
      </c>
      <c r="DC134" s="761"/>
      <c r="DD134" s="761"/>
      <c r="DE134" s="761"/>
      <c r="DF134" s="761"/>
      <c r="DG134" s="761"/>
      <c r="DH134" s="761"/>
      <c r="DI134" s="761">
        <f t="shared" si="348"/>
        <v>0</v>
      </c>
      <c r="DJ134" s="761"/>
      <c r="DK134" s="761"/>
      <c r="DL134" s="761"/>
      <c r="DM134" s="633" t="e">
        <f t="shared" si="349"/>
        <v>#DIV/0!</v>
      </c>
      <c r="DN134" s="20"/>
      <c r="DO134" s="69"/>
      <c r="DQ134" s="24"/>
    </row>
    <row r="135" spans="1:121" s="25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2" t="s">
        <v>384</v>
      </c>
      <c r="K135" s="196"/>
      <c r="L135" s="195"/>
      <c r="M135" s="184"/>
      <c r="N135" s="72"/>
      <c r="O135" s="19"/>
      <c r="P135" s="72"/>
      <c r="Q135" s="709"/>
      <c r="R135" s="709"/>
      <c r="S135" s="683"/>
      <c r="T135" s="717"/>
      <c r="U135" s="718"/>
      <c r="V135" s="718"/>
      <c r="W135" s="718"/>
      <c r="X135" s="661"/>
      <c r="Y135" s="337"/>
      <c r="Z135" s="330"/>
      <c r="AA135" s="334"/>
      <c r="AB135" s="18"/>
      <c r="AC135" s="11"/>
      <c r="AD135" s="11"/>
      <c r="AE135" s="11"/>
      <c r="AF135" s="14"/>
      <c r="AG135" s="75" t="e">
        <f t="shared" si="338"/>
        <v>#DIV/0!</v>
      </c>
      <c r="AH135" s="629"/>
      <c r="AI135" s="28"/>
      <c r="AJ135" s="28">
        <f t="shared" si="351"/>
        <v>0</v>
      </c>
      <c r="AK135" s="366"/>
      <c r="AL135" s="367"/>
      <c r="AM135" s="367"/>
      <c r="AN135" s="367"/>
      <c r="AO135" s="367"/>
      <c r="AP135" s="367"/>
      <c r="AQ135" s="133"/>
      <c r="AR135" s="28">
        <f t="shared" si="339"/>
        <v>0</v>
      </c>
      <c r="AS135" s="278">
        <f t="shared" si="340"/>
        <v>0</v>
      </c>
      <c r="AT135" s="277"/>
      <c r="AU135" s="277"/>
      <c r="AV135" s="277"/>
      <c r="AW135" s="277"/>
      <c r="AX135" s="277"/>
      <c r="AY135" s="282"/>
      <c r="AZ135" s="57"/>
      <c r="BA135" s="28"/>
      <c r="BB135" s="28"/>
      <c r="BC135" s="277"/>
      <c r="BD135" s="277"/>
      <c r="BE135" s="277"/>
      <c r="BF135" s="277"/>
      <c r="BG135" s="277"/>
      <c r="BH135" s="28"/>
      <c r="BI135" s="28"/>
      <c r="BJ135" s="28"/>
      <c r="BK135" s="28"/>
      <c r="BL135" s="28"/>
      <c r="BM135" s="28"/>
      <c r="BN135" s="28"/>
      <c r="BO135" s="11"/>
      <c r="BP135" s="78"/>
      <c r="BQ135" s="375"/>
      <c r="BR135" s="488" t="e">
        <f>AI135/AA135/7.1805</f>
        <v>#DIV/0!</v>
      </c>
      <c r="BS135" s="489">
        <f t="shared" si="341"/>
        <v>0</v>
      </c>
      <c r="BT135" s="515">
        <f t="shared" si="342"/>
        <v>0</v>
      </c>
      <c r="BU135" s="515" t="e">
        <f t="shared" si="343"/>
        <v>#DIV/0!</v>
      </c>
      <c r="BV135" s="494" t="e">
        <f t="shared" si="344"/>
        <v>#DIV/0!</v>
      </c>
      <c r="BW135" s="28"/>
      <c r="BX135" s="28"/>
      <c r="BY135" s="28"/>
      <c r="BZ135" s="41"/>
      <c r="CA135" s="375"/>
      <c r="CB135" s="356"/>
      <c r="CC135" s="352"/>
      <c r="CD135" s="352"/>
      <c r="CE135" s="352"/>
      <c r="CF135" s="352"/>
      <c r="CG135" s="352"/>
      <c r="CH135" s="28"/>
      <c r="CI135" s="28"/>
      <c r="CJ135" s="28"/>
      <c r="CK135" s="28"/>
      <c r="CL135" s="41"/>
      <c r="CM135" s="57"/>
      <c r="CN135" s="16"/>
      <c r="CO135" s="28"/>
      <c r="CP135" s="41"/>
      <c r="CQ135" s="41"/>
      <c r="CR135" s="14"/>
      <c r="CS135" s="30"/>
      <c r="CT135" s="30"/>
      <c r="CU135" s="30"/>
      <c r="CV135" s="30"/>
      <c r="CW135" s="30"/>
      <c r="CX135" s="30"/>
      <c r="CY135" s="323" t="e">
        <f>CZ135-[181]Анализ!BC104</f>
        <v>#DIV/0!</v>
      </c>
      <c r="CZ135" s="310" t="e">
        <f t="shared" si="345"/>
        <v>#DIV/0!</v>
      </c>
      <c r="DA135" s="761" t="e">
        <f t="shared" si="346"/>
        <v>#DIV/0!</v>
      </c>
      <c r="DB135" s="771" t="e">
        <f t="shared" si="347"/>
        <v>#DIV/0!</v>
      </c>
      <c r="DC135" s="761"/>
      <c r="DD135" s="761"/>
      <c r="DE135" s="761"/>
      <c r="DF135" s="761"/>
      <c r="DG135" s="761"/>
      <c r="DH135" s="761"/>
      <c r="DI135" s="761">
        <f t="shared" si="348"/>
        <v>0</v>
      </c>
      <c r="DJ135" s="761"/>
      <c r="DK135" s="761"/>
      <c r="DL135" s="761"/>
      <c r="DM135" s="633" t="e">
        <f t="shared" si="349"/>
        <v>#DIV/0!</v>
      </c>
      <c r="DN135" s="20"/>
      <c r="DO135" s="69"/>
      <c r="DQ135" s="24"/>
    </row>
    <row r="136" spans="1:121" s="68" customFormat="1" ht="15.95" customHeight="1" x14ac:dyDescent="0.25">
      <c r="A136" s="1284"/>
      <c r="B136" s="1377"/>
      <c r="C136" s="1258"/>
      <c r="D136" s="1258"/>
      <c r="E136" s="1258"/>
      <c r="F136" s="1079"/>
      <c r="G136" s="1234"/>
      <c r="H136" s="1377"/>
      <c r="I136" s="1234"/>
      <c r="J136" s="1397" t="s">
        <v>385</v>
      </c>
      <c r="K136" s="1369"/>
      <c r="L136" s="1399"/>
      <c r="M136" s="1401"/>
      <c r="N136" s="22"/>
      <c r="O136" s="275"/>
      <c r="P136" s="22"/>
      <c r="Q136" s="709"/>
      <c r="R136" s="709"/>
      <c r="S136" s="736"/>
      <c r="T136" s="720"/>
      <c r="U136" s="720"/>
      <c r="V136" s="720"/>
      <c r="W136" s="720"/>
      <c r="X136" s="1371"/>
      <c r="Y136" s="1410"/>
      <c r="Z136" s="1417"/>
      <c r="AA136" s="1395"/>
      <c r="AB136" s="1377"/>
      <c r="AC136" s="1258"/>
      <c r="AD136" s="1258"/>
      <c r="AE136" s="1258"/>
      <c r="AF136" s="1234"/>
      <c r="AG136" s="1284" t="e">
        <f t="shared" si="338"/>
        <v>#DIV/0!</v>
      </c>
      <c r="AH136" s="629"/>
      <c r="AI136" s="1260"/>
      <c r="AJ136" s="1260">
        <f>AI136*Y136</f>
        <v>0</v>
      </c>
      <c r="AK136" s="1369"/>
      <c r="AL136" s="1260"/>
      <c r="AM136" s="361"/>
      <c r="AN136" s="361"/>
      <c r="AO136" s="361"/>
      <c r="AP136" s="1260"/>
      <c r="AQ136" s="90"/>
      <c r="AR136" s="1260">
        <f t="shared" si="339"/>
        <v>0</v>
      </c>
      <c r="AS136" s="1371">
        <f t="shared" si="340"/>
        <v>0</v>
      </c>
      <c r="AT136" s="1260"/>
      <c r="AU136" s="1260"/>
      <c r="AV136" s="275"/>
      <c r="AW136" s="275"/>
      <c r="AX136" s="275"/>
      <c r="AY136" s="1371"/>
      <c r="AZ136" s="1369"/>
      <c r="BA136" s="276"/>
      <c r="BB136" s="276"/>
      <c r="BC136" s="264"/>
      <c r="BD136" s="264"/>
      <c r="BE136" s="1244"/>
      <c r="BF136" s="1244"/>
      <c r="BG136" s="1258"/>
      <c r="BH136" s="275"/>
      <c r="BI136" s="275"/>
      <c r="BJ136" s="1260"/>
      <c r="BK136" s="1260"/>
      <c r="BL136" s="1260"/>
      <c r="BM136" s="1260"/>
      <c r="BN136" s="1260"/>
      <c r="BO136" s="1258"/>
      <c r="BP136" s="78"/>
      <c r="BQ136" s="372"/>
      <c r="BR136" s="1377" t="e">
        <f>AI136/AA136/7.19</f>
        <v>#DIV/0!</v>
      </c>
      <c r="BS136" s="1258">
        <f t="shared" si="341"/>
        <v>0</v>
      </c>
      <c r="BT136" s="515">
        <f t="shared" si="342"/>
        <v>0</v>
      </c>
      <c r="BU136" s="1381" t="e">
        <f t="shared" si="343"/>
        <v>#DIV/0!</v>
      </c>
      <c r="BV136" s="494" t="e">
        <f t="shared" si="344"/>
        <v>#DIV/0!</v>
      </c>
      <c r="BW136" s="91"/>
      <c r="BX136" s="506"/>
      <c r="BY136" s="506"/>
      <c r="BZ136" s="508"/>
      <c r="CA136" s="372"/>
      <c r="CB136" s="1369"/>
      <c r="CC136" s="1260"/>
      <c r="CD136" s="1260"/>
      <c r="CE136" s="353"/>
      <c r="CF136" s="353"/>
      <c r="CG136" s="353"/>
      <c r="CH136" s="1367"/>
      <c r="CI136" s="28"/>
      <c r="CJ136" s="28"/>
      <c r="CK136" s="28"/>
      <c r="CL136" s="41"/>
      <c r="CM136" s="1246"/>
      <c r="CN136" s="1367"/>
      <c r="CO136" s="28"/>
      <c r="CP136" s="1385"/>
      <c r="CQ136" s="41"/>
      <c r="CR136" s="1284"/>
      <c r="CS136" s="1260"/>
      <c r="CT136" s="1260"/>
      <c r="CU136" s="93"/>
      <c r="CV136" s="1260"/>
      <c r="CW136" s="1260"/>
      <c r="CX136" s="1260"/>
      <c r="CY136" s="1371"/>
      <c r="CZ136" s="1383" t="e">
        <f t="shared" si="345"/>
        <v>#DIV/0!</v>
      </c>
      <c r="DA136" s="1292" t="e">
        <f t="shared" si="346"/>
        <v>#DIV/0!</v>
      </c>
      <c r="DB136" s="770" t="e">
        <f t="shared" si="347"/>
        <v>#DIV/0!</v>
      </c>
      <c r="DC136" s="1292"/>
      <c r="DD136" s="763"/>
      <c r="DE136" s="763"/>
      <c r="DF136" s="763"/>
      <c r="DG136" s="763"/>
      <c r="DH136" s="763"/>
      <c r="DI136" s="1292">
        <f t="shared" si="348"/>
        <v>0</v>
      </c>
      <c r="DJ136" s="763"/>
      <c r="DK136" s="1292"/>
      <c r="DL136" s="763"/>
      <c r="DM136" s="1387" t="e">
        <f t="shared" si="349"/>
        <v>#DIV/0!</v>
      </c>
      <c r="DO136" s="69"/>
    </row>
    <row r="137" spans="1:121" s="68" customFormat="1" ht="15.95" customHeight="1" x14ac:dyDescent="0.25">
      <c r="A137" s="1285"/>
      <c r="B137" s="1391"/>
      <c r="C137" s="1259"/>
      <c r="D137" s="1259"/>
      <c r="E137" s="1259"/>
      <c r="F137" s="1080"/>
      <c r="G137" s="1235"/>
      <c r="H137" s="1391"/>
      <c r="I137" s="1235"/>
      <c r="J137" s="1398"/>
      <c r="K137" s="1370"/>
      <c r="L137" s="1400"/>
      <c r="M137" s="1402"/>
      <c r="N137" s="72"/>
      <c r="O137" s="91"/>
      <c r="P137" s="72"/>
      <c r="Q137" s="709">
        <f>P137-M136</f>
        <v>0</v>
      </c>
      <c r="R137" s="709">
        <f t="shared" si="337"/>
        <v>0</v>
      </c>
      <c r="S137" s="683"/>
      <c r="T137" s="717"/>
      <c r="U137" s="718"/>
      <c r="V137" s="718"/>
      <c r="W137" s="718"/>
      <c r="X137" s="1392"/>
      <c r="Y137" s="1411"/>
      <c r="Z137" s="1418"/>
      <c r="AA137" s="1396"/>
      <c r="AB137" s="1391"/>
      <c r="AC137" s="1259"/>
      <c r="AD137" s="1259"/>
      <c r="AE137" s="1259"/>
      <c r="AF137" s="1235"/>
      <c r="AG137" s="1285" t="e">
        <f t="shared" si="338"/>
        <v>#DIV/0!</v>
      </c>
      <c r="AH137" s="630"/>
      <c r="AI137" s="1261"/>
      <c r="AJ137" s="1261"/>
      <c r="AK137" s="1370"/>
      <c r="AL137" s="1261"/>
      <c r="AM137" s="362"/>
      <c r="AN137" s="362"/>
      <c r="AO137" s="362"/>
      <c r="AP137" s="1261"/>
      <c r="AQ137" s="92"/>
      <c r="AR137" s="1261"/>
      <c r="AS137" s="1372"/>
      <c r="AT137" s="1261"/>
      <c r="AU137" s="1261"/>
      <c r="AV137" s="276"/>
      <c r="AW137" s="276"/>
      <c r="AX137" s="276"/>
      <c r="AY137" s="1372"/>
      <c r="AZ137" s="1370"/>
      <c r="BA137" s="276"/>
      <c r="BB137" s="276"/>
      <c r="BC137" s="265"/>
      <c r="BD137" s="265"/>
      <c r="BE137" s="1245"/>
      <c r="BF137" s="1245"/>
      <c r="BG137" s="1259"/>
      <c r="BH137" s="276"/>
      <c r="BI137" s="276"/>
      <c r="BJ137" s="1261"/>
      <c r="BK137" s="1261"/>
      <c r="BL137" s="1380"/>
      <c r="BM137" s="1380"/>
      <c r="BN137" s="1380"/>
      <c r="BO137" s="1379"/>
      <c r="BP137" s="78"/>
      <c r="BQ137" s="372"/>
      <c r="BR137" s="1378"/>
      <c r="BS137" s="1379"/>
      <c r="BT137" s="525">
        <f t="shared" si="342"/>
        <v>0</v>
      </c>
      <c r="BU137" s="1382"/>
      <c r="BV137" s="499">
        <f t="shared" si="344"/>
        <v>0</v>
      </c>
      <c r="BW137" s="91"/>
      <c r="BX137" s="506"/>
      <c r="BY137" s="506"/>
      <c r="BZ137" s="508"/>
      <c r="CA137" s="372"/>
      <c r="CB137" s="1370"/>
      <c r="CC137" s="1261"/>
      <c r="CD137" s="1261"/>
      <c r="CE137" s="354"/>
      <c r="CF137" s="354"/>
      <c r="CG137" s="354"/>
      <c r="CH137" s="1368"/>
      <c r="CI137" s="546"/>
      <c r="CJ137" s="546"/>
      <c r="CK137" s="546"/>
      <c r="CL137" s="550"/>
      <c r="CM137" s="1247"/>
      <c r="CN137" s="1373"/>
      <c r="CO137" s="546"/>
      <c r="CP137" s="1386"/>
      <c r="CQ137" s="41"/>
      <c r="CR137" s="1285"/>
      <c r="CS137" s="1261"/>
      <c r="CT137" s="1261"/>
      <c r="CU137" s="60"/>
      <c r="CV137" s="1261"/>
      <c r="CW137" s="1261"/>
      <c r="CX137" s="1261"/>
      <c r="CY137" s="1372"/>
      <c r="CZ137" s="1384"/>
      <c r="DA137" s="1293"/>
      <c r="DB137" s="771"/>
      <c r="DC137" s="1293"/>
      <c r="DD137" s="761"/>
      <c r="DE137" s="761"/>
      <c r="DF137" s="761"/>
      <c r="DG137" s="761"/>
      <c r="DH137" s="761"/>
      <c r="DI137" s="1293">
        <f t="shared" si="348"/>
        <v>0</v>
      </c>
      <c r="DJ137" s="761"/>
      <c r="DK137" s="1293"/>
      <c r="DL137" s="761"/>
      <c r="DM137" s="1388">
        <f t="shared" si="349"/>
        <v>0</v>
      </c>
      <c r="DO137" s="69"/>
    </row>
    <row r="138" spans="1:121" s="68" customFormat="1" ht="15.95" customHeight="1" x14ac:dyDescent="0.25">
      <c r="A138" s="1377"/>
      <c r="B138" s="1377"/>
      <c r="C138" s="1258"/>
      <c r="D138" s="1258"/>
      <c r="E138" s="1258"/>
      <c r="F138" s="489"/>
      <c r="G138" s="1234"/>
      <c r="H138" s="1258"/>
      <c r="I138" s="1234"/>
      <c r="J138" s="1397" t="s">
        <v>385</v>
      </c>
      <c r="K138" s="1369"/>
      <c r="L138" s="1399"/>
      <c r="M138" s="1401"/>
      <c r="N138" s="22"/>
      <c r="O138" s="275"/>
      <c r="P138" s="22"/>
      <c r="Q138" s="737">
        <f>P138-M138</f>
        <v>0</v>
      </c>
      <c r="R138" s="737">
        <f t="shared" si="337"/>
        <v>0</v>
      </c>
      <c r="S138" s="683"/>
      <c r="T138" s="717"/>
      <c r="U138" s="718"/>
      <c r="V138" s="718"/>
      <c r="W138" s="718"/>
      <c r="X138" s="1371"/>
      <c r="Y138" s="1410"/>
      <c r="Z138" s="331"/>
      <c r="AA138" s="1395"/>
      <c r="AB138" s="1377"/>
      <c r="AC138" s="1258"/>
      <c r="AD138" s="1258"/>
      <c r="AE138" s="1258"/>
      <c r="AF138" s="1234"/>
      <c r="AG138" s="1284" t="e">
        <f t="shared" si="338"/>
        <v>#DIV/0!</v>
      </c>
      <c r="AH138" s="629"/>
      <c r="AI138" s="1260"/>
      <c r="AJ138" s="1260">
        <f t="shared" si="351"/>
        <v>0</v>
      </c>
      <c r="AK138" s="1369"/>
      <c r="AL138" s="1260"/>
      <c r="AM138" s="361"/>
      <c r="AN138" s="361"/>
      <c r="AO138" s="361"/>
      <c r="AP138" s="1260"/>
      <c r="AQ138" s="90"/>
      <c r="AR138" s="1260">
        <f>AI138*Z138</f>
        <v>0</v>
      </c>
      <c r="AS138" s="1371">
        <f t="shared" si="340"/>
        <v>0</v>
      </c>
      <c r="AT138" s="1260"/>
      <c r="AU138" s="1260"/>
      <c r="AV138" s="275"/>
      <c r="AW138" s="275"/>
      <c r="AX138" s="275"/>
      <c r="AY138" s="1371"/>
      <c r="AZ138" s="1369"/>
      <c r="BA138" s="276"/>
      <c r="BB138" s="276"/>
      <c r="BC138" s="264"/>
      <c r="BD138" s="264"/>
      <c r="BE138" s="1244"/>
      <c r="BF138" s="1244"/>
      <c r="BG138" s="1258"/>
      <c r="BH138" s="275"/>
      <c r="BI138" s="275"/>
      <c r="BJ138" s="1260"/>
      <c r="BK138" s="1260"/>
      <c r="BL138" s="1260"/>
      <c r="BM138" s="1260"/>
      <c r="BN138" s="1260"/>
      <c r="BO138" s="1258"/>
      <c r="BP138" s="78"/>
      <c r="BQ138" s="372"/>
      <c r="BR138" s="1377" t="e">
        <f>AI138/AA138/7.175</f>
        <v>#DIV/0!</v>
      </c>
      <c r="BS138" s="1258">
        <f>CN138-BO138</f>
        <v>0</v>
      </c>
      <c r="BT138" s="515">
        <f t="shared" si="342"/>
        <v>0</v>
      </c>
      <c r="BU138" s="1381" t="e">
        <f>BR138-BS138</f>
        <v>#DIV/0!</v>
      </c>
      <c r="BV138" s="494" t="e">
        <f t="shared" si="344"/>
        <v>#DIV/0!</v>
      </c>
      <c r="BW138" s="91"/>
      <c r="BX138" s="506"/>
      <c r="BY138" s="506"/>
      <c r="BZ138" s="508"/>
      <c r="CA138" s="372"/>
      <c r="CB138" s="1369"/>
      <c r="CC138" s="1260"/>
      <c r="CD138" s="1260"/>
      <c r="CE138" s="353"/>
      <c r="CF138" s="353"/>
      <c r="CG138" s="353"/>
      <c r="CH138" s="1367"/>
      <c r="CI138" s="28"/>
      <c r="CJ138" s="28"/>
      <c r="CK138" s="28"/>
      <c r="CL138" s="41"/>
      <c r="CM138" s="1246"/>
      <c r="CN138" s="1367"/>
      <c r="CO138" s="28"/>
      <c r="CP138" s="1385"/>
      <c r="CQ138" s="41"/>
      <c r="CR138" s="1284"/>
      <c r="CS138" s="1260"/>
      <c r="CT138" s="1260"/>
      <c r="CU138" s="93"/>
      <c r="CV138" s="1260"/>
      <c r="CW138" s="1260"/>
      <c r="CX138" s="1260"/>
      <c r="CY138" s="1371"/>
      <c r="CZ138" s="1383" t="e">
        <f>AI138/AA138/BR138</f>
        <v>#DIV/0!</v>
      </c>
      <c r="DA138" s="1292" t="e">
        <f>BU138*CZ138*AA138*CR138/1000/1000</f>
        <v>#DIV/0!</v>
      </c>
      <c r="DB138" s="770" t="e">
        <f>BV138*CZ138*AA138*CR138/1000/1000</f>
        <v>#DIV/0!</v>
      </c>
      <c r="DC138" s="1292"/>
      <c r="DD138" s="763"/>
      <c r="DE138" s="763"/>
      <c r="DF138" s="763"/>
      <c r="DG138" s="763"/>
      <c r="DH138" s="763"/>
      <c r="DI138" s="1292">
        <f t="shared" si="348"/>
        <v>0</v>
      </c>
      <c r="DJ138" s="763"/>
      <c r="DK138" s="1292"/>
      <c r="DL138" s="763"/>
      <c r="DM138" s="1387" t="e">
        <f t="shared" si="349"/>
        <v>#DIV/0!</v>
      </c>
      <c r="DO138" s="69"/>
    </row>
    <row r="139" spans="1:121" s="68" customFormat="1" ht="15.95" customHeight="1" x14ac:dyDescent="0.25">
      <c r="A139" s="1391"/>
      <c r="B139" s="1391"/>
      <c r="C139" s="1259"/>
      <c r="D139" s="1259"/>
      <c r="E139" s="1259"/>
      <c r="F139" s="490"/>
      <c r="G139" s="1235"/>
      <c r="H139" s="1259"/>
      <c r="I139" s="1235"/>
      <c r="J139" s="1398"/>
      <c r="K139" s="1370"/>
      <c r="L139" s="1400"/>
      <c r="M139" s="1402"/>
      <c r="N139" s="72"/>
      <c r="O139" s="91"/>
      <c r="P139" s="72"/>
      <c r="Q139" s="709">
        <f>P139-M138</f>
        <v>0</v>
      </c>
      <c r="R139" s="709">
        <f t="shared" si="337"/>
        <v>0</v>
      </c>
      <c r="S139" s="736"/>
      <c r="T139" s="738"/>
      <c r="U139" s="738"/>
      <c r="V139" s="738"/>
      <c r="W139" s="738"/>
      <c r="X139" s="1392"/>
      <c r="Y139" s="1411"/>
      <c r="Z139" s="332"/>
      <c r="AA139" s="1396"/>
      <c r="AB139" s="1391"/>
      <c r="AC139" s="1259"/>
      <c r="AD139" s="1259"/>
      <c r="AE139" s="1259"/>
      <c r="AF139" s="1235"/>
      <c r="AG139" s="1285" t="e">
        <f t="shared" si="338"/>
        <v>#DIV/0!</v>
      </c>
      <c r="AH139" s="630"/>
      <c r="AI139" s="1261"/>
      <c r="AJ139" s="1261"/>
      <c r="AK139" s="1370"/>
      <c r="AL139" s="1261"/>
      <c r="AM139" s="362"/>
      <c r="AN139" s="362"/>
      <c r="AO139" s="362"/>
      <c r="AP139" s="1261"/>
      <c r="AQ139" s="92"/>
      <c r="AR139" s="1261"/>
      <c r="AS139" s="1372"/>
      <c r="AT139" s="1261"/>
      <c r="AU139" s="1261"/>
      <c r="AV139" s="276"/>
      <c r="AW139" s="276"/>
      <c r="AX139" s="276"/>
      <c r="AY139" s="1372"/>
      <c r="AZ139" s="1370"/>
      <c r="BA139" s="276"/>
      <c r="BB139" s="276"/>
      <c r="BC139" s="265"/>
      <c r="BD139" s="265"/>
      <c r="BE139" s="1245"/>
      <c r="BF139" s="1245"/>
      <c r="BG139" s="1259"/>
      <c r="BH139" s="276"/>
      <c r="BI139" s="276"/>
      <c r="BJ139" s="1261"/>
      <c r="BK139" s="1261"/>
      <c r="BL139" s="1380"/>
      <c r="BM139" s="1380"/>
      <c r="BN139" s="1380"/>
      <c r="BO139" s="1379"/>
      <c r="BP139" s="78"/>
      <c r="BQ139" s="372"/>
      <c r="BR139" s="1378"/>
      <c r="BS139" s="1379"/>
      <c r="BT139" s="525">
        <f t="shared" si="342"/>
        <v>0</v>
      </c>
      <c r="BU139" s="1382"/>
      <c r="BV139" s="499">
        <f t="shared" si="344"/>
        <v>0</v>
      </c>
      <c r="BW139" s="91"/>
      <c r="BX139" s="506"/>
      <c r="BY139" s="506"/>
      <c r="BZ139" s="508"/>
      <c r="CA139" s="372"/>
      <c r="CB139" s="1370"/>
      <c r="CC139" s="1261"/>
      <c r="CD139" s="1261"/>
      <c r="CE139" s="354"/>
      <c r="CF139" s="354"/>
      <c r="CG139" s="354"/>
      <c r="CH139" s="1368"/>
      <c r="CI139" s="546"/>
      <c r="CJ139" s="546"/>
      <c r="CK139" s="546"/>
      <c r="CL139" s="550"/>
      <c r="CM139" s="1247"/>
      <c r="CN139" s="1373"/>
      <c r="CO139" s="546"/>
      <c r="CP139" s="1386"/>
      <c r="CQ139" s="41"/>
      <c r="CR139" s="1285"/>
      <c r="CS139" s="1261"/>
      <c r="CT139" s="1261"/>
      <c r="CU139" s="60"/>
      <c r="CV139" s="1261"/>
      <c r="CW139" s="1261"/>
      <c r="CX139" s="1261"/>
      <c r="CY139" s="1372"/>
      <c r="CZ139" s="1384"/>
      <c r="DA139" s="1293"/>
      <c r="DB139" s="771"/>
      <c r="DC139" s="1293"/>
      <c r="DD139" s="761"/>
      <c r="DE139" s="761"/>
      <c r="DF139" s="761"/>
      <c r="DG139" s="761"/>
      <c r="DH139" s="761"/>
      <c r="DI139" s="1293">
        <f t="shared" si="348"/>
        <v>0</v>
      </c>
      <c r="DJ139" s="761"/>
      <c r="DK139" s="1293"/>
      <c r="DL139" s="761"/>
      <c r="DM139" s="1388">
        <f t="shared" si="349"/>
        <v>0</v>
      </c>
      <c r="DO139" s="69"/>
    </row>
    <row r="140" spans="1:121" s="25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2" t="s">
        <v>384</v>
      </c>
      <c r="K140" s="196"/>
      <c r="L140" s="195"/>
      <c r="M140" s="184"/>
      <c r="N140" s="72"/>
      <c r="O140" s="19"/>
      <c r="P140" s="72"/>
      <c r="Q140" s="739">
        <f t="shared" si="350"/>
        <v>0</v>
      </c>
      <c r="R140" s="739">
        <f t="shared" si="337"/>
        <v>0</v>
      </c>
      <c r="S140" s="740"/>
      <c r="T140" s="717"/>
      <c r="U140" s="718"/>
      <c r="V140" s="718"/>
      <c r="W140" s="718"/>
      <c r="X140" s="661"/>
      <c r="Y140" s="337"/>
      <c r="Z140" s="330"/>
      <c r="AA140" s="334"/>
      <c r="AB140" s="18"/>
      <c r="AC140" s="11"/>
      <c r="AD140" s="11"/>
      <c r="AE140" s="11"/>
      <c r="AF140" s="14"/>
      <c r="AG140" s="75" t="e">
        <f t="shared" si="338"/>
        <v>#DIV/0!</v>
      </c>
      <c r="AH140" s="629"/>
      <c r="AI140" s="28"/>
      <c r="AJ140" s="28">
        <f t="shared" si="351"/>
        <v>0</v>
      </c>
      <c r="AK140" s="366"/>
      <c r="AL140" s="367"/>
      <c r="AM140" s="367"/>
      <c r="AN140" s="367"/>
      <c r="AO140" s="367"/>
      <c r="AP140" s="367"/>
      <c r="AQ140" s="133"/>
      <c r="AR140" s="28">
        <f>AI140*Z140</f>
        <v>0</v>
      </c>
      <c r="AS140" s="278">
        <f t="shared" si="340"/>
        <v>0</v>
      </c>
      <c r="AT140" s="277"/>
      <c r="AU140" s="277"/>
      <c r="AV140" s="277"/>
      <c r="AW140" s="277"/>
      <c r="AX140" s="277"/>
      <c r="AY140" s="282"/>
      <c r="AZ140" s="57"/>
      <c r="BA140" s="28"/>
      <c r="BB140" s="28"/>
      <c r="BC140" s="277"/>
      <c r="BD140" s="277"/>
      <c r="BE140" s="277"/>
      <c r="BF140" s="277"/>
      <c r="BG140" s="277"/>
      <c r="BH140" s="28"/>
      <c r="BI140" s="28"/>
      <c r="BJ140" s="28"/>
      <c r="BK140" s="28"/>
      <c r="BL140" s="28"/>
      <c r="BM140" s="28"/>
      <c r="BN140" s="28"/>
      <c r="BO140" s="11"/>
      <c r="BP140" s="78"/>
      <c r="BQ140" s="375"/>
      <c r="BR140" s="488" t="e">
        <f>AI140/AA140/7.1878</f>
        <v>#DIV/0!</v>
      </c>
      <c r="BS140" s="489">
        <f>CN140-BO140</f>
        <v>0</v>
      </c>
      <c r="BT140" s="515">
        <f t="shared" si="342"/>
        <v>0</v>
      </c>
      <c r="BU140" s="515" t="e">
        <f>BR140-BS140</f>
        <v>#DIV/0!</v>
      </c>
      <c r="BV140" s="494" t="e">
        <f t="shared" si="344"/>
        <v>#DIV/0!</v>
      </c>
      <c r="BW140" s="28"/>
      <c r="BX140" s="28"/>
      <c r="BY140" s="28"/>
      <c r="BZ140" s="41"/>
      <c r="CA140" s="375"/>
      <c r="CB140" s="356"/>
      <c r="CC140" s="352"/>
      <c r="CD140" s="352"/>
      <c r="CE140" s="352"/>
      <c r="CF140" s="352"/>
      <c r="CG140" s="352"/>
      <c r="CH140" s="28"/>
      <c r="CI140" s="28"/>
      <c r="CJ140" s="28"/>
      <c r="CK140" s="28"/>
      <c r="CL140" s="41"/>
      <c r="CM140" s="57"/>
      <c r="CN140" s="16"/>
      <c r="CO140" s="28"/>
      <c r="CP140" s="41"/>
      <c r="CQ140" s="41"/>
      <c r="CR140" s="14"/>
      <c r="CS140" s="30"/>
      <c r="CT140" s="30"/>
      <c r="CU140" s="30"/>
      <c r="CV140" s="30"/>
      <c r="CW140" s="30"/>
      <c r="CX140" s="30"/>
      <c r="CY140" s="323"/>
      <c r="CZ140" s="310" t="e">
        <f>AI140/AA140/BR140</f>
        <v>#DIV/0!</v>
      </c>
      <c r="DA140" s="761" t="e">
        <f>BU140*CZ140*AA140*CR140/1000/1000</f>
        <v>#DIV/0!</v>
      </c>
      <c r="DB140" s="771" t="e">
        <f>BV140*CZ140*AA140*CR140/1000/1000</f>
        <v>#DIV/0!</v>
      </c>
      <c r="DC140" s="761"/>
      <c r="DD140" s="761"/>
      <c r="DE140" s="761"/>
      <c r="DF140" s="761"/>
      <c r="DG140" s="761"/>
      <c r="DH140" s="761"/>
      <c r="DI140" s="761">
        <f t="shared" si="348"/>
        <v>0</v>
      </c>
      <c r="DJ140" s="761"/>
      <c r="DK140" s="761"/>
      <c r="DL140" s="761"/>
      <c r="DM140" s="633" t="e">
        <f t="shared" si="349"/>
        <v>#DIV/0!</v>
      </c>
      <c r="DN140" s="20"/>
      <c r="DO140" s="69"/>
      <c r="DQ140" s="24"/>
    </row>
    <row r="141" spans="1:121" s="68" customFormat="1" ht="15.95" customHeight="1" x14ac:dyDescent="0.25">
      <c r="A141" s="1377"/>
      <c r="B141" s="1377"/>
      <c r="C141" s="1258"/>
      <c r="D141" s="1258"/>
      <c r="E141" s="1258"/>
      <c r="F141" s="489"/>
      <c r="G141" s="1234"/>
      <c r="H141" s="1258"/>
      <c r="I141" s="1234"/>
      <c r="J141" s="1397" t="s">
        <v>385</v>
      </c>
      <c r="K141" s="1369"/>
      <c r="L141" s="1399"/>
      <c r="M141" s="1401"/>
      <c r="N141" s="22"/>
      <c r="O141" s="275"/>
      <c r="P141" s="22"/>
      <c r="Q141" s="709">
        <f>P141-M141</f>
        <v>0</v>
      </c>
      <c r="R141" s="709">
        <f t="shared" si="337"/>
        <v>0</v>
      </c>
      <c r="S141" s="740"/>
      <c r="T141" s="717"/>
      <c r="U141" s="718"/>
      <c r="V141" s="718"/>
      <c r="W141" s="718"/>
      <c r="X141" s="1371"/>
      <c r="Y141" s="1410"/>
      <c r="Z141" s="331"/>
      <c r="AA141" s="1395"/>
      <c r="AB141" s="1377"/>
      <c r="AC141" s="1258"/>
      <c r="AD141" s="1258"/>
      <c r="AE141" s="1258"/>
      <c r="AF141" s="1234"/>
      <c r="AG141" s="1284" t="e">
        <f>(AI141+AI142)/AA141/CZ141</f>
        <v>#DIV/0!</v>
      </c>
      <c r="AH141" s="629"/>
      <c r="AI141" s="91"/>
      <c r="AJ141" s="1260">
        <f t="shared" si="351"/>
        <v>0</v>
      </c>
      <c r="AK141" s="1369"/>
      <c r="AL141" s="1260"/>
      <c r="AM141" s="361"/>
      <c r="AN141" s="361"/>
      <c r="AO141" s="361"/>
      <c r="AP141" s="1260"/>
      <c r="AQ141" s="90"/>
      <c r="AR141" s="91">
        <f>AI141*Z141</f>
        <v>0</v>
      </c>
      <c r="AS141" s="287">
        <f t="shared" si="340"/>
        <v>0</v>
      </c>
      <c r="AT141" s="1260"/>
      <c r="AU141" s="1260"/>
      <c r="AV141" s="275"/>
      <c r="AW141" s="275"/>
      <c r="AX141" s="275"/>
      <c r="AY141" s="1371"/>
      <c r="AZ141" s="1369"/>
      <c r="BA141" s="276"/>
      <c r="BB141" s="276"/>
      <c r="BC141" s="264"/>
      <c r="BD141" s="264"/>
      <c r="BE141" s="1244"/>
      <c r="BF141" s="1244"/>
      <c r="BG141" s="1258"/>
      <c r="BH141" s="275"/>
      <c r="BI141" s="275"/>
      <c r="BJ141" s="1260"/>
      <c r="BK141" s="1260"/>
      <c r="BL141" s="1260"/>
      <c r="BM141" s="1260"/>
      <c r="BN141" s="1260"/>
      <c r="BO141" s="1258"/>
      <c r="BP141" s="78"/>
      <c r="BQ141" s="372"/>
      <c r="BR141" s="1377" t="e">
        <f>(AI141+AI142)/AA141/7.1846</f>
        <v>#DIV/0!</v>
      </c>
      <c r="BS141" s="1258">
        <f>CN141-BO141</f>
        <v>0</v>
      </c>
      <c r="BT141" s="515">
        <f t="shared" si="342"/>
        <v>0</v>
      </c>
      <c r="BU141" s="1381" t="e">
        <f>BR141-BS141</f>
        <v>#DIV/0!</v>
      </c>
      <c r="BV141" s="494" t="e">
        <f t="shared" si="344"/>
        <v>#DIV/0!</v>
      </c>
      <c r="BW141" s="91"/>
      <c r="BX141" s="506"/>
      <c r="BY141" s="506"/>
      <c r="BZ141" s="508"/>
      <c r="CA141" s="372"/>
      <c r="CB141" s="1369"/>
      <c r="CC141" s="1260"/>
      <c r="CD141" s="1260"/>
      <c r="CE141" s="353"/>
      <c r="CF141" s="353"/>
      <c r="CG141" s="353"/>
      <c r="CH141" s="1367"/>
      <c r="CI141" s="28"/>
      <c r="CJ141" s="28"/>
      <c r="CK141" s="28"/>
      <c r="CL141" s="41"/>
      <c r="CM141" s="1246"/>
      <c r="CN141" s="1367"/>
      <c r="CO141" s="28"/>
      <c r="CP141" s="1385"/>
      <c r="CQ141" s="41"/>
      <c r="CR141" s="1284"/>
      <c r="CS141" s="1260"/>
      <c r="CT141" s="1260"/>
      <c r="CU141" s="93"/>
      <c r="CV141" s="1260"/>
      <c r="CW141" s="1260"/>
      <c r="CX141" s="1260"/>
      <c r="CY141" s="1371"/>
      <c r="CZ141" s="1383" t="e">
        <f>(AI141+AI142)/AA141/BR141</f>
        <v>#DIV/0!</v>
      </c>
      <c r="DA141" s="1292" t="e">
        <f>BU141*CZ141*AA141*CR141/1000/1000</f>
        <v>#DIV/0!</v>
      </c>
      <c r="DB141" s="770" t="e">
        <f>BV141*CZ141*AA141*CR141/1000/1000</f>
        <v>#DIV/0!</v>
      </c>
      <c r="DC141" s="1292"/>
      <c r="DD141" s="763"/>
      <c r="DE141" s="763"/>
      <c r="DF141" s="763"/>
      <c r="DG141" s="763"/>
      <c r="DH141" s="763"/>
      <c r="DI141" s="1292">
        <f t="shared" si="348"/>
        <v>0</v>
      </c>
      <c r="DJ141" s="763"/>
      <c r="DK141" s="1292"/>
      <c r="DL141" s="763"/>
      <c r="DM141" s="1387" t="e">
        <f t="shared" si="349"/>
        <v>#DIV/0!</v>
      </c>
      <c r="DO141" s="69"/>
    </row>
    <row r="142" spans="1:121" s="68" customFormat="1" ht="15.95" customHeight="1" x14ac:dyDescent="0.25">
      <c r="A142" s="1391"/>
      <c r="B142" s="1391"/>
      <c r="C142" s="1259"/>
      <c r="D142" s="1259"/>
      <c r="E142" s="1259"/>
      <c r="F142" s="490"/>
      <c r="G142" s="1235"/>
      <c r="H142" s="1259"/>
      <c r="I142" s="1235"/>
      <c r="J142" s="1398"/>
      <c r="K142" s="1370"/>
      <c r="L142" s="1400"/>
      <c r="M142" s="1402"/>
      <c r="N142" s="72"/>
      <c r="O142" s="91"/>
      <c r="P142" s="72"/>
      <c r="Q142" s="709">
        <f>P142-M141</f>
        <v>0</v>
      </c>
      <c r="R142" s="709">
        <f t="shared" si="337"/>
        <v>0</v>
      </c>
      <c r="S142" s="740"/>
      <c r="T142" s="717"/>
      <c r="U142" s="718"/>
      <c r="V142" s="718"/>
      <c r="W142" s="718"/>
      <c r="X142" s="1392"/>
      <c r="Y142" s="1411"/>
      <c r="Z142" s="332"/>
      <c r="AA142" s="1396"/>
      <c r="AB142" s="1391"/>
      <c r="AC142" s="1259"/>
      <c r="AD142" s="1259"/>
      <c r="AE142" s="1259"/>
      <c r="AF142" s="1235"/>
      <c r="AG142" s="1285" t="e">
        <f>AI142/AA142/CZ142</f>
        <v>#DIV/0!</v>
      </c>
      <c r="AH142" s="630"/>
      <c r="AI142" s="91"/>
      <c r="AJ142" s="1261">
        <f>AI142*Y141</f>
        <v>0</v>
      </c>
      <c r="AK142" s="1370"/>
      <c r="AL142" s="1261"/>
      <c r="AM142" s="362"/>
      <c r="AN142" s="362"/>
      <c r="AO142" s="362"/>
      <c r="AP142" s="1261"/>
      <c r="AQ142" s="92"/>
      <c r="AR142" s="91">
        <f>AI142*Z142</f>
        <v>0</v>
      </c>
      <c r="AS142" s="287">
        <f t="shared" si="340"/>
        <v>0</v>
      </c>
      <c r="AT142" s="1261"/>
      <c r="AU142" s="1261"/>
      <c r="AV142" s="276"/>
      <c r="AW142" s="276"/>
      <c r="AX142" s="276"/>
      <c r="AY142" s="1372"/>
      <c r="AZ142" s="1370"/>
      <c r="BA142" s="276"/>
      <c r="BB142" s="276"/>
      <c r="BC142" s="265"/>
      <c r="BD142" s="265"/>
      <c r="BE142" s="1245"/>
      <c r="BF142" s="1245"/>
      <c r="BG142" s="1259"/>
      <c r="BH142" s="276"/>
      <c r="BI142" s="276"/>
      <c r="BJ142" s="1261"/>
      <c r="BK142" s="1261"/>
      <c r="BL142" s="1380"/>
      <c r="BM142" s="1380"/>
      <c r="BN142" s="1380"/>
      <c r="BO142" s="1379"/>
      <c r="BP142" s="78"/>
      <c r="BQ142" s="372"/>
      <c r="BR142" s="1378"/>
      <c r="BS142" s="1379"/>
      <c r="BT142" s="525">
        <f t="shared" si="342"/>
        <v>0</v>
      </c>
      <c r="BU142" s="1382"/>
      <c r="BV142" s="499">
        <f t="shared" si="344"/>
        <v>0</v>
      </c>
      <c r="BW142" s="91"/>
      <c r="BX142" s="506"/>
      <c r="BY142" s="506"/>
      <c r="BZ142" s="508"/>
      <c r="CA142" s="372"/>
      <c r="CB142" s="1370"/>
      <c r="CC142" s="1261"/>
      <c r="CD142" s="1261"/>
      <c r="CE142" s="354"/>
      <c r="CF142" s="354"/>
      <c r="CG142" s="354"/>
      <c r="CH142" s="1368"/>
      <c r="CI142" s="546"/>
      <c r="CJ142" s="546"/>
      <c r="CK142" s="546"/>
      <c r="CL142" s="550"/>
      <c r="CM142" s="1247"/>
      <c r="CN142" s="1373"/>
      <c r="CO142" s="546"/>
      <c r="CP142" s="1386"/>
      <c r="CQ142" s="41"/>
      <c r="CR142" s="1285"/>
      <c r="CS142" s="1261"/>
      <c r="CT142" s="1261"/>
      <c r="CU142" s="60"/>
      <c r="CV142" s="1261"/>
      <c r="CW142" s="1261"/>
      <c r="CX142" s="1261"/>
      <c r="CY142" s="1372"/>
      <c r="CZ142" s="1384"/>
      <c r="DA142" s="1293"/>
      <c r="DB142" s="771"/>
      <c r="DC142" s="1293"/>
      <c r="DD142" s="761"/>
      <c r="DE142" s="761"/>
      <c r="DF142" s="761"/>
      <c r="DG142" s="761"/>
      <c r="DH142" s="761"/>
      <c r="DI142" s="1293">
        <f t="shared" si="348"/>
        <v>0</v>
      </c>
      <c r="DJ142" s="761"/>
      <c r="DK142" s="1293"/>
      <c r="DL142" s="761"/>
      <c r="DM142" s="1388">
        <f t="shared" si="349"/>
        <v>0</v>
      </c>
      <c r="DO142" s="69"/>
    </row>
    <row r="143" spans="1:121" s="25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2" t="s">
        <v>384</v>
      </c>
      <c r="K143" s="196"/>
      <c r="L143" s="195"/>
      <c r="M143" s="184"/>
      <c r="N143" s="72"/>
      <c r="O143" s="19"/>
      <c r="P143" s="72"/>
      <c r="Q143" s="709">
        <v>30</v>
      </c>
      <c r="R143" s="679">
        <f t="shared" si="337"/>
        <v>0</v>
      </c>
      <c r="S143" s="736"/>
      <c r="T143" s="717"/>
      <c r="U143" s="718"/>
      <c r="V143" s="718"/>
      <c r="W143" s="718"/>
      <c r="X143" s="661"/>
      <c r="Y143" s="337"/>
      <c r="Z143" s="330"/>
      <c r="AA143" s="334"/>
      <c r="AB143" s="18"/>
      <c r="AC143" s="11"/>
      <c r="AD143" s="11"/>
      <c r="AE143" s="11"/>
      <c r="AF143" s="14"/>
      <c r="AG143" s="75" t="e">
        <f>AI143/AA143/CZ143</f>
        <v>#DIV/0!</v>
      </c>
      <c r="AH143" s="629"/>
      <c r="AI143" s="28"/>
      <c r="AJ143" s="28">
        <f t="shared" si="351"/>
        <v>0</v>
      </c>
      <c r="AK143" s="366"/>
      <c r="AL143" s="367"/>
      <c r="AM143" s="367"/>
      <c r="AN143" s="367"/>
      <c r="AO143" s="367"/>
      <c r="AP143" s="367"/>
      <c r="AQ143" s="133"/>
      <c r="AR143" s="28">
        <f>AI143*Z143</f>
        <v>0</v>
      </c>
      <c r="AS143" s="278">
        <f t="shared" si="340"/>
        <v>0</v>
      </c>
      <c r="AT143" s="277"/>
      <c r="AU143" s="277"/>
      <c r="AV143" s="277"/>
      <c r="AW143" s="277"/>
      <c r="AX143" s="277"/>
      <c r="AY143" s="282"/>
      <c r="AZ143" s="57"/>
      <c r="BA143" s="28"/>
      <c r="BB143" s="28"/>
      <c r="BC143" s="277"/>
      <c r="BD143" s="277"/>
      <c r="BE143" s="277"/>
      <c r="BF143" s="277"/>
      <c r="BG143" s="277"/>
      <c r="BH143" s="28"/>
      <c r="BI143" s="28"/>
      <c r="BJ143" s="28"/>
      <c r="BK143" s="28"/>
      <c r="BL143" s="28"/>
      <c r="BM143" s="28"/>
      <c r="BN143" s="28"/>
      <c r="BO143" s="11"/>
      <c r="BP143" s="78"/>
      <c r="BQ143" s="375"/>
      <c r="BR143" s="488" t="e">
        <f>AI143/AA143/7.1646</f>
        <v>#DIV/0!</v>
      </c>
      <c r="BS143" s="489">
        <f>CN143-BO143</f>
        <v>0</v>
      </c>
      <c r="BT143" s="515">
        <f t="shared" si="342"/>
        <v>0</v>
      </c>
      <c r="BU143" s="515" t="e">
        <f>BR143-BS143</f>
        <v>#DIV/0!</v>
      </c>
      <c r="BV143" s="494" t="e">
        <f t="shared" si="344"/>
        <v>#DIV/0!</v>
      </c>
      <c r="BW143" s="28"/>
      <c r="BX143" s="28"/>
      <c r="BY143" s="28"/>
      <c r="BZ143" s="41"/>
      <c r="CA143" s="375"/>
      <c r="CB143" s="356"/>
      <c r="CC143" s="352"/>
      <c r="CD143" s="352"/>
      <c r="CE143" s="352"/>
      <c r="CF143" s="352"/>
      <c r="CG143" s="352"/>
      <c r="CH143" s="28"/>
      <c r="CI143" s="28"/>
      <c r="CJ143" s="28"/>
      <c r="CK143" s="28"/>
      <c r="CL143" s="41"/>
      <c r="CM143" s="57"/>
      <c r="CN143" s="16"/>
      <c r="CO143" s="28"/>
      <c r="CP143" s="41"/>
      <c r="CQ143" s="41"/>
      <c r="CR143" s="14"/>
      <c r="CS143" s="30"/>
      <c r="CT143" s="30"/>
      <c r="CU143" s="30"/>
      <c r="CV143" s="30"/>
      <c r="CW143" s="30"/>
      <c r="CX143" s="30"/>
      <c r="CY143" s="323"/>
      <c r="CZ143" s="310" t="e">
        <f>AI143/AA143/BR143</f>
        <v>#DIV/0!</v>
      </c>
      <c r="DA143" s="761" t="e">
        <f>BU143*CZ143*AA143*CR143/1000/1000</f>
        <v>#DIV/0!</v>
      </c>
      <c r="DB143" s="771" t="e">
        <f>BV143*CZ143*AA143*CR143/1000/1000</f>
        <v>#DIV/0!</v>
      </c>
      <c r="DC143" s="761"/>
      <c r="DD143" s="761"/>
      <c r="DE143" s="761"/>
      <c r="DF143" s="761"/>
      <c r="DG143" s="761"/>
      <c r="DH143" s="761"/>
      <c r="DI143" s="761">
        <f t="shared" si="348"/>
        <v>0</v>
      </c>
      <c r="DJ143" s="761"/>
      <c r="DK143" s="761"/>
      <c r="DL143" s="761"/>
      <c r="DM143" s="633" t="e">
        <f t="shared" si="349"/>
        <v>#DIV/0!</v>
      </c>
      <c r="DN143" s="20"/>
      <c r="DO143" s="69"/>
      <c r="DQ143" s="24"/>
    </row>
    <row r="144" spans="1:121" s="68" customFormat="1" ht="15.95" customHeight="1" x14ac:dyDescent="0.25">
      <c r="A144" s="1377"/>
      <c r="B144" s="1377"/>
      <c r="C144" s="1258"/>
      <c r="D144" s="1258"/>
      <c r="E144" s="1258"/>
      <c r="F144" s="489"/>
      <c r="G144" s="1234"/>
      <c r="H144" s="1258"/>
      <c r="I144" s="1234"/>
      <c r="J144" s="1397" t="s">
        <v>388</v>
      </c>
      <c r="K144" s="1369"/>
      <c r="L144" s="1399"/>
      <c r="M144" s="1401"/>
      <c r="N144" s="22"/>
      <c r="O144" s="275"/>
      <c r="P144" s="22"/>
      <c r="Q144" s="709">
        <f>P144-M144</f>
        <v>0</v>
      </c>
      <c r="R144" s="709">
        <f t="shared" si="337"/>
        <v>0</v>
      </c>
      <c r="S144" s="740"/>
      <c r="T144" s="717"/>
      <c r="U144" s="718"/>
      <c r="V144" s="718"/>
      <c r="W144" s="718"/>
      <c r="X144" s="1371"/>
      <c r="Y144" s="1410"/>
      <c r="Z144" s="331"/>
      <c r="AA144" s="1395"/>
      <c r="AB144" s="1377"/>
      <c r="AC144" s="1258"/>
      <c r="AD144" s="1258"/>
      <c r="AE144" s="1258"/>
      <c r="AF144" s="1234"/>
      <c r="AG144" s="1284" t="e">
        <f>(AI144+AI145)/AA144/CZ144</f>
        <v>#DIV/0!</v>
      </c>
      <c r="AH144" s="629"/>
      <c r="AI144" s="91"/>
      <c r="AJ144" s="1260">
        <f t="shared" si="351"/>
        <v>0</v>
      </c>
      <c r="AK144" s="1369"/>
      <c r="AL144" s="1260"/>
      <c r="AM144" s="361"/>
      <c r="AN144" s="361"/>
      <c r="AO144" s="361"/>
      <c r="AP144" s="1260"/>
      <c r="AQ144" s="90"/>
      <c r="AR144" s="91">
        <f>AI144*Z144</f>
        <v>0</v>
      </c>
      <c r="AS144" s="287">
        <f t="shared" si="340"/>
        <v>0</v>
      </c>
      <c r="AT144" s="1260"/>
      <c r="AU144" s="1260"/>
      <c r="AV144" s="275"/>
      <c r="AW144" s="275"/>
      <c r="AX144" s="275"/>
      <c r="AY144" s="1371"/>
      <c r="AZ144" s="1369"/>
      <c r="BA144" s="276"/>
      <c r="BB144" s="276"/>
      <c r="BC144" s="264"/>
      <c r="BD144" s="264"/>
      <c r="BE144" s="1244"/>
      <c r="BF144" s="1244"/>
      <c r="BG144" s="1258"/>
      <c r="BH144" s="275"/>
      <c r="BI144" s="275"/>
      <c r="BJ144" s="1260"/>
      <c r="BK144" s="1260"/>
      <c r="BL144" s="1260"/>
      <c r="BM144" s="1260"/>
      <c r="BN144" s="1260"/>
      <c r="BO144" s="1258"/>
      <c r="BP144" s="78"/>
      <c r="BQ144" s="372"/>
      <c r="BR144" s="1377" t="e">
        <f>(AI144+AI145)/AA144/7.1982</f>
        <v>#DIV/0!</v>
      </c>
      <c r="BS144" s="1258">
        <f>CN144-BO144</f>
        <v>0</v>
      </c>
      <c r="BT144" s="515">
        <f t="shared" si="342"/>
        <v>0</v>
      </c>
      <c r="BU144" s="1381" t="e">
        <f>BR144-BS144</f>
        <v>#DIV/0!</v>
      </c>
      <c r="BV144" s="494" t="e">
        <f t="shared" si="344"/>
        <v>#DIV/0!</v>
      </c>
      <c r="BW144" s="91"/>
      <c r="BX144" s="506"/>
      <c r="BY144" s="506"/>
      <c r="BZ144" s="508"/>
      <c r="CA144" s="372"/>
      <c r="CB144" s="1369"/>
      <c r="CC144" s="1260"/>
      <c r="CD144" s="1260"/>
      <c r="CE144" s="353"/>
      <c r="CF144" s="353"/>
      <c r="CG144" s="353"/>
      <c r="CH144" s="1367"/>
      <c r="CI144" s="28"/>
      <c r="CJ144" s="28"/>
      <c r="CK144" s="28"/>
      <c r="CL144" s="41"/>
      <c r="CM144" s="1246"/>
      <c r="CN144" s="1367"/>
      <c r="CO144" s="28"/>
      <c r="CP144" s="1385"/>
      <c r="CQ144" s="41"/>
      <c r="CR144" s="1284"/>
      <c r="CS144" s="1260"/>
      <c r="CT144" s="1260"/>
      <c r="CU144" s="93"/>
      <c r="CV144" s="1260"/>
      <c r="CW144" s="1260"/>
      <c r="CX144" s="1260"/>
      <c r="CY144" s="1371"/>
      <c r="CZ144" s="1383" t="e">
        <f>(AI144+AI145)/AA144/BR144</f>
        <v>#DIV/0!</v>
      </c>
      <c r="DA144" s="1292" t="e">
        <f>BU144*CZ144*AA144*CR144/1000/1000</f>
        <v>#DIV/0!</v>
      </c>
      <c r="DB144" s="770" t="e">
        <f>BV144*CZ144*AA144*CR144/1000/1000</f>
        <v>#DIV/0!</v>
      </c>
      <c r="DC144" s="1292"/>
      <c r="DD144" s="763"/>
      <c r="DE144" s="763"/>
      <c r="DF144" s="763"/>
      <c r="DG144" s="763"/>
      <c r="DH144" s="763"/>
      <c r="DI144" s="1292">
        <f t="shared" si="348"/>
        <v>0</v>
      </c>
      <c r="DJ144" s="763"/>
      <c r="DK144" s="1292"/>
      <c r="DL144" s="763"/>
      <c r="DM144" s="1387" t="e">
        <f t="shared" si="349"/>
        <v>#DIV/0!</v>
      </c>
      <c r="DO144" s="69"/>
    </row>
    <row r="145" spans="1:121" s="68" customFormat="1" ht="15.95" customHeight="1" x14ac:dyDescent="0.25">
      <c r="A145" s="1391"/>
      <c r="B145" s="1391"/>
      <c r="C145" s="1259"/>
      <c r="D145" s="1259"/>
      <c r="E145" s="1259"/>
      <c r="F145" s="490"/>
      <c r="G145" s="1235"/>
      <c r="H145" s="1259"/>
      <c r="I145" s="1235"/>
      <c r="J145" s="1398"/>
      <c r="K145" s="1370"/>
      <c r="L145" s="1400"/>
      <c r="M145" s="1402"/>
      <c r="N145" s="72"/>
      <c r="O145" s="91"/>
      <c r="P145" s="72"/>
      <c r="Q145" s="709">
        <f>P145-M144</f>
        <v>0</v>
      </c>
      <c r="R145" s="741">
        <f t="shared" si="337"/>
        <v>0</v>
      </c>
      <c r="S145" s="736"/>
      <c r="T145" s="717"/>
      <c r="U145" s="718"/>
      <c r="V145" s="718"/>
      <c r="W145" s="718"/>
      <c r="X145" s="1392"/>
      <c r="Y145" s="1411"/>
      <c r="Z145" s="332"/>
      <c r="AA145" s="1396"/>
      <c r="AB145" s="1391"/>
      <c r="AC145" s="1259"/>
      <c r="AD145" s="1259"/>
      <c r="AE145" s="1259"/>
      <c r="AF145" s="1235"/>
      <c r="AG145" s="1285" t="e">
        <f>AI145/AA145/CZ145</f>
        <v>#DIV/0!</v>
      </c>
      <c r="AH145" s="630"/>
      <c r="AI145" s="91"/>
      <c r="AJ145" s="1261">
        <f>AI145*Y144</f>
        <v>0</v>
      </c>
      <c r="AK145" s="1370"/>
      <c r="AL145" s="1261"/>
      <c r="AM145" s="362"/>
      <c r="AN145" s="362"/>
      <c r="AO145" s="362"/>
      <c r="AP145" s="1261"/>
      <c r="AQ145" s="92"/>
      <c r="AR145" s="91">
        <f>AI145*Z144</f>
        <v>0</v>
      </c>
      <c r="AS145" s="287">
        <f t="shared" si="340"/>
        <v>0</v>
      </c>
      <c r="AT145" s="1261"/>
      <c r="AU145" s="1261"/>
      <c r="AV145" s="276"/>
      <c r="AW145" s="276"/>
      <c r="AX145" s="276"/>
      <c r="AY145" s="1372"/>
      <c r="AZ145" s="1370"/>
      <c r="BA145" s="276"/>
      <c r="BB145" s="276"/>
      <c r="BC145" s="265"/>
      <c r="BD145" s="265"/>
      <c r="BE145" s="1245"/>
      <c r="BF145" s="1245"/>
      <c r="BG145" s="1259"/>
      <c r="BH145" s="276"/>
      <c r="BI145" s="276"/>
      <c r="BJ145" s="1261"/>
      <c r="BK145" s="1261"/>
      <c r="BL145" s="1380"/>
      <c r="BM145" s="1380"/>
      <c r="BN145" s="1380"/>
      <c r="BO145" s="1379"/>
      <c r="BP145" s="78"/>
      <c r="BQ145" s="372"/>
      <c r="BR145" s="1378"/>
      <c r="BS145" s="1379"/>
      <c r="BT145" s="525">
        <f t="shared" si="342"/>
        <v>0</v>
      </c>
      <c r="BU145" s="1382"/>
      <c r="BV145" s="499">
        <f t="shared" si="344"/>
        <v>0</v>
      </c>
      <c r="BW145" s="91"/>
      <c r="BX145" s="506"/>
      <c r="BY145" s="506"/>
      <c r="BZ145" s="508"/>
      <c r="CA145" s="372"/>
      <c r="CB145" s="1370"/>
      <c r="CC145" s="1261"/>
      <c r="CD145" s="1261"/>
      <c r="CE145" s="354"/>
      <c r="CF145" s="354"/>
      <c r="CG145" s="354"/>
      <c r="CH145" s="1368"/>
      <c r="CI145" s="546"/>
      <c r="CJ145" s="546"/>
      <c r="CK145" s="546"/>
      <c r="CL145" s="550"/>
      <c r="CM145" s="1247"/>
      <c r="CN145" s="1373"/>
      <c r="CO145" s="546"/>
      <c r="CP145" s="1386"/>
      <c r="CQ145" s="41"/>
      <c r="CR145" s="1285"/>
      <c r="CS145" s="1261"/>
      <c r="CT145" s="1261"/>
      <c r="CU145" s="60"/>
      <c r="CV145" s="1261"/>
      <c r="CW145" s="1261"/>
      <c r="CX145" s="1261"/>
      <c r="CY145" s="1372"/>
      <c r="CZ145" s="1384"/>
      <c r="DA145" s="1293"/>
      <c r="DB145" s="771"/>
      <c r="DC145" s="1293"/>
      <c r="DD145" s="761"/>
      <c r="DE145" s="761"/>
      <c r="DF145" s="761"/>
      <c r="DG145" s="761"/>
      <c r="DH145" s="761"/>
      <c r="DI145" s="1293">
        <f t="shared" si="348"/>
        <v>0</v>
      </c>
      <c r="DJ145" s="761"/>
      <c r="DK145" s="1293"/>
      <c r="DL145" s="761"/>
      <c r="DM145" s="1388">
        <f t="shared" si="349"/>
        <v>0</v>
      </c>
      <c r="DO145" s="69"/>
    </row>
    <row r="146" spans="1:121" s="25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2" t="s">
        <v>386</v>
      </c>
      <c r="K146" s="196"/>
      <c r="L146" s="195"/>
      <c r="M146" s="184"/>
      <c r="N146" s="72"/>
      <c r="O146" s="19"/>
      <c r="P146" s="72"/>
      <c r="Q146" s="709">
        <f>P146-M146</f>
        <v>0</v>
      </c>
      <c r="R146" s="679">
        <f t="shared" si="337"/>
        <v>0</v>
      </c>
      <c r="S146" s="736"/>
      <c r="T146" s="720"/>
      <c r="U146" s="720"/>
      <c r="V146" s="720"/>
      <c r="W146" s="720"/>
      <c r="X146" s="661"/>
      <c r="Y146" s="337"/>
      <c r="Z146" s="330"/>
      <c r="AA146" s="334"/>
      <c r="AB146" s="18"/>
      <c r="AC146" s="11"/>
      <c r="AD146" s="11"/>
      <c r="AE146" s="11"/>
      <c r="AF146" s="14"/>
      <c r="AG146" s="75" t="e">
        <f>AI146/AA146/CZ146</f>
        <v>#DIV/0!</v>
      </c>
      <c r="AH146" s="629"/>
      <c r="AI146" s="28"/>
      <c r="AJ146" s="28">
        <f t="shared" si="351"/>
        <v>0</v>
      </c>
      <c r="AK146" s="366"/>
      <c r="AL146" s="367"/>
      <c r="AM146" s="367"/>
      <c r="AN146" s="367"/>
      <c r="AO146" s="367"/>
      <c r="AP146" s="367"/>
      <c r="AQ146" s="133"/>
      <c r="AR146" s="28">
        <f t="shared" ref="AR146:AR150" si="352">AI146*Z146</f>
        <v>0</v>
      </c>
      <c r="AS146" s="278">
        <f t="shared" si="340"/>
        <v>0</v>
      </c>
      <c r="AT146" s="277"/>
      <c r="AU146" s="277"/>
      <c r="AV146" s="277"/>
      <c r="AW146" s="277"/>
      <c r="AX146" s="277"/>
      <c r="AY146" s="282"/>
      <c r="AZ146" s="57"/>
      <c r="BA146" s="28"/>
      <c r="BB146" s="28"/>
      <c r="BC146" s="277"/>
      <c r="BD146" s="277"/>
      <c r="BE146" s="277"/>
      <c r="BF146" s="277"/>
      <c r="BG146" s="277"/>
      <c r="BH146" s="28"/>
      <c r="BI146" s="28"/>
      <c r="BJ146" s="28"/>
      <c r="BK146" s="28"/>
      <c r="BL146" s="28"/>
      <c r="BM146" s="28"/>
      <c r="BN146" s="28"/>
      <c r="BO146" s="11"/>
      <c r="BP146" s="78"/>
      <c r="BQ146" s="375"/>
      <c r="BR146" s="488" t="e">
        <f>AI146/AA146/7.1838</f>
        <v>#DIV/0!</v>
      </c>
      <c r="BS146" s="489">
        <f>CN146-BO146</f>
        <v>0</v>
      </c>
      <c r="BT146" s="515">
        <f t="shared" si="342"/>
        <v>0</v>
      </c>
      <c r="BU146" s="515" t="e">
        <f>BR146-BS146</f>
        <v>#DIV/0!</v>
      </c>
      <c r="BV146" s="494" t="e">
        <f t="shared" si="344"/>
        <v>#DIV/0!</v>
      </c>
      <c r="BW146" s="28"/>
      <c r="BX146" s="28"/>
      <c r="BY146" s="28"/>
      <c r="BZ146" s="41"/>
      <c r="CA146" s="375"/>
      <c r="CB146" s="356"/>
      <c r="CC146" s="352"/>
      <c r="CD146" s="352"/>
      <c r="CE146" s="352"/>
      <c r="CF146" s="352"/>
      <c r="CG146" s="352"/>
      <c r="CH146" s="28"/>
      <c r="CI146" s="28"/>
      <c r="CJ146" s="28"/>
      <c r="CK146" s="28"/>
      <c r="CL146" s="41"/>
      <c r="CM146" s="57"/>
      <c r="CN146" s="16"/>
      <c r="CO146" s="28"/>
      <c r="CP146" s="41"/>
      <c r="CQ146" s="41"/>
      <c r="CR146" s="14"/>
      <c r="CS146" s="30"/>
      <c r="CT146" s="30"/>
      <c r="CU146" s="30"/>
      <c r="CV146" s="30"/>
      <c r="CW146" s="30"/>
      <c r="CX146" s="30"/>
      <c r="CY146" s="323"/>
      <c r="CZ146" s="310" t="e">
        <f>AI146/AA146/BR146</f>
        <v>#DIV/0!</v>
      </c>
      <c r="DA146" s="761" t="e">
        <f>BU146*CZ146*AA146*CR146/1000/1000</f>
        <v>#DIV/0!</v>
      </c>
      <c r="DB146" s="771" t="e">
        <f>BV146*CZ146*AA146*CR146/1000/1000</f>
        <v>#DIV/0!</v>
      </c>
      <c r="DC146" s="761"/>
      <c r="DD146" s="761"/>
      <c r="DE146" s="761"/>
      <c r="DF146" s="761"/>
      <c r="DG146" s="761"/>
      <c r="DH146" s="761"/>
      <c r="DI146" s="761">
        <f t="shared" si="348"/>
        <v>0</v>
      </c>
      <c r="DJ146" s="761"/>
      <c r="DK146" s="761"/>
      <c r="DL146" s="761"/>
      <c r="DM146" s="633" t="e">
        <f t="shared" si="349"/>
        <v>#DIV/0!</v>
      </c>
      <c r="DN146" s="20"/>
      <c r="DO146" s="69"/>
      <c r="DQ146" s="24"/>
    </row>
    <row r="147" spans="1:121" s="25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2" t="s">
        <v>386</v>
      </c>
      <c r="K147" s="196"/>
      <c r="L147" s="195"/>
      <c r="M147" s="184"/>
      <c r="N147" s="72"/>
      <c r="O147" s="19"/>
      <c r="P147" s="72"/>
      <c r="Q147" s="709">
        <f>P147-M147</f>
        <v>0</v>
      </c>
      <c r="R147" s="679">
        <f t="shared" si="337"/>
        <v>0</v>
      </c>
      <c r="S147" s="681"/>
      <c r="T147" s="720"/>
      <c r="U147" s="720"/>
      <c r="V147" s="720"/>
      <c r="W147" s="720"/>
      <c r="X147" s="661"/>
      <c r="Y147" s="337"/>
      <c r="Z147" s="330"/>
      <c r="AA147" s="334"/>
      <c r="AB147" s="18"/>
      <c r="AC147" s="11"/>
      <c r="AD147" s="11"/>
      <c r="AE147" s="11"/>
      <c r="AF147" s="14"/>
      <c r="AG147" s="75" t="e">
        <f>AI147/AA147/CZ147</f>
        <v>#DIV/0!</v>
      </c>
      <c r="AH147" s="629"/>
      <c r="AI147" s="28"/>
      <c r="AJ147" s="28">
        <f t="shared" si="351"/>
        <v>0</v>
      </c>
      <c r="AK147" s="366"/>
      <c r="AL147" s="367"/>
      <c r="AM147" s="367"/>
      <c r="AN147" s="367"/>
      <c r="AO147" s="367"/>
      <c r="AP147" s="367"/>
      <c r="AQ147" s="133"/>
      <c r="AR147" s="28">
        <f t="shared" si="352"/>
        <v>0</v>
      </c>
      <c r="AS147" s="278">
        <f t="shared" si="340"/>
        <v>0</v>
      </c>
      <c r="AT147" s="277"/>
      <c r="AU147" s="277"/>
      <c r="AV147" s="277"/>
      <c r="AW147" s="277"/>
      <c r="AX147" s="277"/>
      <c r="AY147" s="282"/>
      <c r="AZ147" s="57"/>
      <c r="BA147" s="28"/>
      <c r="BB147" s="28"/>
      <c r="BC147" s="277"/>
      <c r="BD147" s="277"/>
      <c r="BE147" s="277"/>
      <c r="BF147" s="277"/>
      <c r="BG147" s="277"/>
      <c r="BH147" s="28"/>
      <c r="BI147" s="28"/>
      <c r="BJ147" s="28"/>
      <c r="BK147" s="28"/>
      <c r="BL147" s="28"/>
      <c r="BM147" s="28"/>
      <c r="BN147" s="28"/>
      <c r="BO147" s="11"/>
      <c r="BP147" s="78"/>
      <c r="BQ147" s="375"/>
      <c r="BR147" s="488" t="e">
        <f>AI147/AA147/7.1734</f>
        <v>#DIV/0!</v>
      </c>
      <c r="BS147" s="489">
        <f>CN147-BO147</f>
        <v>0</v>
      </c>
      <c r="BT147" s="515">
        <f t="shared" si="342"/>
        <v>0</v>
      </c>
      <c r="BU147" s="515" t="e">
        <f>BR147-BS147</f>
        <v>#DIV/0!</v>
      </c>
      <c r="BV147" s="494" t="e">
        <f t="shared" si="344"/>
        <v>#DIV/0!</v>
      </c>
      <c r="BW147" s="28"/>
      <c r="BX147" s="28"/>
      <c r="BY147" s="28"/>
      <c r="BZ147" s="41"/>
      <c r="CA147" s="375"/>
      <c r="CB147" s="356"/>
      <c r="CC147" s="352"/>
      <c r="CD147" s="352"/>
      <c r="CE147" s="352"/>
      <c r="CF147" s="352"/>
      <c r="CG147" s="352"/>
      <c r="CH147" s="28"/>
      <c r="CI147" s="28"/>
      <c r="CJ147" s="28"/>
      <c r="CK147" s="28"/>
      <c r="CL147" s="41"/>
      <c r="CM147" s="57"/>
      <c r="CN147" s="16"/>
      <c r="CO147" s="28"/>
      <c r="CP147" s="41"/>
      <c r="CQ147" s="41"/>
      <c r="CR147" s="14"/>
      <c r="CS147" s="30"/>
      <c r="CT147" s="30"/>
      <c r="CU147" s="30"/>
      <c r="CV147" s="30"/>
      <c r="CW147" s="30"/>
      <c r="CX147" s="30"/>
      <c r="CY147" s="323"/>
      <c r="CZ147" s="310" t="e">
        <f>AI147/AA147/BR147</f>
        <v>#DIV/0!</v>
      </c>
      <c r="DA147" s="761" t="e">
        <f>BU147*CZ147*AA147*CR147/1000/1000</f>
        <v>#DIV/0!</v>
      </c>
      <c r="DB147" s="771" t="e">
        <f>BV147*CZ147*AA147*CR147/1000/1000</f>
        <v>#DIV/0!</v>
      </c>
      <c r="DC147" s="761"/>
      <c r="DD147" s="761"/>
      <c r="DE147" s="761"/>
      <c r="DF147" s="761"/>
      <c r="DG147" s="761"/>
      <c r="DH147" s="761"/>
      <c r="DI147" s="761">
        <f t="shared" si="348"/>
        <v>0</v>
      </c>
      <c r="DJ147" s="761"/>
      <c r="DK147" s="761"/>
      <c r="DL147" s="761"/>
      <c r="DM147" s="633" t="e">
        <f t="shared" si="349"/>
        <v>#DIV/0!</v>
      </c>
      <c r="DN147" s="20"/>
      <c r="DO147" s="69"/>
      <c r="DQ147" s="24"/>
    </row>
    <row r="148" spans="1:121" s="25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2" t="s">
        <v>387</v>
      </c>
      <c r="K148" s="196"/>
      <c r="L148" s="195"/>
      <c r="M148" s="184"/>
      <c r="N148" s="72"/>
      <c r="O148" s="19"/>
      <c r="P148" s="72"/>
      <c r="Q148" s="709">
        <f>P148-M148</f>
        <v>0</v>
      </c>
      <c r="R148" s="679">
        <f t="shared" si="337"/>
        <v>0</v>
      </c>
      <c r="S148" s="736"/>
      <c r="T148" s="720"/>
      <c r="U148" s="720"/>
      <c r="V148" s="720"/>
      <c r="W148" s="720"/>
      <c r="X148" s="661"/>
      <c r="Y148" s="337"/>
      <c r="Z148" s="330"/>
      <c r="AA148" s="334"/>
      <c r="AB148" s="18"/>
      <c r="AC148" s="11"/>
      <c r="AD148" s="11"/>
      <c r="AE148" s="11"/>
      <c r="AF148" s="14"/>
      <c r="AG148" s="75" t="e">
        <f>AI148/AA148/CZ148</f>
        <v>#DIV/0!</v>
      </c>
      <c r="AH148" s="629"/>
      <c r="AI148" s="28"/>
      <c r="AJ148" s="28">
        <f t="shared" si="351"/>
        <v>0</v>
      </c>
      <c r="AK148" s="366"/>
      <c r="AL148" s="367"/>
      <c r="AM148" s="367"/>
      <c r="AN148" s="367"/>
      <c r="AO148" s="367"/>
      <c r="AP148" s="367"/>
      <c r="AQ148" s="133"/>
      <c r="AR148" s="28">
        <f t="shared" si="352"/>
        <v>0</v>
      </c>
      <c r="AS148" s="278">
        <f t="shared" si="340"/>
        <v>0</v>
      </c>
      <c r="AT148" s="277"/>
      <c r="AU148" s="277"/>
      <c r="AV148" s="277"/>
      <c r="AW148" s="277"/>
      <c r="AX148" s="277"/>
      <c r="AY148" s="282"/>
      <c r="AZ148" s="57"/>
      <c r="BA148" s="28"/>
      <c r="BB148" s="28"/>
      <c r="BC148" s="277"/>
      <c r="BD148" s="277"/>
      <c r="BE148" s="277"/>
      <c r="BF148" s="277"/>
      <c r="BG148" s="277"/>
      <c r="BH148" s="28"/>
      <c r="BI148" s="28"/>
      <c r="BJ148" s="28"/>
      <c r="BK148" s="28"/>
      <c r="BL148" s="28"/>
      <c r="BM148" s="28"/>
      <c r="BN148" s="28"/>
      <c r="BO148" s="11"/>
      <c r="BP148" s="78"/>
      <c r="BQ148" s="375"/>
      <c r="BR148" s="488" t="e">
        <f>AI148/AA148/7.1838</f>
        <v>#DIV/0!</v>
      </c>
      <c r="BS148" s="489">
        <f>CN148-BO148</f>
        <v>0</v>
      </c>
      <c r="BT148" s="515">
        <f t="shared" si="342"/>
        <v>0</v>
      </c>
      <c r="BU148" s="515" t="e">
        <f>BR148-BS148</f>
        <v>#DIV/0!</v>
      </c>
      <c r="BV148" s="494" t="e">
        <f t="shared" si="344"/>
        <v>#DIV/0!</v>
      </c>
      <c r="BW148" s="28"/>
      <c r="BX148" s="28"/>
      <c r="BY148" s="28"/>
      <c r="BZ148" s="41"/>
      <c r="CA148" s="375"/>
      <c r="CB148" s="356"/>
      <c r="CC148" s="352"/>
      <c r="CD148" s="352"/>
      <c r="CE148" s="352"/>
      <c r="CF148" s="352"/>
      <c r="CG148" s="352"/>
      <c r="CH148" s="28"/>
      <c r="CI148" s="28"/>
      <c r="CJ148" s="28"/>
      <c r="CK148" s="28"/>
      <c r="CL148" s="41"/>
      <c r="CM148" s="57"/>
      <c r="CN148" s="16"/>
      <c r="CO148" s="28"/>
      <c r="CP148" s="41"/>
      <c r="CQ148" s="41"/>
      <c r="CR148" s="14"/>
      <c r="CS148" s="30"/>
      <c r="CT148" s="30"/>
      <c r="CU148" s="30"/>
      <c r="CV148" s="30"/>
      <c r="CW148" s="30"/>
      <c r="CX148" s="30"/>
      <c r="CY148" s="323"/>
      <c r="CZ148" s="310" t="e">
        <f>AI148/AA148/BR148</f>
        <v>#DIV/0!</v>
      </c>
      <c r="DA148" s="761" t="e">
        <f>BU148*CZ148*AA148*CR148/1000/1000</f>
        <v>#DIV/0!</v>
      </c>
      <c r="DB148" s="771" t="e">
        <f>BV148*CZ148*AA148*CR148/1000/1000</f>
        <v>#DIV/0!</v>
      </c>
      <c r="DC148" s="761"/>
      <c r="DD148" s="761"/>
      <c r="DE148" s="761"/>
      <c r="DF148" s="761"/>
      <c r="DG148" s="761"/>
      <c r="DH148" s="761"/>
      <c r="DI148" s="761">
        <f t="shared" si="348"/>
        <v>0</v>
      </c>
      <c r="DJ148" s="761"/>
      <c r="DK148" s="761"/>
      <c r="DL148" s="761"/>
      <c r="DM148" s="633" t="e">
        <f t="shared" si="349"/>
        <v>#DIV/0!</v>
      </c>
      <c r="DN148" s="20"/>
      <c r="DO148" s="69"/>
      <c r="DQ148" s="24"/>
    </row>
    <row r="149" spans="1:121" s="21" customFormat="1" ht="15.95" customHeight="1" x14ac:dyDescent="0.25">
      <c r="A149" s="52"/>
      <c r="B149" s="52"/>
      <c r="C149" s="33"/>
      <c r="D149" s="33"/>
      <c r="E149" s="33"/>
      <c r="F149" s="33"/>
      <c r="G149" s="49"/>
      <c r="H149" s="33"/>
      <c r="I149" s="49"/>
      <c r="J149" s="42" t="s">
        <v>389</v>
      </c>
      <c r="K149" s="194"/>
      <c r="L149" s="195"/>
      <c r="M149" s="184"/>
      <c r="N149" s="612"/>
      <c r="O149" s="613"/>
      <c r="P149" s="612"/>
      <c r="Q149" s="616">
        <f>P149-M149</f>
        <v>0</v>
      </c>
      <c r="R149" s="742">
        <f t="shared" si="337"/>
        <v>0</v>
      </c>
      <c r="S149" s="732"/>
      <c r="T149" s="743"/>
      <c r="U149" s="743"/>
      <c r="V149" s="743"/>
      <c r="W149" s="743"/>
      <c r="X149" s="199"/>
      <c r="Y149" s="337"/>
      <c r="Z149" s="330"/>
      <c r="AA149" s="334"/>
      <c r="AB149" s="52"/>
      <c r="AC149" s="33"/>
      <c r="AD149" s="33"/>
      <c r="AE149" s="33"/>
      <c r="AF149" s="49"/>
      <c r="AG149" s="75" t="e">
        <f>AI149/AA149/CZ149</f>
        <v>#DIV/0!</v>
      </c>
      <c r="AH149" s="11"/>
      <c r="AI149" s="616"/>
      <c r="AJ149" s="616">
        <f t="shared" si="351"/>
        <v>0</v>
      </c>
      <c r="AK149" s="786"/>
      <c r="AL149" s="785"/>
      <c r="AM149" s="785"/>
      <c r="AN149" s="785"/>
      <c r="AO149" s="785"/>
      <c r="AP149" s="785"/>
      <c r="AQ149" s="805"/>
      <c r="AR149" s="616">
        <f t="shared" si="352"/>
        <v>0</v>
      </c>
      <c r="AS149" s="626">
        <f t="shared" si="340"/>
        <v>0</v>
      </c>
      <c r="AT149" s="270"/>
      <c r="AU149" s="270"/>
      <c r="AV149" s="270"/>
      <c r="AW149" s="270"/>
      <c r="AX149" s="270"/>
      <c r="AY149" s="271"/>
      <c r="AZ149" s="135"/>
      <c r="BA149" s="23"/>
      <c r="BB149" s="23"/>
      <c r="BC149" s="33"/>
      <c r="BD149" s="33"/>
      <c r="BE149" s="33"/>
      <c r="BF149" s="33"/>
      <c r="BG149" s="33"/>
      <c r="BH149" s="23"/>
      <c r="BI149" s="23"/>
      <c r="BJ149" s="23"/>
      <c r="BK149" s="23"/>
      <c r="BL149" s="23"/>
      <c r="BM149" s="23"/>
      <c r="BN149" s="34"/>
      <c r="BO149" s="33"/>
      <c r="BP149" s="270"/>
      <c r="BQ149" s="375"/>
      <c r="BR149" s="52" t="e">
        <f>AI149/AA149/7.1838</f>
        <v>#DIV/0!</v>
      </c>
      <c r="BS149" s="33">
        <f>CN149-BO149</f>
        <v>0</v>
      </c>
      <c r="BT149" s="521">
        <f t="shared" si="342"/>
        <v>0</v>
      </c>
      <c r="BU149" s="521" t="e">
        <f>BR149-BS149</f>
        <v>#DIV/0!</v>
      </c>
      <c r="BV149" s="315" t="e">
        <f t="shared" si="344"/>
        <v>#DIV/0!</v>
      </c>
      <c r="BW149" s="23"/>
      <c r="BX149" s="23"/>
      <c r="BY149" s="23"/>
      <c r="BZ149" s="201"/>
      <c r="CA149" s="375"/>
      <c r="CB149" s="346"/>
      <c r="CC149" s="347"/>
      <c r="CD149" s="347"/>
      <c r="CE149" s="347"/>
      <c r="CF149" s="347"/>
      <c r="CG149" s="347"/>
      <c r="CH149" s="29"/>
      <c r="CI149" s="29"/>
      <c r="CJ149" s="29"/>
      <c r="CK149" s="29"/>
      <c r="CL149" s="300"/>
      <c r="CM149" s="434"/>
      <c r="CN149" s="23"/>
      <c r="CO149" s="29"/>
      <c r="CP149" s="300"/>
      <c r="CQ149" s="300"/>
      <c r="CR149" s="49"/>
      <c r="CS149" s="45"/>
      <c r="CT149" s="45"/>
      <c r="CU149" s="47"/>
      <c r="CV149" s="45"/>
      <c r="CW149" s="45"/>
      <c r="CX149" s="45"/>
      <c r="CY149" s="324"/>
      <c r="CZ149" s="311" t="e">
        <f>AI149/AA149/BR149</f>
        <v>#DIV/0!</v>
      </c>
      <c r="DA149" s="649" t="e">
        <f>BU149*CZ149*AA149*CR149/1000/1000</f>
        <v>#DIV/0!</v>
      </c>
      <c r="DB149" s="769" t="e">
        <f>BV149*CZ149*AA149*CR149/1000/1000</f>
        <v>#DIV/0!</v>
      </c>
      <c r="DC149" s="649"/>
      <c r="DD149" s="649"/>
      <c r="DE149" s="649"/>
      <c r="DF149" s="649"/>
      <c r="DG149" s="649"/>
      <c r="DH149" s="649"/>
      <c r="DI149" s="649">
        <f t="shared" si="348"/>
        <v>0</v>
      </c>
      <c r="DJ149" s="649"/>
      <c r="DK149" s="649"/>
      <c r="DL149" s="649"/>
      <c r="DM149" s="650" t="e">
        <f t="shared" si="349"/>
        <v>#DIV/0!</v>
      </c>
      <c r="DN149" s="20"/>
      <c r="DO149" s="69"/>
      <c r="DQ149" s="20"/>
    </row>
    <row r="150" spans="1:121" s="69" customFormat="1" ht="15.95" customHeight="1" x14ac:dyDescent="0.25">
      <c r="A150" s="1232"/>
      <c r="B150" s="1232"/>
      <c r="C150" s="1228"/>
      <c r="D150" s="1228"/>
      <c r="E150" s="1228"/>
      <c r="F150" s="1228"/>
      <c r="G150" s="1230"/>
      <c r="H150" s="1232"/>
      <c r="I150" s="1230"/>
      <c r="J150" s="1415" t="s">
        <v>388</v>
      </c>
      <c r="K150" s="1369"/>
      <c r="L150" s="1371"/>
      <c r="M150" s="1365"/>
      <c r="N150" s="72"/>
      <c r="O150" s="647"/>
      <c r="P150" s="72"/>
      <c r="Q150" s="16">
        <f>P150-M150</f>
        <v>0</v>
      </c>
      <c r="R150" s="744">
        <f t="shared" si="337"/>
        <v>0</v>
      </c>
      <c r="S150" s="684"/>
      <c r="T150" s="745"/>
      <c r="U150" s="745"/>
      <c r="V150" s="745"/>
      <c r="W150" s="745"/>
      <c r="X150" s="1323"/>
      <c r="Y150" s="1410"/>
      <c r="Z150" s="330"/>
      <c r="AA150" s="1395"/>
      <c r="AB150" s="1232"/>
      <c r="AC150" s="1228"/>
      <c r="AD150" s="1228"/>
      <c r="AE150" s="1228"/>
      <c r="AF150" s="364"/>
      <c r="AG150" s="1284" t="e">
        <f>(AI150+AI151)/AA150/CZ150</f>
        <v>#DIV/0!</v>
      </c>
      <c r="AH150" s="788"/>
      <c r="AI150" s="647"/>
      <c r="AJ150" s="647">
        <f t="shared" si="351"/>
        <v>0</v>
      </c>
      <c r="AK150" s="1369"/>
      <c r="AL150" s="1260"/>
      <c r="AM150" s="1260"/>
      <c r="AN150" s="1260"/>
      <c r="AO150" s="1260"/>
      <c r="AP150" s="1260"/>
      <c r="AQ150" s="1404"/>
      <c r="AR150" s="647">
        <f t="shared" si="352"/>
        <v>0</v>
      </c>
      <c r="AS150" s="797">
        <f t="shared" si="340"/>
        <v>0</v>
      </c>
      <c r="AT150" s="1264"/>
      <c r="AU150" s="1264"/>
      <c r="AV150" s="1264"/>
      <c r="AW150" s="1264"/>
      <c r="AX150" s="268"/>
      <c r="AY150" s="1323"/>
      <c r="AZ150" s="1311"/>
      <c r="BA150" s="1250"/>
      <c r="BB150" s="1250"/>
      <c r="BC150" s="587"/>
      <c r="BD150" s="587"/>
      <c r="BE150" s="1406"/>
      <c r="BF150" s="1406"/>
      <c r="BG150" s="1409"/>
      <c r="BH150" s="582"/>
      <c r="BI150" s="582"/>
      <c r="BJ150" s="1264"/>
      <c r="BK150" s="1264"/>
      <c r="BL150" s="1286"/>
      <c r="BM150" s="1264"/>
      <c r="BN150" s="1264"/>
      <c r="BO150" s="1228"/>
      <c r="BP150" s="94"/>
      <c r="BQ150" s="372"/>
      <c r="BR150" s="1232" t="e">
        <f>(AI151+AI150)/AA150/7.18</f>
        <v>#DIV/0!</v>
      </c>
      <c r="BS150" s="1228">
        <f>CN150-BO150</f>
        <v>0</v>
      </c>
      <c r="BT150" s="519">
        <f t="shared" si="342"/>
        <v>0</v>
      </c>
      <c r="BU150" s="1420" t="e">
        <f>BR150-BS150</f>
        <v>#DIV/0!</v>
      </c>
      <c r="BV150" s="498" t="e">
        <f t="shared" si="344"/>
        <v>#DIV/0!</v>
      </c>
      <c r="BW150" s="34"/>
      <c r="BX150" s="34"/>
      <c r="BY150" s="34"/>
      <c r="BZ150" s="63"/>
      <c r="CA150" s="372"/>
      <c r="CB150" s="1311"/>
      <c r="CC150" s="1264"/>
      <c r="CD150" s="1264"/>
      <c r="CE150" s="1264"/>
      <c r="CF150" s="344"/>
      <c r="CG150" s="344"/>
      <c r="CH150" s="1252"/>
      <c r="CI150" s="29"/>
      <c r="CJ150" s="29"/>
      <c r="CK150" s="29"/>
      <c r="CL150" s="300"/>
      <c r="CM150" s="1248"/>
      <c r="CN150" s="1252"/>
      <c r="CO150" s="29"/>
      <c r="CP150" s="1256"/>
      <c r="CQ150" s="300"/>
      <c r="CR150" s="1327"/>
      <c r="CS150" s="1264"/>
      <c r="CT150" s="1264"/>
      <c r="CU150" s="95"/>
      <c r="CV150" s="1264"/>
      <c r="CW150" s="1264"/>
      <c r="CX150" s="1264"/>
      <c r="CY150" s="1323"/>
      <c r="CZ150" s="1254" t="e">
        <f>(AI150+AI151)/AA150/BR150</f>
        <v>#DIV/0!</v>
      </c>
      <c r="DA150" s="1236" t="e">
        <f>BU150*CZ150*AA150*CR150/1000/1000</f>
        <v>#DIV/0!</v>
      </c>
      <c r="DB150" s="768" t="e">
        <f>BV150*CZ150*AA150*CR150/1000/1000</f>
        <v>#DIV/0!</v>
      </c>
      <c r="DC150" s="1236"/>
      <c r="DD150" s="1236"/>
      <c r="DE150" s="1236"/>
      <c r="DF150" s="1236"/>
      <c r="DG150" s="646"/>
      <c r="DH150" s="1236"/>
      <c r="DI150" s="1236">
        <f t="shared" si="348"/>
        <v>0</v>
      </c>
      <c r="DJ150" s="646"/>
      <c r="DK150" s="1236"/>
      <c r="DL150" s="1236"/>
      <c r="DM150" s="1329" t="e">
        <f t="shared" si="349"/>
        <v>#DIV/0!</v>
      </c>
      <c r="DN150" s="68"/>
    </row>
    <row r="151" spans="1:121" s="68" customFormat="1" ht="15.95" customHeight="1" x14ac:dyDescent="0.25">
      <c r="A151" s="1233"/>
      <c r="B151" s="1233"/>
      <c r="C151" s="1229"/>
      <c r="D151" s="1229"/>
      <c r="E151" s="1229"/>
      <c r="F151" s="1229"/>
      <c r="G151" s="1231"/>
      <c r="H151" s="1233"/>
      <c r="I151" s="1231"/>
      <c r="J151" s="1416"/>
      <c r="K151" s="1370"/>
      <c r="L151" s="1372"/>
      <c r="M151" s="1366"/>
      <c r="N151" s="612"/>
      <c r="O151" s="623"/>
      <c r="P151" s="612"/>
      <c r="Q151" s="616">
        <f>P151-M150</f>
        <v>0</v>
      </c>
      <c r="R151" s="748">
        <f t="shared" si="337"/>
        <v>0</v>
      </c>
      <c r="S151" s="687"/>
      <c r="T151" s="746"/>
      <c r="U151" s="746"/>
      <c r="V151" s="746"/>
      <c r="W151" s="746"/>
      <c r="X151" s="1324"/>
      <c r="Y151" s="1411"/>
      <c r="Z151" s="799"/>
      <c r="AA151" s="1396"/>
      <c r="AB151" s="1233"/>
      <c r="AC151" s="1229"/>
      <c r="AD151" s="1229"/>
      <c r="AE151" s="1229"/>
      <c r="AF151" s="365"/>
      <c r="AG151" s="1285" t="e">
        <f>AI151/AA151/CZ151</f>
        <v>#DIV/0!</v>
      </c>
      <c r="AH151" s="789"/>
      <c r="AI151" s="647"/>
      <c r="AJ151" s="647">
        <f>AI151*Y150</f>
        <v>0</v>
      </c>
      <c r="AK151" s="1370"/>
      <c r="AL151" s="1261"/>
      <c r="AM151" s="1261"/>
      <c r="AN151" s="1261"/>
      <c r="AO151" s="1261"/>
      <c r="AP151" s="1261"/>
      <c r="AQ151" s="1405"/>
      <c r="AR151" s="623">
        <f>AI151*Z151</f>
        <v>0</v>
      </c>
      <c r="AS151" s="626">
        <f>AR151-AJ151</f>
        <v>0</v>
      </c>
      <c r="AT151" s="1251"/>
      <c r="AU151" s="1251"/>
      <c r="AV151" s="1251"/>
      <c r="AW151" s="1251"/>
      <c r="AX151" s="269"/>
      <c r="AY151" s="1324"/>
      <c r="AZ151" s="1312"/>
      <c r="BA151" s="1251"/>
      <c r="BB151" s="1251"/>
      <c r="BC151" s="267"/>
      <c r="BD151" s="267"/>
      <c r="BE151" s="1298"/>
      <c r="BF151" s="1298"/>
      <c r="BG151" s="1229"/>
      <c r="BH151" s="269"/>
      <c r="BI151" s="269"/>
      <c r="BJ151" s="1251"/>
      <c r="BK151" s="1251"/>
      <c r="BL151" s="1287"/>
      <c r="BM151" s="1251"/>
      <c r="BN151" s="1251"/>
      <c r="BO151" s="1229"/>
      <c r="BP151" s="94"/>
      <c r="BQ151" s="372"/>
      <c r="BR151" s="1233"/>
      <c r="BS151" s="1229"/>
      <c r="BT151" s="520">
        <f t="shared" si="342"/>
        <v>0</v>
      </c>
      <c r="BU151" s="1421"/>
      <c r="BV151" s="500">
        <f t="shared" si="344"/>
        <v>0</v>
      </c>
      <c r="BW151" s="34"/>
      <c r="BX151" s="34"/>
      <c r="BY151" s="34"/>
      <c r="BZ151" s="63"/>
      <c r="CA151" s="372"/>
      <c r="CB151" s="1312"/>
      <c r="CC151" s="1251"/>
      <c r="CD151" s="1251"/>
      <c r="CE151" s="1251"/>
      <c r="CF151" s="345"/>
      <c r="CG151" s="345"/>
      <c r="CH151" s="1253"/>
      <c r="CI151" s="553"/>
      <c r="CJ151" s="553"/>
      <c r="CK151" s="553"/>
      <c r="CL151" s="554"/>
      <c r="CM151" s="1249"/>
      <c r="CN151" s="1253"/>
      <c r="CO151" s="553"/>
      <c r="CP151" s="1257"/>
      <c r="CQ151" s="300"/>
      <c r="CR151" s="1328"/>
      <c r="CS151" s="1251"/>
      <c r="CT151" s="1251"/>
      <c r="CU151" s="96"/>
      <c r="CV151" s="1251"/>
      <c r="CW151" s="1251"/>
      <c r="CX151" s="1251"/>
      <c r="CY151" s="1324"/>
      <c r="CZ151" s="1255"/>
      <c r="DA151" s="1237"/>
      <c r="DB151" s="769"/>
      <c r="DC151" s="1237"/>
      <c r="DD151" s="1237"/>
      <c r="DE151" s="1237"/>
      <c r="DF151" s="1237"/>
      <c r="DG151" s="649"/>
      <c r="DH151" s="1237"/>
      <c r="DI151" s="1237">
        <f t="shared" si="348"/>
        <v>0</v>
      </c>
      <c r="DJ151" s="649"/>
      <c r="DK151" s="1237"/>
      <c r="DL151" s="1237"/>
      <c r="DM151" s="1330">
        <f t="shared" si="349"/>
        <v>0</v>
      </c>
      <c r="DO151" s="69"/>
    </row>
    <row r="152" spans="1:121" s="69" customFormat="1" ht="15.95" customHeight="1" x14ac:dyDescent="0.25">
      <c r="A152" s="1232"/>
      <c r="B152" s="1232"/>
      <c r="C152" s="1228"/>
      <c r="D152" s="1228"/>
      <c r="E152" s="1228"/>
      <c r="F152" s="601"/>
      <c r="G152" s="1228"/>
      <c r="H152" s="1232"/>
      <c r="I152" s="1230"/>
      <c r="J152" s="1363" t="s">
        <v>390</v>
      </c>
      <c r="K152" s="1315"/>
      <c r="L152" s="1317"/>
      <c r="M152" s="1365"/>
      <c r="N152" s="72"/>
      <c r="O152" s="19"/>
      <c r="P152" s="182"/>
      <c r="Q152" s="16">
        <f>P152-M152</f>
        <v>0</v>
      </c>
      <c r="R152" s="747">
        <f>P152-N152</f>
        <v>0</v>
      </c>
      <c r="S152" s="684"/>
      <c r="T152" s="745"/>
      <c r="U152" s="745"/>
      <c r="V152" s="745"/>
      <c r="W152" s="745"/>
      <c r="X152" s="1354"/>
      <c r="Y152" s="1410"/>
      <c r="Z152" s="176"/>
      <c r="AA152" s="1407"/>
      <c r="AB152" s="1232"/>
      <c r="AC152" s="1228"/>
      <c r="AD152" s="1228"/>
      <c r="AE152" s="1228"/>
      <c r="AF152" s="1230"/>
      <c r="AG152" s="1347" t="e">
        <f t="shared" ref="AG152" si="353">(AI152+AI153)/AA152/7.18</f>
        <v>#DIV/0!</v>
      </c>
      <c r="AH152" s="654"/>
      <c r="AI152" s="16"/>
      <c r="AJ152" s="597">
        <f t="shared" ref="AJ152" si="354">AI152*Y152</f>
        <v>0</v>
      </c>
      <c r="AK152" s="1311" t="e">
        <f t="shared" ref="AK152:AP152" si="355">AB152*$CZ152*$AA152*$Y152/1000/1000</f>
        <v>#DIV/0!</v>
      </c>
      <c r="AL152" s="1264" t="e">
        <f t="shared" si="355"/>
        <v>#DIV/0!</v>
      </c>
      <c r="AM152" s="1264" t="e">
        <f t="shared" si="355"/>
        <v>#DIV/0!</v>
      </c>
      <c r="AN152" s="1264" t="e">
        <f t="shared" si="355"/>
        <v>#DIV/0!</v>
      </c>
      <c r="AO152" s="1264" t="e">
        <f t="shared" si="355"/>
        <v>#DIV/0!</v>
      </c>
      <c r="AP152" s="1323" t="e">
        <f t="shared" si="355"/>
        <v>#DIV/0!</v>
      </c>
      <c r="AQ152" s="1375" t="e">
        <f t="shared" ref="AQ152" si="356">AJ152/1000/1000-AP152</f>
        <v>#DIV/0!</v>
      </c>
      <c r="AR152" s="790">
        <f t="shared" ref="AR152:AR155" si="357">AI152*Z152</f>
        <v>0</v>
      </c>
      <c r="AS152" s="803">
        <f t="shared" ref="AS152:AS155" si="358">AR152-AJ152</f>
        <v>0</v>
      </c>
      <c r="AT152" s="1311" t="e">
        <f>(AB152-B152)*$CZ152*$AA152*$Y152/1000/1000</f>
        <v>#DIV/0!</v>
      </c>
      <c r="AU152" s="1264" t="e">
        <f>(AC152-C152)*$CZ152*$AA152*$Y152/1000/1000</f>
        <v>#DIV/0!</v>
      </c>
      <c r="AV152" s="1264" t="e">
        <f>(AD152-D152)*$CZ152*$AA152*$Y152/1000/1000</f>
        <v>#DIV/0!</v>
      </c>
      <c r="AW152" s="1264" t="e">
        <f>(AE152-E152)*$CZ152*$AA152*$Y152/1000/1000</f>
        <v>#DIV/0!</v>
      </c>
      <c r="AX152" s="1264" t="e">
        <f>(AF152-F152)*$CZ152*$AA152*$Y152/1000/1000</f>
        <v>#DIV/0!</v>
      </c>
      <c r="AY152" s="1323" t="e">
        <f t="shared" ref="AY152" si="359">SUM(AT152:AX152)</f>
        <v>#DIV/0!</v>
      </c>
      <c r="AZ152" s="1277"/>
      <c r="BA152" s="1360" t="e">
        <f>(I152+D152)*AA152*CZ152*A152</f>
        <v>#DIV/0!</v>
      </c>
      <c r="BB152" s="1360">
        <f t="shared" ref="BB152" si="360">(BC152+BE152+BF152+BD152)*AA152+0.76*Y152*AA152</f>
        <v>0</v>
      </c>
      <c r="BC152" s="1361"/>
      <c r="BD152" s="1361"/>
      <c r="BE152" s="1361"/>
      <c r="BF152" s="1361"/>
      <c r="BG152" s="1240"/>
      <c r="BH152" s="1282"/>
      <c r="BI152" s="1282">
        <f t="shared" ref="BI152" si="361">BG152*AA152*Y152</f>
        <v>0</v>
      </c>
      <c r="BJ152" s="1299" t="e">
        <f t="shared" ref="BJ152" si="362">AJ152/AA152-AZ152-BG152*Y152</f>
        <v>#DIV/0!</v>
      </c>
      <c r="BK152" s="1282" t="e">
        <f t="shared" ref="BK152" si="363">AR152/AA152-AZ152-BG152</f>
        <v>#DIV/0!</v>
      </c>
      <c r="BL152" s="1286"/>
      <c r="BM152" s="1282" t="e">
        <f t="shared" ref="BM152" si="364">BJ152-BL152</f>
        <v>#DIV/0!</v>
      </c>
      <c r="BN152" s="1282" t="e">
        <f t="shared" ref="BN152" si="365">BK152-BL152</f>
        <v>#DIV/0!</v>
      </c>
      <c r="BO152" s="1240"/>
      <c r="BP152" s="94"/>
      <c r="BQ152" s="604"/>
      <c r="BR152" s="1238" t="e">
        <f>(AI152+AI153)/AA152/7.1638</f>
        <v>#DIV/0!</v>
      </c>
      <c r="BS152" s="1240">
        <f t="shared" ref="BS152" si="366">CN152-BO152</f>
        <v>0</v>
      </c>
      <c r="BT152" s="1242">
        <f t="shared" ref="BT152" si="367">CM152-BO152</f>
        <v>0</v>
      </c>
      <c r="BU152" s="1242" t="e">
        <f t="shared" ref="BU152" si="368">BR152-BS152</f>
        <v>#DIV/0!</v>
      </c>
      <c r="BV152" s="1280" t="e">
        <f t="shared" ref="BV152" si="369">BR152-BT152</f>
        <v>#DIV/0!</v>
      </c>
      <c r="BW152" s="598"/>
      <c r="BX152" s="598"/>
      <c r="BY152" s="598"/>
      <c r="BZ152" s="600"/>
      <c r="CA152" s="604"/>
      <c r="CB152" s="1311"/>
      <c r="CC152" s="1264"/>
      <c r="CD152" s="1264"/>
      <c r="CE152" s="1264"/>
      <c r="CF152" s="598"/>
      <c r="CG152" s="598"/>
      <c r="CH152" s="1252"/>
      <c r="CI152" s="605"/>
      <c r="CJ152" s="605"/>
      <c r="CK152" s="605"/>
      <c r="CL152" s="607"/>
      <c r="CM152" s="1248"/>
      <c r="CN152" s="1252"/>
      <c r="CO152" s="605"/>
      <c r="CP152" s="607"/>
      <c r="CQ152" s="600"/>
      <c r="CR152" s="1347"/>
      <c r="CS152" s="1264"/>
      <c r="CT152" s="1264"/>
      <c r="CU152" s="1264"/>
      <c r="CV152" s="1252"/>
      <c r="CW152" s="1252"/>
      <c r="CX152" s="1264"/>
      <c r="CY152" s="1323"/>
      <c r="CZ152" s="1349" t="e">
        <f>(AI152+AI153)/AA152/(BR152+BP152)</f>
        <v>#DIV/0!</v>
      </c>
      <c r="DA152" s="1236" t="e">
        <f>CR152*AA152*BU152*CZ152/1000000</f>
        <v>#DIV/0!</v>
      </c>
      <c r="DB152" s="768" t="e">
        <f>CR152*AA152*BV152*CZ152/1000000</f>
        <v>#DIV/0!</v>
      </c>
      <c r="DC152" s="1236">
        <f>[182]Анализ!BE167</f>
        <v>0</v>
      </c>
      <c r="DD152" s="1236" t="e">
        <f>SUM(AT152,AW152,AX152)</f>
        <v>#DIV/0!</v>
      </c>
      <c r="DE152" s="1236" t="e">
        <f>AL152</f>
        <v>#DIV/0!</v>
      </c>
      <c r="DF152" s="1236" t="e">
        <f>AV152</f>
        <v>#DIV/0!</v>
      </c>
      <c r="DG152" s="1236" t="e">
        <f>(BA152-BB152)/1000/1000</f>
        <v>#DIV/0!</v>
      </c>
      <c r="DH152" s="1236">
        <f>(BH152-BI152)/1000/1000</f>
        <v>0</v>
      </c>
      <c r="DI152" s="1236">
        <f>AS152/1000000</f>
        <v>0</v>
      </c>
      <c r="DJ152" s="1236">
        <f>CI152/1000/1000</f>
        <v>0</v>
      </c>
      <c r="DK152" s="1236">
        <f t="shared" ref="DK152:DK155" si="370">CY152/1000/1000</f>
        <v>0</v>
      </c>
      <c r="DL152" s="1236">
        <f t="shared" ref="DL152:DL155" si="371">CP152/1000/1000</f>
        <v>0</v>
      </c>
      <c r="DM152" s="1329" t="e">
        <f t="shared" ref="DM152:DM155" si="372">SUM(DA152:DL152)</f>
        <v>#DIV/0!</v>
      </c>
      <c r="DN152" s="68"/>
    </row>
    <row r="153" spans="1:121" s="69" customFormat="1" ht="15.95" customHeight="1" x14ac:dyDescent="0.25">
      <c r="A153" s="1233"/>
      <c r="B153" s="1233"/>
      <c r="C153" s="1229"/>
      <c r="D153" s="1229"/>
      <c r="E153" s="1229"/>
      <c r="F153" s="602"/>
      <c r="G153" s="1229"/>
      <c r="H153" s="1233"/>
      <c r="I153" s="1231"/>
      <c r="J153" s="1364"/>
      <c r="K153" s="1316"/>
      <c r="L153" s="1318"/>
      <c r="M153" s="1366"/>
      <c r="N153" s="612"/>
      <c r="O153" s="613"/>
      <c r="P153" s="614"/>
      <c r="Q153" s="616">
        <f>P153-M152</f>
        <v>0</v>
      </c>
      <c r="R153" s="748">
        <f>P153-N153</f>
        <v>0</v>
      </c>
      <c r="S153" s="687"/>
      <c r="T153" s="746"/>
      <c r="U153" s="746"/>
      <c r="V153" s="746"/>
      <c r="W153" s="746"/>
      <c r="X153" s="1355"/>
      <c r="Y153" s="1411"/>
      <c r="Z153" s="615"/>
      <c r="AA153" s="1408"/>
      <c r="AB153" s="1233"/>
      <c r="AC153" s="1229"/>
      <c r="AD153" s="1229"/>
      <c r="AE153" s="1229"/>
      <c r="AF153" s="1231"/>
      <c r="AG153" s="1348" t="e">
        <f t="shared" ref="AG153" si="373">K153/H153/7.16</f>
        <v>#DIV/0!</v>
      </c>
      <c r="AH153" s="656"/>
      <c r="AI153" s="616"/>
      <c r="AJ153" s="620">
        <f>AI153*Y152</f>
        <v>0</v>
      </c>
      <c r="AK153" s="1312"/>
      <c r="AL153" s="1251"/>
      <c r="AM153" s="1251"/>
      <c r="AN153" s="1251"/>
      <c r="AO153" s="1251"/>
      <c r="AP153" s="1324"/>
      <c r="AQ153" s="1376"/>
      <c r="AR153" s="620">
        <f t="shared" si="357"/>
        <v>0</v>
      </c>
      <c r="AS153" s="618">
        <f t="shared" si="358"/>
        <v>0</v>
      </c>
      <c r="AT153" s="1312"/>
      <c r="AU153" s="1251"/>
      <c r="AV153" s="1251"/>
      <c r="AW153" s="1251"/>
      <c r="AX153" s="1251"/>
      <c r="AY153" s="1324"/>
      <c r="AZ153" s="1278"/>
      <c r="BA153" s="1283"/>
      <c r="BB153" s="1283"/>
      <c r="BC153" s="1362"/>
      <c r="BD153" s="1362"/>
      <c r="BE153" s="1362"/>
      <c r="BF153" s="1362"/>
      <c r="BG153" s="1241"/>
      <c r="BH153" s="1283"/>
      <c r="BI153" s="1283"/>
      <c r="BJ153" s="1300"/>
      <c r="BK153" s="1283"/>
      <c r="BL153" s="1287"/>
      <c r="BM153" s="1283"/>
      <c r="BN153" s="1283"/>
      <c r="BO153" s="1241"/>
      <c r="BP153" s="94"/>
      <c r="BQ153" s="604"/>
      <c r="BR153" s="1239"/>
      <c r="BS153" s="1310"/>
      <c r="BT153" s="1243"/>
      <c r="BU153" s="1279"/>
      <c r="BV153" s="1281"/>
      <c r="BW153" s="598"/>
      <c r="BX153" s="598"/>
      <c r="BY153" s="598"/>
      <c r="BZ153" s="600"/>
      <c r="CA153" s="604"/>
      <c r="CB153" s="1312"/>
      <c r="CC153" s="1251"/>
      <c r="CD153" s="1251"/>
      <c r="CE153" s="1251"/>
      <c r="CF153" s="599"/>
      <c r="CG153" s="599"/>
      <c r="CH153" s="1253"/>
      <c r="CI153" s="606"/>
      <c r="CJ153" s="606"/>
      <c r="CK153" s="606"/>
      <c r="CL153" s="608"/>
      <c r="CM153" s="1249"/>
      <c r="CN153" s="1253"/>
      <c r="CO153" s="605"/>
      <c r="CP153" s="607"/>
      <c r="CQ153" s="600"/>
      <c r="CR153" s="1348"/>
      <c r="CS153" s="1251"/>
      <c r="CT153" s="1251"/>
      <c r="CU153" s="1251"/>
      <c r="CV153" s="1253"/>
      <c r="CW153" s="1253"/>
      <c r="CX153" s="1251"/>
      <c r="CY153" s="1324"/>
      <c r="CZ153" s="1349"/>
      <c r="DA153" s="1237"/>
      <c r="DB153" s="769"/>
      <c r="DC153" s="1237">
        <f>[182]Анализ!BE168</f>
        <v>0</v>
      </c>
      <c r="DD153" s="1237">
        <f>SUM(AT153,AW153,AX153)</f>
        <v>0</v>
      </c>
      <c r="DE153" s="1237">
        <f>AL153</f>
        <v>0</v>
      </c>
      <c r="DF153" s="1237">
        <f>AV153</f>
        <v>0</v>
      </c>
      <c r="DG153" s="1237">
        <f>(BA153-BB153)/1000/1000</f>
        <v>0</v>
      </c>
      <c r="DH153" s="1237">
        <f>(BH153-BI153)/1000/1000</f>
        <v>0</v>
      </c>
      <c r="DI153" s="1237"/>
      <c r="DJ153" s="1237">
        <f>CI153/1000/1000</f>
        <v>0</v>
      </c>
      <c r="DK153" s="1237">
        <f t="shared" si="370"/>
        <v>0</v>
      </c>
      <c r="DL153" s="1237">
        <f t="shared" si="371"/>
        <v>0</v>
      </c>
      <c r="DM153" s="1330">
        <f t="shared" si="372"/>
        <v>0</v>
      </c>
      <c r="DN153" s="68"/>
    </row>
    <row r="154" spans="1:121" s="69" customFormat="1" ht="15.95" customHeight="1" x14ac:dyDescent="0.25">
      <c r="A154" s="1232"/>
      <c r="B154" s="1232"/>
      <c r="C154" s="1228"/>
      <c r="D154" s="1228"/>
      <c r="E154" s="1228"/>
      <c r="F154" s="601"/>
      <c r="G154" s="1228"/>
      <c r="H154" s="1232"/>
      <c r="I154" s="1230"/>
      <c r="J154" s="1363" t="s">
        <v>391</v>
      </c>
      <c r="K154" s="1315"/>
      <c r="L154" s="1317"/>
      <c r="M154" s="1365"/>
      <c r="N154" s="72"/>
      <c r="O154" s="19"/>
      <c r="P154" s="182"/>
      <c r="Q154" s="16">
        <f>P154-M154</f>
        <v>0</v>
      </c>
      <c r="R154" s="747">
        <f t="shared" si="337"/>
        <v>0</v>
      </c>
      <c r="S154" s="684"/>
      <c r="T154" s="746"/>
      <c r="U154" s="746"/>
      <c r="V154" s="746"/>
      <c r="W154" s="746"/>
      <c r="X154" s="1354"/>
      <c r="Y154" s="337"/>
      <c r="Z154" s="176"/>
      <c r="AA154" s="1407"/>
      <c r="AB154" s="1232"/>
      <c r="AC154" s="1228"/>
      <c r="AD154" s="1228"/>
      <c r="AE154" s="1228"/>
      <c r="AF154" s="1230"/>
      <c r="AG154" s="1347" t="e">
        <f t="shared" ref="AG154" si="374">(AI154+AI155)/AA154/7.18</f>
        <v>#DIV/0!</v>
      </c>
      <c r="AH154" s="654"/>
      <c r="AI154" s="16"/>
      <c r="AJ154" s="790">
        <f t="shared" ref="AJ154" si="375">AI154*Y154</f>
        <v>0</v>
      </c>
      <c r="AK154" s="1311" t="e">
        <f t="shared" ref="AK154:AP154" si="376">AB154*$CZ154*$AA154*$Y154/1000/1000</f>
        <v>#DIV/0!</v>
      </c>
      <c r="AL154" s="1264" t="e">
        <f t="shared" si="376"/>
        <v>#DIV/0!</v>
      </c>
      <c r="AM154" s="1264" t="e">
        <f t="shared" si="376"/>
        <v>#DIV/0!</v>
      </c>
      <c r="AN154" s="1264" t="e">
        <f t="shared" si="376"/>
        <v>#DIV/0!</v>
      </c>
      <c r="AO154" s="1264" t="e">
        <f t="shared" si="376"/>
        <v>#DIV/0!</v>
      </c>
      <c r="AP154" s="1323" t="e">
        <f t="shared" si="376"/>
        <v>#DIV/0!</v>
      </c>
      <c r="AQ154" s="1375" t="e">
        <f t="shared" ref="AQ154" si="377">AJ154/1000/1000-AP154</f>
        <v>#DIV/0!</v>
      </c>
      <c r="AR154" s="790">
        <f t="shared" si="357"/>
        <v>0</v>
      </c>
      <c r="AS154" s="803">
        <f t="shared" si="358"/>
        <v>0</v>
      </c>
      <c r="AT154" s="1311" t="e">
        <f>(AB154-B154)*$CZ154*$AA154*$Y154/1000/1000</f>
        <v>#DIV/0!</v>
      </c>
      <c r="AU154" s="1264" t="e">
        <f>(AC154-C154)*$CZ154*$AA154*$Y154/1000/1000</f>
        <v>#DIV/0!</v>
      </c>
      <c r="AV154" s="1264" t="e">
        <f>(AD154-D154)*$CZ154*$AA154*$Y154/1000/1000</f>
        <v>#DIV/0!</v>
      </c>
      <c r="AW154" s="1264" t="e">
        <f>(AE154-E154)*$CZ154*$AA154*$Y154/1000/1000</f>
        <v>#DIV/0!</v>
      </c>
      <c r="AX154" s="1264" t="e">
        <f>(AF154-F154)*$CZ154*$AA154*$Y154/1000/1000</f>
        <v>#DIV/0!</v>
      </c>
      <c r="AY154" s="1323" t="e">
        <f t="shared" ref="AY154" si="378">SUM(AT154:AX154)</f>
        <v>#DIV/0!</v>
      </c>
      <c r="AZ154" s="1277"/>
      <c r="BA154" s="1360" t="e">
        <f>(I154+D154)*AA154*CZ154*A154</f>
        <v>#DIV/0!</v>
      </c>
      <c r="BB154" s="1360">
        <f t="shared" ref="BB154" si="379">(BC154+BE154+BF154+BD154)*AA154+0.76*Y154*AA154</f>
        <v>0</v>
      </c>
      <c r="BC154" s="1361"/>
      <c r="BD154" s="1361"/>
      <c r="BE154" s="1361"/>
      <c r="BF154" s="1361"/>
      <c r="BG154" s="1240"/>
      <c r="BH154" s="1282"/>
      <c r="BI154" s="1282">
        <f t="shared" ref="BI154" si="380">BG154*AA154*Y154</f>
        <v>0</v>
      </c>
      <c r="BJ154" s="1299" t="e">
        <f t="shared" ref="BJ154" si="381">AJ154/AA154-AZ154-BG154*Y154</f>
        <v>#DIV/0!</v>
      </c>
      <c r="BK154" s="1282" t="e">
        <f t="shared" ref="BK154" si="382">AR154/AA154-AZ154-BG154</f>
        <v>#DIV/0!</v>
      </c>
      <c r="BL154" s="1286"/>
      <c r="BM154" s="1282" t="e">
        <f t="shared" ref="BM154" si="383">BJ154-BL154</f>
        <v>#DIV/0!</v>
      </c>
      <c r="BN154" s="1282" t="e">
        <f t="shared" ref="BN154" si="384">BK154-BL154</f>
        <v>#DIV/0!</v>
      </c>
      <c r="BO154" s="1240"/>
      <c r="BP154" s="94"/>
      <c r="BQ154" s="604"/>
      <c r="BR154" s="1238" t="e">
        <f>(AI154+AI155)/AA154/7.18</f>
        <v>#DIV/0!</v>
      </c>
      <c r="BS154" s="1240">
        <f t="shared" ref="BS154" si="385">CN154-BO154</f>
        <v>0</v>
      </c>
      <c r="BT154" s="1242">
        <f t="shared" ref="BT154" si="386">CM154-BO154</f>
        <v>0</v>
      </c>
      <c r="BU154" s="1242" t="e">
        <f t="shared" ref="BU154" si="387">BR154-BS154</f>
        <v>#DIV/0!</v>
      </c>
      <c r="BV154" s="1280" t="e">
        <f t="shared" ref="BV154" si="388">BR154-BT154</f>
        <v>#DIV/0!</v>
      </c>
      <c r="BW154" s="598"/>
      <c r="BX154" s="598"/>
      <c r="BY154" s="598"/>
      <c r="BZ154" s="600"/>
      <c r="CA154" s="604"/>
      <c r="CB154" s="1311"/>
      <c r="CC154" s="1264"/>
      <c r="CD154" s="1264"/>
      <c r="CE154" s="1264"/>
      <c r="CF154" s="598"/>
      <c r="CG154" s="598"/>
      <c r="CH154" s="1252"/>
      <c r="CI154" s="605"/>
      <c r="CJ154" s="605"/>
      <c r="CK154" s="605"/>
      <c r="CL154" s="607"/>
      <c r="CM154" s="1248"/>
      <c r="CN154" s="1252"/>
      <c r="CO154" s="605"/>
      <c r="CP154" s="607"/>
      <c r="CQ154" s="600"/>
      <c r="CR154" s="1347"/>
      <c r="CS154" s="1264"/>
      <c r="CT154" s="1264"/>
      <c r="CU154" s="1264"/>
      <c r="CV154" s="1252"/>
      <c r="CW154" s="1252"/>
      <c r="CX154" s="1264"/>
      <c r="CY154" s="1323"/>
      <c r="CZ154" s="1349" t="e">
        <f>(AI154+AI155)/AA154/(BR154+BP154)</f>
        <v>#DIV/0!</v>
      </c>
      <c r="DA154" s="1236" t="e">
        <f>CR154*AA154*BU154*CZ154/1000000</f>
        <v>#DIV/0!</v>
      </c>
      <c r="DB154" s="768" t="e">
        <f>CR154*AA154*BV154*CZ154/1000000</f>
        <v>#DIV/0!</v>
      </c>
      <c r="DC154" s="1236">
        <f>[182]Анализ!BE169</f>
        <v>0</v>
      </c>
      <c r="DD154" s="1236" t="e">
        <f>SUM(AT154,AW154,AX154)</f>
        <v>#DIV/0!</v>
      </c>
      <c r="DE154" s="1236" t="e">
        <f>AL154</f>
        <v>#DIV/0!</v>
      </c>
      <c r="DF154" s="1236" t="e">
        <f>AV154</f>
        <v>#DIV/0!</v>
      </c>
      <c r="DG154" s="1236" t="e">
        <f>(BA154-BB154)/1000/1000</f>
        <v>#DIV/0!</v>
      </c>
      <c r="DH154" s="1236">
        <f>(BH154-BI154)/1000/1000</f>
        <v>0</v>
      </c>
      <c r="DI154" s="1236">
        <f>AS154/1000000</f>
        <v>0</v>
      </c>
      <c r="DJ154" s="1236">
        <f>CI154/1000/1000</f>
        <v>0</v>
      </c>
      <c r="DK154" s="1236">
        <f t="shared" si="370"/>
        <v>0</v>
      </c>
      <c r="DL154" s="1236">
        <f t="shared" si="371"/>
        <v>0</v>
      </c>
      <c r="DM154" s="1329" t="e">
        <f t="shared" si="372"/>
        <v>#DIV/0!</v>
      </c>
      <c r="DN154" s="68"/>
    </row>
    <row r="155" spans="1:121" s="69" customFormat="1" ht="15.95" customHeight="1" x14ac:dyDescent="0.25">
      <c r="A155" s="1233"/>
      <c r="B155" s="1233"/>
      <c r="C155" s="1229"/>
      <c r="D155" s="1229"/>
      <c r="E155" s="1229"/>
      <c r="F155" s="602"/>
      <c r="G155" s="1229"/>
      <c r="H155" s="1233"/>
      <c r="I155" s="1231"/>
      <c r="J155" s="1364"/>
      <c r="K155" s="1316"/>
      <c r="L155" s="1318"/>
      <c r="M155" s="1366"/>
      <c r="N155" s="612"/>
      <c r="O155" s="613"/>
      <c r="P155" s="614"/>
      <c r="Q155" s="616">
        <f>P155-M154</f>
        <v>0</v>
      </c>
      <c r="R155" s="748">
        <f t="shared" si="337"/>
        <v>0</v>
      </c>
      <c r="S155" s="687"/>
      <c r="T155" s="746"/>
      <c r="U155" s="746"/>
      <c r="V155" s="746"/>
      <c r="W155" s="746"/>
      <c r="X155" s="1355"/>
      <c r="Y155" s="337"/>
      <c r="Z155" s="615"/>
      <c r="AA155" s="1408"/>
      <c r="AB155" s="1233"/>
      <c r="AC155" s="1229"/>
      <c r="AD155" s="1229"/>
      <c r="AE155" s="1229"/>
      <c r="AF155" s="1231"/>
      <c r="AG155" s="1348" t="e">
        <f t="shared" ref="AG155" si="389">K155/H155/7.16</f>
        <v>#DIV/0!</v>
      </c>
      <c r="AH155" s="656"/>
      <c r="AI155" s="616"/>
      <c r="AJ155" s="620">
        <f>AI155*Y154</f>
        <v>0</v>
      </c>
      <c r="AK155" s="1312"/>
      <c r="AL155" s="1251"/>
      <c r="AM155" s="1251"/>
      <c r="AN155" s="1251"/>
      <c r="AO155" s="1251"/>
      <c r="AP155" s="1324"/>
      <c r="AQ155" s="1376"/>
      <c r="AR155" s="620">
        <f t="shared" si="357"/>
        <v>0</v>
      </c>
      <c r="AS155" s="618">
        <f t="shared" si="358"/>
        <v>0</v>
      </c>
      <c r="AT155" s="1312"/>
      <c r="AU155" s="1251"/>
      <c r="AV155" s="1251"/>
      <c r="AW155" s="1251"/>
      <c r="AX155" s="1251"/>
      <c r="AY155" s="1324"/>
      <c r="AZ155" s="1278"/>
      <c r="BA155" s="1283"/>
      <c r="BB155" s="1283"/>
      <c r="BC155" s="1362"/>
      <c r="BD155" s="1362"/>
      <c r="BE155" s="1362"/>
      <c r="BF155" s="1362"/>
      <c r="BG155" s="1241"/>
      <c r="BH155" s="1283"/>
      <c r="BI155" s="1283"/>
      <c r="BJ155" s="1300"/>
      <c r="BK155" s="1283"/>
      <c r="BL155" s="1287"/>
      <c r="BM155" s="1283"/>
      <c r="BN155" s="1283"/>
      <c r="BO155" s="1241"/>
      <c r="BP155" s="94"/>
      <c r="BQ155" s="604"/>
      <c r="BR155" s="1239"/>
      <c r="BS155" s="1310"/>
      <c r="BT155" s="1243"/>
      <c r="BU155" s="1279"/>
      <c r="BV155" s="1281"/>
      <c r="BW155" s="598"/>
      <c r="BX155" s="598"/>
      <c r="BY155" s="598"/>
      <c r="BZ155" s="600"/>
      <c r="CA155" s="604"/>
      <c r="CB155" s="1312"/>
      <c r="CC155" s="1251"/>
      <c r="CD155" s="1251"/>
      <c r="CE155" s="1251"/>
      <c r="CF155" s="599"/>
      <c r="CG155" s="599"/>
      <c r="CH155" s="1253"/>
      <c r="CI155" s="606"/>
      <c r="CJ155" s="606"/>
      <c r="CK155" s="606"/>
      <c r="CL155" s="608"/>
      <c r="CM155" s="1249"/>
      <c r="CN155" s="1253"/>
      <c r="CO155" s="605"/>
      <c r="CP155" s="607"/>
      <c r="CQ155" s="600"/>
      <c r="CR155" s="1348"/>
      <c r="CS155" s="1251"/>
      <c r="CT155" s="1251"/>
      <c r="CU155" s="1251"/>
      <c r="CV155" s="1253"/>
      <c r="CW155" s="1253"/>
      <c r="CX155" s="1251"/>
      <c r="CY155" s="1324"/>
      <c r="CZ155" s="1349"/>
      <c r="DA155" s="1237"/>
      <c r="DB155" s="769"/>
      <c r="DC155" s="1237">
        <f>[182]Анализ!BE170</f>
        <v>0</v>
      </c>
      <c r="DD155" s="1237">
        <f>SUM(AT155,AW155,AX155)</f>
        <v>0</v>
      </c>
      <c r="DE155" s="1237">
        <f>AL155</f>
        <v>0</v>
      </c>
      <c r="DF155" s="1237">
        <f>AV155</f>
        <v>0</v>
      </c>
      <c r="DG155" s="1237">
        <f>(BA155-BB155)/1000/1000</f>
        <v>0</v>
      </c>
      <c r="DH155" s="1237">
        <f>(BH155-BI155)/1000/1000</f>
        <v>0</v>
      </c>
      <c r="DI155" s="1237"/>
      <c r="DJ155" s="1237">
        <f>CI155/1000/1000</f>
        <v>0</v>
      </c>
      <c r="DK155" s="1237">
        <f t="shared" si="370"/>
        <v>0</v>
      </c>
      <c r="DL155" s="1237">
        <f t="shared" si="371"/>
        <v>0</v>
      </c>
      <c r="DM155" s="1330">
        <f t="shared" si="372"/>
        <v>0</v>
      </c>
      <c r="DN155" s="68"/>
    </row>
    <row r="156" spans="1:121" s="69" customFormat="1" ht="15.95" customHeight="1" outlineLevel="1" x14ac:dyDescent="0.25">
      <c r="A156" s="1232"/>
      <c r="B156" s="1232"/>
      <c r="C156" s="1228"/>
      <c r="D156" s="1228"/>
      <c r="E156" s="1228"/>
      <c r="F156" s="601"/>
      <c r="G156" s="1228"/>
      <c r="H156" s="1232"/>
      <c r="I156" s="1230"/>
      <c r="J156" s="1350"/>
      <c r="K156" s="1352"/>
      <c r="L156" s="1354"/>
      <c r="M156" s="1356"/>
      <c r="N156" s="612"/>
      <c r="O156" s="613"/>
      <c r="P156" s="614"/>
      <c r="Q156" s="616"/>
      <c r="R156" s="748"/>
      <c r="S156" s="687"/>
      <c r="T156" s="746"/>
      <c r="U156" s="746"/>
      <c r="V156" s="746"/>
      <c r="W156" s="746"/>
      <c r="X156" s="1354"/>
      <c r="Y156" s="1358"/>
      <c r="Z156" s="615"/>
      <c r="AA156" s="1325"/>
      <c r="AB156" s="1232"/>
      <c r="AC156" s="1228"/>
      <c r="AD156" s="1228"/>
      <c r="AE156" s="1228"/>
      <c r="AF156" s="1230"/>
      <c r="AG156" s="1347"/>
      <c r="AH156" s="654"/>
      <c r="AI156" s="616"/>
      <c r="AJ156" s="620"/>
      <c r="AK156" s="1311"/>
      <c r="AL156" s="1264"/>
      <c r="AM156" s="1264"/>
      <c r="AN156" s="1264"/>
      <c r="AO156" s="1264"/>
      <c r="AP156" s="1323"/>
      <c r="AQ156" s="1375"/>
      <c r="AR156" s="620"/>
      <c r="AS156" s="618"/>
      <c r="AT156" s="1311"/>
      <c r="AU156" s="1264"/>
      <c r="AV156" s="1264"/>
      <c r="AW156" s="1264"/>
      <c r="AX156" s="1264"/>
      <c r="AY156" s="1323"/>
      <c r="AZ156" s="1277"/>
      <c r="BA156" s="1360"/>
      <c r="BB156" s="1360"/>
      <c r="BC156" s="1361"/>
      <c r="BD156" s="1361"/>
      <c r="BE156" s="1361"/>
      <c r="BF156" s="1361"/>
      <c r="BG156" s="1240"/>
      <c r="BH156" s="1282"/>
      <c r="BI156" s="1282"/>
      <c r="BJ156" s="1299"/>
      <c r="BK156" s="1282"/>
      <c r="BL156" s="1286"/>
      <c r="BM156" s="1282"/>
      <c r="BN156" s="1282"/>
      <c r="BO156" s="1240"/>
      <c r="BP156" s="94"/>
      <c r="BQ156" s="604"/>
      <c r="BR156" s="1238"/>
      <c r="BS156" s="1240"/>
      <c r="BT156" s="1242"/>
      <c r="BU156" s="1242"/>
      <c r="BV156" s="1280"/>
      <c r="BW156" s="598"/>
      <c r="BX156" s="598"/>
      <c r="BY156" s="598"/>
      <c r="BZ156" s="600"/>
      <c r="CA156" s="604"/>
      <c r="CB156" s="1311"/>
      <c r="CC156" s="1264"/>
      <c r="CD156" s="1264"/>
      <c r="CE156" s="1264"/>
      <c r="CF156" s="598"/>
      <c r="CG156" s="598"/>
      <c r="CH156" s="1252"/>
      <c r="CI156" s="605"/>
      <c r="CJ156" s="605"/>
      <c r="CK156" s="605"/>
      <c r="CL156" s="607"/>
      <c r="CM156" s="609"/>
      <c r="CN156" s="605"/>
      <c r="CO156" s="605"/>
      <c r="CP156" s="607"/>
      <c r="CQ156" s="600"/>
      <c r="CR156" s="1347"/>
      <c r="CS156" s="1264"/>
      <c r="CT156" s="1264"/>
      <c r="CU156" s="1264"/>
      <c r="CV156" s="1252"/>
      <c r="CW156" s="1252"/>
      <c r="CX156" s="1264"/>
      <c r="CY156" s="1323"/>
      <c r="CZ156" s="1349"/>
      <c r="DA156" s="1236"/>
      <c r="DB156" s="768"/>
      <c r="DC156" s="1236"/>
      <c r="DD156" s="1236"/>
      <c r="DE156" s="1236"/>
      <c r="DF156" s="1236"/>
      <c r="DG156" s="1236"/>
      <c r="DH156" s="1236"/>
      <c r="DI156" s="1236"/>
      <c r="DJ156" s="1236"/>
      <c r="DK156" s="1236"/>
      <c r="DL156" s="1236"/>
      <c r="DM156" s="1329"/>
      <c r="DN156" s="68"/>
    </row>
    <row r="157" spans="1:121" s="69" customFormat="1" ht="15.95" customHeight="1" outlineLevel="1" x14ac:dyDescent="0.25">
      <c r="A157" s="1233"/>
      <c r="B157" s="1233"/>
      <c r="C157" s="1229"/>
      <c r="D157" s="1229"/>
      <c r="E157" s="1229"/>
      <c r="F157" s="602"/>
      <c r="G157" s="1229"/>
      <c r="H157" s="1233"/>
      <c r="I157" s="1231"/>
      <c r="J157" s="1351"/>
      <c r="K157" s="1353"/>
      <c r="L157" s="1355"/>
      <c r="M157" s="1357"/>
      <c r="N157" s="612"/>
      <c r="O157" s="613"/>
      <c r="P157" s="614"/>
      <c r="Q157" s="616"/>
      <c r="R157" s="748"/>
      <c r="S157" s="687"/>
      <c r="T157" s="746"/>
      <c r="U157" s="746"/>
      <c r="V157" s="746"/>
      <c r="W157" s="746"/>
      <c r="X157" s="1355"/>
      <c r="Y157" s="1359"/>
      <c r="Z157" s="615"/>
      <c r="AA157" s="1326"/>
      <c r="AB157" s="1233"/>
      <c r="AC157" s="1229"/>
      <c r="AD157" s="1229"/>
      <c r="AE157" s="1229"/>
      <c r="AF157" s="1231"/>
      <c r="AG157" s="1348"/>
      <c r="AH157" s="656"/>
      <c r="AI157" s="616"/>
      <c r="AJ157" s="620"/>
      <c r="AK157" s="1312"/>
      <c r="AL157" s="1251"/>
      <c r="AM157" s="1251"/>
      <c r="AN157" s="1251"/>
      <c r="AO157" s="1251"/>
      <c r="AP157" s="1324"/>
      <c r="AQ157" s="1376"/>
      <c r="AR157" s="620"/>
      <c r="AS157" s="618"/>
      <c r="AT157" s="1312"/>
      <c r="AU157" s="1251"/>
      <c r="AV157" s="1251"/>
      <c r="AW157" s="1251"/>
      <c r="AX157" s="1251"/>
      <c r="AY157" s="1324"/>
      <c r="AZ157" s="1278"/>
      <c r="BA157" s="1283"/>
      <c r="BB157" s="1283"/>
      <c r="BC157" s="1362"/>
      <c r="BD157" s="1362"/>
      <c r="BE157" s="1362"/>
      <c r="BF157" s="1362"/>
      <c r="BG157" s="1241"/>
      <c r="BH157" s="1283"/>
      <c r="BI157" s="1283"/>
      <c r="BJ157" s="1300"/>
      <c r="BK157" s="1283"/>
      <c r="BL157" s="1287"/>
      <c r="BM157" s="1283"/>
      <c r="BN157" s="1283"/>
      <c r="BO157" s="1241"/>
      <c r="BP157" s="94"/>
      <c r="BQ157" s="604"/>
      <c r="BR157" s="1239"/>
      <c r="BS157" s="1310"/>
      <c r="BT157" s="1243"/>
      <c r="BU157" s="1279"/>
      <c r="BV157" s="1281"/>
      <c r="BW157" s="598"/>
      <c r="BX157" s="598"/>
      <c r="BY157" s="598"/>
      <c r="BZ157" s="600"/>
      <c r="CA157" s="604"/>
      <c r="CB157" s="1312"/>
      <c r="CC157" s="1251"/>
      <c r="CD157" s="1251"/>
      <c r="CE157" s="1251"/>
      <c r="CF157" s="599"/>
      <c r="CG157" s="599"/>
      <c r="CH157" s="1253"/>
      <c r="CI157" s="606"/>
      <c r="CJ157" s="606"/>
      <c r="CK157" s="606"/>
      <c r="CL157" s="608"/>
      <c r="CM157" s="609"/>
      <c r="CN157" s="605"/>
      <c r="CO157" s="605"/>
      <c r="CP157" s="607"/>
      <c r="CQ157" s="600"/>
      <c r="CR157" s="1348"/>
      <c r="CS157" s="1251"/>
      <c r="CT157" s="1251"/>
      <c r="CU157" s="1251"/>
      <c r="CV157" s="1253"/>
      <c r="CW157" s="1253"/>
      <c r="CX157" s="1251"/>
      <c r="CY157" s="1324"/>
      <c r="CZ157" s="1349"/>
      <c r="DA157" s="1237"/>
      <c r="DB157" s="769"/>
      <c r="DC157" s="1237"/>
      <c r="DD157" s="1237"/>
      <c r="DE157" s="1237"/>
      <c r="DF157" s="1237"/>
      <c r="DG157" s="1237"/>
      <c r="DH157" s="1237"/>
      <c r="DI157" s="1237"/>
      <c r="DJ157" s="1237"/>
      <c r="DK157" s="1237"/>
      <c r="DL157" s="1237"/>
      <c r="DM157" s="1330"/>
      <c r="DN157" s="68"/>
    </row>
    <row r="158" spans="1:121" s="69" customFormat="1" ht="15.95" customHeight="1" outlineLevel="1" x14ac:dyDescent="0.25">
      <c r="A158" s="1232"/>
      <c r="B158" s="1232"/>
      <c r="C158" s="1228"/>
      <c r="D158" s="1228"/>
      <c r="E158" s="1228"/>
      <c r="F158" s="601"/>
      <c r="G158" s="1228"/>
      <c r="H158" s="1232"/>
      <c r="I158" s="1230"/>
      <c r="J158" s="1350"/>
      <c r="K158" s="1352"/>
      <c r="L158" s="1354"/>
      <c r="M158" s="1356"/>
      <c r="N158" s="612"/>
      <c r="O158" s="613"/>
      <c r="P158" s="614"/>
      <c r="Q158" s="616"/>
      <c r="R158" s="748"/>
      <c r="S158" s="687"/>
      <c r="T158" s="746"/>
      <c r="U158" s="746"/>
      <c r="V158" s="746"/>
      <c r="W158" s="746"/>
      <c r="X158" s="1354"/>
      <c r="Y158" s="1358"/>
      <c r="Z158" s="615"/>
      <c r="AA158" s="1325"/>
      <c r="AB158" s="1232"/>
      <c r="AC158" s="1228"/>
      <c r="AD158" s="1228"/>
      <c r="AE158" s="1228"/>
      <c r="AF158" s="1230"/>
      <c r="AG158" s="1347"/>
      <c r="AH158" s="654"/>
      <c r="AI158" s="616"/>
      <c r="AJ158" s="620"/>
      <c r="AK158" s="1311"/>
      <c r="AL158" s="1264"/>
      <c r="AM158" s="1264"/>
      <c r="AN158" s="1264"/>
      <c r="AO158" s="1264"/>
      <c r="AP158" s="1323"/>
      <c r="AQ158" s="1375"/>
      <c r="AR158" s="620"/>
      <c r="AS158" s="618"/>
      <c r="AT158" s="1311"/>
      <c r="AU158" s="1264"/>
      <c r="AV158" s="1264"/>
      <c r="AW158" s="1264"/>
      <c r="AX158" s="1264"/>
      <c r="AY158" s="1323"/>
      <c r="AZ158" s="1277"/>
      <c r="BA158" s="1360"/>
      <c r="BB158" s="1360"/>
      <c r="BC158" s="1361"/>
      <c r="BD158" s="1361"/>
      <c r="BE158" s="1361"/>
      <c r="BF158" s="1361"/>
      <c r="BG158" s="1240"/>
      <c r="BH158" s="1282"/>
      <c r="BI158" s="1282"/>
      <c r="BJ158" s="1299"/>
      <c r="BK158" s="1282"/>
      <c r="BL158" s="1286"/>
      <c r="BM158" s="1282"/>
      <c r="BN158" s="1282"/>
      <c r="BO158" s="1240"/>
      <c r="BP158" s="94"/>
      <c r="BQ158" s="604"/>
      <c r="BR158" s="1238"/>
      <c r="BS158" s="1240"/>
      <c r="BT158" s="1242"/>
      <c r="BU158" s="1242"/>
      <c r="BV158" s="1280"/>
      <c r="BW158" s="598"/>
      <c r="BX158" s="598"/>
      <c r="BY158" s="598"/>
      <c r="BZ158" s="600"/>
      <c r="CA158" s="604"/>
      <c r="CB158" s="1311"/>
      <c r="CC158" s="1264"/>
      <c r="CD158" s="1264"/>
      <c r="CE158" s="1264"/>
      <c r="CF158" s="598"/>
      <c r="CG158" s="598"/>
      <c r="CH158" s="1252"/>
      <c r="CI158" s="605"/>
      <c r="CJ158" s="605"/>
      <c r="CK158" s="605"/>
      <c r="CL158" s="607"/>
      <c r="CM158" s="609"/>
      <c r="CN158" s="605"/>
      <c r="CO158" s="605"/>
      <c r="CP158" s="607"/>
      <c r="CQ158" s="600"/>
      <c r="CR158" s="1347"/>
      <c r="CS158" s="1264"/>
      <c r="CT158" s="1264"/>
      <c r="CU158" s="1264"/>
      <c r="CV158" s="1252"/>
      <c r="CW158" s="1252"/>
      <c r="CX158" s="1264"/>
      <c r="CY158" s="1323"/>
      <c r="CZ158" s="1349"/>
      <c r="DA158" s="1236"/>
      <c r="DB158" s="768"/>
      <c r="DC158" s="1236"/>
      <c r="DD158" s="1236"/>
      <c r="DE158" s="1236"/>
      <c r="DF158" s="1236"/>
      <c r="DG158" s="1236"/>
      <c r="DH158" s="1236"/>
      <c r="DI158" s="1236"/>
      <c r="DJ158" s="1236"/>
      <c r="DK158" s="1236"/>
      <c r="DL158" s="1236"/>
      <c r="DM158" s="1329"/>
      <c r="DN158" s="68"/>
    </row>
    <row r="159" spans="1:121" s="69" customFormat="1" ht="15.95" customHeight="1" outlineLevel="1" x14ac:dyDescent="0.25">
      <c r="A159" s="1233"/>
      <c r="B159" s="1233"/>
      <c r="C159" s="1229"/>
      <c r="D159" s="1229"/>
      <c r="E159" s="1229"/>
      <c r="F159" s="602"/>
      <c r="G159" s="1229"/>
      <c r="H159" s="1233"/>
      <c r="I159" s="1231"/>
      <c r="J159" s="1351"/>
      <c r="K159" s="1353"/>
      <c r="L159" s="1355"/>
      <c r="M159" s="1357"/>
      <c r="N159" s="612"/>
      <c r="O159" s="613"/>
      <c r="P159" s="614"/>
      <c r="Q159" s="616"/>
      <c r="R159" s="748"/>
      <c r="S159" s="687"/>
      <c r="T159" s="746"/>
      <c r="U159" s="746"/>
      <c r="V159" s="746"/>
      <c r="W159" s="746"/>
      <c r="X159" s="1355"/>
      <c r="Y159" s="1359"/>
      <c r="Z159" s="615"/>
      <c r="AA159" s="1326"/>
      <c r="AB159" s="1233"/>
      <c r="AC159" s="1229"/>
      <c r="AD159" s="1229"/>
      <c r="AE159" s="1229"/>
      <c r="AF159" s="1231"/>
      <c r="AG159" s="1348"/>
      <c r="AH159" s="656"/>
      <c r="AI159" s="616"/>
      <c r="AJ159" s="620"/>
      <c r="AK159" s="1312"/>
      <c r="AL159" s="1251"/>
      <c r="AM159" s="1251"/>
      <c r="AN159" s="1251"/>
      <c r="AO159" s="1251"/>
      <c r="AP159" s="1324"/>
      <c r="AQ159" s="1376"/>
      <c r="AR159" s="620"/>
      <c r="AS159" s="618"/>
      <c r="AT159" s="1312"/>
      <c r="AU159" s="1251"/>
      <c r="AV159" s="1251"/>
      <c r="AW159" s="1251"/>
      <c r="AX159" s="1251"/>
      <c r="AY159" s="1324"/>
      <c r="AZ159" s="1278"/>
      <c r="BA159" s="1283"/>
      <c r="BB159" s="1283"/>
      <c r="BC159" s="1362"/>
      <c r="BD159" s="1362"/>
      <c r="BE159" s="1362"/>
      <c r="BF159" s="1362"/>
      <c r="BG159" s="1241"/>
      <c r="BH159" s="1283"/>
      <c r="BI159" s="1283"/>
      <c r="BJ159" s="1300"/>
      <c r="BK159" s="1283"/>
      <c r="BL159" s="1287"/>
      <c r="BM159" s="1283"/>
      <c r="BN159" s="1283"/>
      <c r="BO159" s="1241"/>
      <c r="BP159" s="94"/>
      <c r="BQ159" s="604"/>
      <c r="BR159" s="1239"/>
      <c r="BS159" s="1310"/>
      <c r="BT159" s="1243"/>
      <c r="BU159" s="1279"/>
      <c r="BV159" s="1281"/>
      <c r="BW159" s="598"/>
      <c r="BX159" s="598"/>
      <c r="BY159" s="598"/>
      <c r="BZ159" s="600"/>
      <c r="CA159" s="604"/>
      <c r="CB159" s="1312"/>
      <c r="CC159" s="1251"/>
      <c r="CD159" s="1251"/>
      <c r="CE159" s="1251"/>
      <c r="CF159" s="599"/>
      <c r="CG159" s="599"/>
      <c r="CH159" s="1253"/>
      <c r="CI159" s="606"/>
      <c r="CJ159" s="606"/>
      <c r="CK159" s="606"/>
      <c r="CL159" s="608"/>
      <c r="CM159" s="609"/>
      <c r="CN159" s="605"/>
      <c r="CO159" s="605"/>
      <c r="CP159" s="607"/>
      <c r="CQ159" s="600"/>
      <c r="CR159" s="1348"/>
      <c r="CS159" s="1251"/>
      <c r="CT159" s="1251"/>
      <c r="CU159" s="1251"/>
      <c r="CV159" s="1253"/>
      <c r="CW159" s="1253"/>
      <c r="CX159" s="1251"/>
      <c r="CY159" s="1324"/>
      <c r="CZ159" s="1349"/>
      <c r="DA159" s="1237"/>
      <c r="DB159" s="769"/>
      <c r="DC159" s="1237"/>
      <c r="DD159" s="1237"/>
      <c r="DE159" s="1237"/>
      <c r="DF159" s="1237"/>
      <c r="DG159" s="1237"/>
      <c r="DH159" s="1237"/>
      <c r="DI159" s="1237"/>
      <c r="DJ159" s="1237"/>
      <c r="DK159" s="1237"/>
      <c r="DL159" s="1237"/>
      <c r="DM159" s="1330"/>
      <c r="DN159" s="68"/>
    </row>
    <row r="160" spans="1:121" s="21" customFormat="1" ht="15.95" customHeight="1" outlineLevel="1" x14ac:dyDescent="0.25">
      <c r="A160" s="52"/>
      <c r="B160" s="52"/>
      <c r="C160" s="33"/>
      <c r="D160" s="33"/>
      <c r="E160" s="33"/>
      <c r="F160" s="33"/>
      <c r="G160" s="49"/>
      <c r="H160" s="33"/>
      <c r="I160" s="49"/>
      <c r="J160" s="46"/>
      <c r="K160" s="198"/>
      <c r="L160" s="199"/>
      <c r="M160" s="185"/>
      <c r="N160" s="35"/>
      <c r="O160" s="32"/>
      <c r="P160" s="35"/>
      <c r="Q160" s="23"/>
      <c r="R160" s="35"/>
      <c r="S160" s="35"/>
      <c r="T160" s="23"/>
      <c r="U160" s="23"/>
      <c r="V160" s="23"/>
      <c r="W160" s="23"/>
      <c r="X160" s="199"/>
      <c r="Y160" s="52"/>
      <c r="Z160" s="52"/>
      <c r="AA160" s="335"/>
      <c r="AB160" s="52"/>
      <c r="AC160" s="33"/>
      <c r="AD160" s="33"/>
      <c r="AE160" s="33"/>
      <c r="AF160" s="49"/>
      <c r="AG160" s="76"/>
      <c r="AH160" s="33"/>
      <c r="AI160" s="23"/>
      <c r="AJ160" s="23"/>
      <c r="AK160" s="575"/>
      <c r="AL160" s="576"/>
      <c r="AM160" s="576"/>
      <c r="AN160" s="576"/>
      <c r="AO160" s="576"/>
      <c r="AP160" s="576"/>
      <c r="AQ160" s="136"/>
      <c r="AR160" s="23"/>
      <c r="AS160" s="63"/>
      <c r="AT160" s="576"/>
      <c r="AU160" s="576"/>
      <c r="AV160" s="576"/>
      <c r="AW160" s="576"/>
      <c r="AX160" s="576"/>
      <c r="AY160" s="590"/>
      <c r="AZ160" s="135"/>
      <c r="BA160" s="594"/>
      <c r="BB160" s="594"/>
      <c r="BC160" s="576"/>
      <c r="BD160" s="576"/>
      <c r="BE160" s="576"/>
      <c r="BF160" s="576"/>
      <c r="BG160" s="33"/>
      <c r="BH160" s="594"/>
      <c r="BI160" s="594"/>
      <c r="BJ160" s="23"/>
      <c r="BK160" s="23"/>
      <c r="BL160" s="23"/>
      <c r="BM160" s="23"/>
      <c r="BN160" s="34"/>
      <c r="BO160" s="33"/>
      <c r="BP160" s="576"/>
      <c r="BQ160" s="375"/>
      <c r="BR160" s="52"/>
      <c r="BS160" s="33"/>
      <c r="BT160" s="521"/>
      <c r="BU160" s="521"/>
      <c r="BV160" s="315"/>
      <c r="BW160" s="23"/>
      <c r="BX160" s="23"/>
      <c r="BY160" s="23"/>
      <c r="BZ160" s="201"/>
      <c r="CA160" s="375"/>
      <c r="CB160" s="584"/>
      <c r="CC160" s="576"/>
      <c r="CD160" s="576"/>
      <c r="CE160" s="576"/>
      <c r="CF160" s="576"/>
      <c r="CG160" s="576"/>
      <c r="CH160" s="594"/>
      <c r="CI160" s="594"/>
      <c r="CJ160" s="594"/>
      <c r="CK160" s="594"/>
      <c r="CL160" s="596"/>
      <c r="CM160" s="595"/>
      <c r="CN160" s="23"/>
      <c r="CO160" s="594"/>
      <c r="CP160" s="596"/>
      <c r="CQ160" s="596"/>
      <c r="CR160" s="49"/>
      <c r="CS160" s="45"/>
      <c r="CT160" s="45"/>
      <c r="CU160" s="47"/>
      <c r="CV160" s="45"/>
      <c r="CW160" s="45"/>
      <c r="CX160" s="45"/>
      <c r="CY160" s="324"/>
      <c r="CZ160" s="311"/>
      <c r="DA160" s="649"/>
      <c r="DB160" s="769"/>
      <c r="DC160" s="649"/>
      <c r="DD160" s="649"/>
      <c r="DE160" s="649"/>
      <c r="DF160" s="649"/>
      <c r="DG160" s="649"/>
      <c r="DH160" s="649"/>
      <c r="DI160" s="649"/>
      <c r="DJ160" s="649"/>
      <c r="DK160" s="649"/>
      <c r="DL160" s="649"/>
      <c r="DM160" s="650"/>
      <c r="DN160" s="20"/>
      <c r="DO160" s="69"/>
      <c r="DQ160" s="20"/>
    </row>
    <row r="161" spans="1:121" s="21" customFormat="1" ht="15.95" customHeight="1" outlineLevel="1" x14ac:dyDescent="0.25">
      <c r="A161" s="52"/>
      <c r="B161" s="52"/>
      <c r="C161" s="33"/>
      <c r="D161" s="33"/>
      <c r="E161" s="33"/>
      <c r="F161" s="33"/>
      <c r="G161" s="49"/>
      <c r="H161" s="33"/>
      <c r="I161" s="49"/>
      <c r="J161" s="46"/>
      <c r="K161" s="198"/>
      <c r="L161" s="199"/>
      <c r="M161" s="185"/>
      <c r="N161" s="35"/>
      <c r="O161" s="32"/>
      <c r="P161" s="35"/>
      <c r="Q161" s="23"/>
      <c r="R161" s="35"/>
      <c r="S161" s="35"/>
      <c r="T161" s="23"/>
      <c r="U161" s="23"/>
      <c r="V161" s="23"/>
      <c r="W161" s="23"/>
      <c r="X161" s="199"/>
      <c r="Y161" s="52"/>
      <c r="Z161" s="52"/>
      <c r="AA161" s="335"/>
      <c r="AB161" s="52"/>
      <c r="AC161" s="33"/>
      <c r="AD161" s="33"/>
      <c r="AE161" s="33"/>
      <c r="AF161" s="49"/>
      <c r="AG161" s="76"/>
      <c r="AH161" s="33"/>
      <c r="AI161" s="23"/>
      <c r="AJ161" s="23"/>
      <c r="AK161" s="575"/>
      <c r="AL161" s="576"/>
      <c r="AM161" s="576"/>
      <c r="AN161" s="576"/>
      <c r="AO161" s="576"/>
      <c r="AP161" s="576"/>
      <c r="AQ161" s="136"/>
      <c r="AR161" s="23"/>
      <c r="AS161" s="63"/>
      <c r="AT161" s="576"/>
      <c r="AU161" s="576"/>
      <c r="AV161" s="576"/>
      <c r="AW161" s="576"/>
      <c r="AX161" s="576"/>
      <c r="AY161" s="590"/>
      <c r="AZ161" s="135"/>
      <c r="BA161" s="594"/>
      <c r="BB161" s="594"/>
      <c r="BC161" s="576"/>
      <c r="BD161" s="576"/>
      <c r="BE161" s="576"/>
      <c r="BF161" s="576"/>
      <c r="BG161" s="33"/>
      <c r="BH161" s="594"/>
      <c r="BI161" s="594"/>
      <c r="BJ161" s="23"/>
      <c r="BK161" s="23"/>
      <c r="BL161" s="23"/>
      <c r="BM161" s="23"/>
      <c r="BN161" s="34"/>
      <c r="BO161" s="33"/>
      <c r="BP161" s="576"/>
      <c r="BQ161" s="375"/>
      <c r="BR161" s="52"/>
      <c r="BS161" s="33"/>
      <c r="BT161" s="521"/>
      <c r="BU161" s="521"/>
      <c r="BV161" s="315"/>
      <c r="BW161" s="23"/>
      <c r="BX161" s="23"/>
      <c r="BY161" s="23"/>
      <c r="BZ161" s="201"/>
      <c r="CA161" s="375"/>
      <c r="CB161" s="584"/>
      <c r="CC161" s="576"/>
      <c r="CD161" s="576"/>
      <c r="CE161" s="576"/>
      <c r="CF161" s="576"/>
      <c r="CG161" s="576"/>
      <c r="CH161" s="594"/>
      <c r="CI161" s="594"/>
      <c r="CJ161" s="594"/>
      <c r="CK161" s="594"/>
      <c r="CL161" s="596"/>
      <c r="CM161" s="595"/>
      <c r="CN161" s="23"/>
      <c r="CO161" s="594"/>
      <c r="CP161" s="596"/>
      <c r="CQ161" s="596"/>
      <c r="CR161" s="49"/>
      <c r="CS161" s="45"/>
      <c r="CT161" s="45"/>
      <c r="CU161" s="47"/>
      <c r="CV161" s="45"/>
      <c r="CW161" s="45"/>
      <c r="CX161" s="45"/>
      <c r="CY161" s="324"/>
      <c r="CZ161" s="311"/>
      <c r="DA161" s="649"/>
      <c r="DB161" s="769"/>
      <c r="DC161" s="649"/>
      <c r="DD161" s="649"/>
      <c r="DE161" s="649"/>
      <c r="DF161" s="649"/>
      <c r="DG161" s="649"/>
      <c r="DH161" s="649"/>
      <c r="DI161" s="649">
        <f>AS161/1000/1000</f>
        <v>0</v>
      </c>
      <c r="DJ161" s="649"/>
      <c r="DK161" s="649"/>
      <c r="DL161" s="649"/>
      <c r="DM161" s="650">
        <f t="shared" si="349"/>
        <v>0</v>
      </c>
      <c r="DN161" s="20"/>
      <c r="DO161" s="69"/>
      <c r="DQ161" s="20"/>
    </row>
    <row r="162" spans="1:121" ht="20.100000000000001" customHeight="1" x14ac:dyDescent="0.25">
      <c r="A162" s="392"/>
      <c r="B162" s="393"/>
      <c r="C162" s="393"/>
      <c r="D162" s="393"/>
      <c r="E162" s="393"/>
      <c r="F162" s="393"/>
      <c r="G162" s="393"/>
      <c r="H162" s="393"/>
      <c r="I162" s="393"/>
      <c r="J162" s="414" t="s">
        <v>394</v>
      </c>
      <c r="K162" s="462"/>
      <c r="L162" s="415"/>
      <c r="M162" s="415"/>
      <c r="N162" s="415"/>
      <c r="O162" s="415"/>
      <c r="P162" s="415"/>
      <c r="Q162" s="418"/>
      <c r="R162" s="415"/>
      <c r="S162" s="415"/>
      <c r="T162" s="562">
        <f>SUM(T130:T161)</f>
        <v>0</v>
      </c>
      <c r="U162" s="562">
        <f>SUM(U130:U161)</f>
        <v>0</v>
      </c>
      <c r="V162" s="418"/>
      <c r="W162" s="418"/>
      <c r="X162" s="463"/>
      <c r="Y162" s="394" t="e">
        <f>AJ162/AI162</f>
        <v>#DIV/0!</v>
      </c>
      <c r="Z162" s="394" t="e">
        <f>AR162/AI162</f>
        <v>#DIV/0!</v>
      </c>
      <c r="AA162" s="417">
        <f>SUM(AA130:AA161)</f>
        <v>0</v>
      </c>
      <c r="AB162" s="478"/>
      <c r="AC162" s="465"/>
      <c r="AD162" s="465"/>
      <c r="AE162" s="465"/>
      <c r="AF162" s="479"/>
      <c r="AG162" s="417"/>
      <c r="AH162" s="418"/>
      <c r="AI162" s="418">
        <f>SUM(AI130:AI161)</f>
        <v>0</v>
      </c>
      <c r="AJ162" s="547">
        <f>SUM(AJ130:AJ161)</f>
        <v>0</v>
      </c>
      <c r="AK162" s="465"/>
      <c r="AL162" s="480"/>
      <c r="AM162" s="480"/>
      <c r="AN162" s="480"/>
      <c r="AO162" s="480"/>
      <c r="AP162" s="480"/>
      <c r="AQ162" s="465"/>
      <c r="AR162" s="418">
        <f>SUM(AR130:AR161)</f>
        <v>0</v>
      </c>
      <c r="AS162" s="419">
        <f>SUM(AS130:AS161)</f>
        <v>0</v>
      </c>
      <c r="AT162" s="465"/>
      <c r="AU162" s="480"/>
      <c r="AV162" s="480"/>
      <c r="AW162" s="480"/>
      <c r="AX162" s="480"/>
      <c r="AY162" s="480"/>
      <c r="AZ162" s="418"/>
      <c r="BA162" s="418"/>
      <c r="BB162" s="418"/>
      <c r="BC162" s="418"/>
      <c r="BD162" s="418"/>
      <c r="BE162" s="418"/>
      <c r="BF162" s="418"/>
      <c r="BG162" s="418"/>
      <c r="BH162" s="418"/>
      <c r="BI162" s="418"/>
      <c r="BJ162" s="420" t="e">
        <f>SUMPRODUCT(AA130:AA161,BJ130:BJ161)/AA162</f>
        <v>#DIV/0!</v>
      </c>
      <c r="BK162" s="420" t="e">
        <f>SUMPRODUCT(AA130:AA161,BK130:BK161)/AA162</f>
        <v>#DIV/0!</v>
      </c>
      <c r="BL162" s="420" t="e">
        <f>SUMPRODUCT(AA130:AA161,BL130:BL161)/AA162</f>
        <v>#DIV/0!</v>
      </c>
      <c r="BM162" s="420" t="e">
        <f>SUMPRODUCT(AA130:AA161,BM130:BM161)/AA162</f>
        <v>#DIV/0!</v>
      </c>
      <c r="BN162" s="420" t="e">
        <f>BK162-BL162</f>
        <v>#DIV/0!</v>
      </c>
      <c r="BO162" s="421" t="e">
        <f>SUMPRODUCT(AA130:AA161,BO130:BO161)/AA162</f>
        <v>#DIV/0!</v>
      </c>
      <c r="BP162" s="420"/>
      <c r="BQ162" s="484"/>
      <c r="BR162" s="422" t="e">
        <f>SUMPRODUCT(AA130:AA161,BR130:BR161)/AA162</f>
        <v>#DIV/0!</v>
      </c>
      <c r="BS162" s="423" t="e">
        <f>SUMPRODUCT($AA130:$AA161,BS130:BS161)/$AA162</f>
        <v>#DIV/0!</v>
      </c>
      <c r="BT162" s="524" t="e">
        <f>SUMPRODUCT($AA130:$AA161,BT130:BT161)/$AA162</f>
        <v>#DIV/0!</v>
      </c>
      <c r="BU162" s="517" t="e">
        <f>BR162-BS162</f>
        <v>#DIV/0!</v>
      </c>
      <c r="BV162" s="424" t="e">
        <f>BR162-BT162</f>
        <v>#DIV/0!</v>
      </c>
      <c r="BW162" s="446" t="e">
        <f>BU162*AA162*CZ162</f>
        <v>#DIV/0!</v>
      </c>
      <c r="BX162" s="446" t="e">
        <f>SUMPRODUCT(AA130:AA161,BU130:BU161,CZ130:CZ161,CR130:CR161)</f>
        <v>#DIV/0!</v>
      </c>
      <c r="BY162" s="446" t="e">
        <f>BV162*AA162*CZ162</f>
        <v>#DIV/0!</v>
      </c>
      <c r="BZ162" s="448" t="e">
        <f>SUMPRODUCT(AA130:AA161,BV130:BV161,CZ130:CZ161,CR130:CR161)</f>
        <v>#DIV/0!</v>
      </c>
      <c r="CA162" s="484"/>
      <c r="CB162" s="416"/>
      <c r="CC162" s="425"/>
      <c r="CD162" s="425"/>
      <c r="CE162" s="425"/>
      <c r="CF162" s="425"/>
      <c r="CG162" s="425"/>
      <c r="CH162" s="418"/>
      <c r="CI162" s="418"/>
      <c r="CJ162" s="418"/>
      <c r="CK162" s="418"/>
      <c r="CL162" s="547"/>
      <c r="CM162" s="422" t="e">
        <f>SUMPRODUCT($AA$130:$AA$161,CM130:CM161)/$AA$162</f>
        <v>#DIV/0!</v>
      </c>
      <c r="CN162" s="393" t="e">
        <f>SUMPRODUCT($AA$130:$AA$161,CN130:CN161)/$AA$162</f>
        <v>#DIV/0!</v>
      </c>
      <c r="CO162" s="418"/>
      <c r="CP162" s="547"/>
      <c r="CQ162" s="425"/>
      <c r="CR162" s="394" t="e">
        <f>SUMPRODUCT(AA130:AA161,CR130:CR161)/AA162</f>
        <v>#DIV/0!</v>
      </c>
      <c r="CS162" s="425"/>
      <c r="CT162" s="425"/>
      <c r="CU162" s="425"/>
      <c r="CV162" s="425"/>
      <c r="CW162" s="425"/>
      <c r="CX162" s="425"/>
      <c r="CY162" s="426"/>
      <c r="CZ162" s="399" t="e">
        <f>AI162/AA162/BR162</f>
        <v>#DIV/0!</v>
      </c>
      <c r="DA162" s="425" t="e">
        <f t="shared" ref="DA162:DL162" si="390">SUM(DA130:DA161)</f>
        <v>#DIV/0!</v>
      </c>
      <c r="DB162" s="425" t="e">
        <f t="shared" ref="DB162" si="391">SUM(DB130:DB161)</f>
        <v>#DIV/0!</v>
      </c>
      <c r="DC162" s="425">
        <f t="shared" si="390"/>
        <v>0</v>
      </c>
      <c r="DD162" s="425" t="e">
        <f t="shared" si="390"/>
        <v>#DIV/0!</v>
      </c>
      <c r="DE162" s="425" t="e">
        <f t="shared" si="390"/>
        <v>#DIV/0!</v>
      </c>
      <c r="DF162" s="425" t="e">
        <f t="shared" si="390"/>
        <v>#DIV/0!</v>
      </c>
      <c r="DG162" s="425" t="e">
        <f t="shared" si="390"/>
        <v>#DIV/0!</v>
      </c>
      <c r="DH162" s="425">
        <f t="shared" si="390"/>
        <v>0</v>
      </c>
      <c r="DI162" s="425">
        <f t="shared" si="390"/>
        <v>0</v>
      </c>
      <c r="DJ162" s="425">
        <f t="shared" si="390"/>
        <v>0</v>
      </c>
      <c r="DK162" s="425">
        <f t="shared" si="390"/>
        <v>0</v>
      </c>
      <c r="DL162" s="425">
        <f t="shared" si="390"/>
        <v>0</v>
      </c>
      <c r="DM162" s="428" t="e">
        <f>SUM(DA162:DL162)</f>
        <v>#DIV/0!</v>
      </c>
      <c r="DO162" s="69"/>
    </row>
    <row r="163" spans="1:121" ht="15" outlineLevel="1" x14ac:dyDescent="0.25">
      <c r="J163" s="214"/>
      <c r="K163" s="204"/>
      <c r="L163" s="215"/>
      <c r="M163" s="215"/>
      <c r="N163" s="215"/>
      <c r="O163" s="215"/>
      <c r="P163" s="215"/>
      <c r="Q163" s="217"/>
      <c r="R163" s="215"/>
      <c r="S163" s="215"/>
      <c r="T163" s="217"/>
      <c r="U163" s="217"/>
      <c r="V163" s="217"/>
      <c r="W163" s="217"/>
      <c r="X163" s="215"/>
      <c r="Y163" s="215"/>
      <c r="Z163" s="216"/>
      <c r="AA163" s="217"/>
      <c r="AB163" s="219"/>
      <c r="AC163" s="219"/>
      <c r="AD163" s="219"/>
      <c r="AE163" s="219"/>
      <c r="AF163" s="219"/>
      <c r="AG163" s="219"/>
      <c r="AH163" s="219"/>
      <c r="AI163" s="217"/>
      <c r="AJ163" s="296"/>
      <c r="AK163" s="219"/>
      <c r="AL163" s="295"/>
      <c r="AM163" s="295"/>
      <c r="AN163" s="295"/>
      <c r="AO163" s="295"/>
      <c r="AP163" s="295"/>
      <c r="AQ163" s="219"/>
      <c r="AR163" s="296"/>
      <c r="AS163" s="297"/>
      <c r="AT163" s="219"/>
      <c r="AU163" s="295"/>
      <c r="AV163" s="295"/>
      <c r="AW163" s="295"/>
      <c r="AX163" s="295"/>
      <c r="AY163" s="295"/>
      <c r="AZ163" s="217"/>
      <c r="BA163" s="296"/>
      <c r="BB163" s="296"/>
      <c r="BC163" s="295"/>
      <c r="BD163" s="295"/>
      <c r="BE163" s="295"/>
      <c r="BF163" s="295"/>
      <c r="BG163" s="219"/>
      <c r="BH163" s="296"/>
      <c r="BI163" s="296"/>
      <c r="BJ163" s="217"/>
      <c r="BK163" s="217"/>
      <c r="BL163" s="217"/>
      <c r="BM163" s="217"/>
      <c r="BN163" s="217"/>
      <c r="BO163" s="217"/>
      <c r="BP163" s="217"/>
      <c r="BQ163" s="376"/>
      <c r="BR163" s="104" t="e">
        <f>BR162*$AA162*$CZ162</f>
        <v>#DIV/0!</v>
      </c>
      <c r="BS163" s="100" t="e">
        <f>BS162*$AA162*$CZ162</f>
        <v>#DIV/0!</v>
      </c>
      <c r="BT163" s="100" t="e">
        <f>BT162*$AA162*$CZ162</f>
        <v>#DIV/0!</v>
      </c>
      <c r="BU163" s="518"/>
      <c r="BV163" s="382"/>
      <c r="BW163" s="295"/>
      <c r="BX163" s="295"/>
      <c r="BY163" s="295"/>
      <c r="BZ163" s="301"/>
      <c r="CA163" s="376"/>
      <c r="CB163" s="369"/>
      <c r="CC163" s="295"/>
      <c r="CD163" s="295"/>
      <c r="CE163" s="295"/>
      <c r="CF163" s="295"/>
      <c r="CG163" s="295"/>
      <c r="CH163" s="295"/>
      <c r="CI163" s="295"/>
      <c r="CJ163" s="295"/>
      <c r="CK163" s="295"/>
      <c r="CL163" s="301"/>
      <c r="CM163" s="564" t="e">
        <f>CM162*$AA162*$CZ162</f>
        <v>#DIV/0!</v>
      </c>
      <c r="CN163" s="217" t="e">
        <f>CN162*$AA162*$CZ162</f>
        <v>#DIV/0!</v>
      </c>
      <c r="CO163" s="295"/>
      <c r="CP163" s="301"/>
      <c r="CQ163" s="301"/>
      <c r="CR163" s="233"/>
      <c r="CS163" s="296"/>
      <c r="CT163" s="296"/>
      <c r="CU163" s="296"/>
      <c r="CV163" s="296"/>
      <c r="CW163" s="296"/>
      <c r="CX163" s="325"/>
      <c r="CY163" s="326"/>
      <c r="CZ163" s="312"/>
      <c r="DI163" s="79">
        <f>AS163/1000/1000</f>
        <v>0</v>
      </c>
      <c r="DM163" s="235">
        <f t="shared" si="349"/>
        <v>0</v>
      </c>
      <c r="DO163" s="69"/>
    </row>
    <row r="164" spans="1:121" ht="15" x14ac:dyDescent="0.25">
      <c r="J164" s="214"/>
      <c r="K164" s="204"/>
      <c r="L164" s="215"/>
      <c r="M164" s="215"/>
      <c r="N164" s="215"/>
      <c r="O164" s="215"/>
      <c r="P164" s="215"/>
      <c r="Q164" s="217"/>
      <c r="R164" s="215"/>
      <c r="S164" s="215"/>
      <c r="T164" s="217"/>
      <c r="U164" s="217"/>
      <c r="V164" s="217"/>
      <c r="W164" s="217"/>
      <c r="X164" s="215"/>
      <c r="Y164" s="215"/>
      <c r="Z164" s="216"/>
      <c r="AA164" s="217"/>
      <c r="AB164" s="219"/>
      <c r="AC164" s="219"/>
      <c r="AD164" s="219"/>
      <c r="AE164" s="219"/>
      <c r="AF164" s="219"/>
      <c r="AG164" s="219"/>
      <c r="AH164" s="219"/>
      <c r="AI164" s="217"/>
      <c r="AJ164" s="296"/>
      <c r="AK164" s="219"/>
      <c r="AL164" s="295"/>
      <c r="AM164" s="295"/>
      <c r="AN164" s="295"/>
      <c r="AO164" s="295"/>
      <c r="AP164" s="295"/>
      <c r="AQ164" s="219"/>
      <c r="AR164" s="296"/>
      <c r="AS164" s="297"/>
      <c r="AT164" s="219"/>
      <c r="AU164" s="295"/>
      <c r="AV164" s="295"/>
      <c r="AW164" s="295"/>
      <c r="AX164" s="295"/>
      <c r="AY164" s="295"/>
      <c r="AZ164" s="217"/>
      <c r="BA164" s="296"/>
      <c r="BB164" s="296"/>
      <c r="BC164" s="295"/>
      <c r="BD164" s="295"/>
      <c r="BE164" s="295"/>
      <c r="BF164" s="295"/>
      <c r="BG164" s="219"/>
      <c r="BH164" s="296"/>
      <c r="BI164" s="296"/>
      <c r="BJ164" s="217"/>
      <c r="BK164" s="217"/>
      <c r="BL164" s="217"/>
      <c r="BM164" s="217"/>
      <c r="BN164" s="217"/>
      <c r="BO164" s="217"/>
      <c r="BP164" s="217"/>
      <c r="BQ164" s="376"/>
      <c r="BR164" s="225"/>
      <c r="BS164" s="219"/>
      <c r="BT164" s="526"/>
      <c r="BU164" s="526"/>
      <c r="BV164" s="382"/>
      <c r="BW164" s="295"/>
      <c r="BX164" s="295"/>
      <c r="BY164" s="295"/>
      <c r="BZ164" s="301"/>
      <c r="CA164" s="376"/>
      <c r="CB164" s="369"/>
      <c r="CC164" s="295"/>
      <c r="CD164" s="295"/>
      <c r="CE164" s="295"/>
      <c r="CF164" s="295"/>
      <c r="CG164" s="295"/>
      <c r="CH164" s="295"/>
      <c r="CI164" s="295"/>
      <c r="CJ164" s="295"/>
      <c r="CK164" s="295"/>
      <c r="CL164" s="301"/>
      <c r="CM164" s="564"/>
      <c r="CN164" s="217"/>
      <c r="CO164" s="295"/>
      <c r="CP164" s="301"/>
      <c r="CQ164" s="301"/>
      <c r="CR164" s="233"/>
      <c r="CS164" s="296"/>
      <c r="CT164" s="296"/>
      <c r="CU164" s="296"/>
      <c r="CV164" s="296"/>
      <c r="CW164" s="296"/>
      <c r="CX164" s="325"/>
      <c r="CY164" s="326"/>
      <c r="CZ164" s="312"/>
      <c r="DM164" s="235"/>
      <c r="DO164" s="69"/>
    </row>
    <row r="165" spans="1:121" ht="15" x14ac:dyDescent="0.25">
      <c r="J165" s="214"/>
      <c r="K165" s="204"/>
      <c r="L165" s="215"/>
      <c r="M165" s="215"/>
      <c r="N165" s="215"/>
      <c r="O165" s="215"/>
      <c r="P165" s="215"/>
      <c r="Q165" s="217"/>
      <c r="R165" s="215"/>
      <c r="S165" s="215"/>
      <c r="T165" s="217"/>
      <c r="U165" s="217"/>
      <c r="V165" s="217"/>
      <c r="W165" s="217"/>
      <c r="X165" s="215"/>
      <c r="Y165" s="215"/>
      <c r="Z165" s="216"/>
      <c r="AA165" s="217"/>
      <c r="AB165" s="219"/>
      <c r="AC165" s="219"/>
      <c r="AD165" s="219"/>
      <c r="AE165" s="219"/>
      <c r="AF165" s="219"/>
      <c r="AG165" s="219"/>
      <c r="AH165" s="219"/>
      <c r="AI165" s="217"/>
      <c r="AJ165" s="296"/>
      <c r="AK165" s="219"/>
      <c r="AL165" s="295"/>
      <c r="AM165" s="295"/>
      <c r="AN165" s="295"/>
      <c r="AO165" s="295"/>
      <c r="AP165" s="295"/>
      <c r="AQ165" s="219"/>
      <c r="AR165" s="296"/>
      <c r="AS165" s="297"/>
      <c r="AT165" s="219"/>
      <c r="AU165" s="295"/>
      <c r="AV165" s="295"/>
      <c r="AW165" s="295"/>
      <c r="AX165" s="295"/>
      <c r="AY165" s="295"/>
      <c r="AZ165" s="217"/>
      <c r="BA165" s="296"/>
      <c r="BB165" s="296"/>
      <c r="BC165" s="295"/>
      <c r="BD165" s="295"/>
      <c r="BE165" s="295"/>
      <c r="BF165" s="295"/>
      <c r="BG165" s="219"/>
      <c r="BH165" s="296"/>
      <c r="BI165" s="296"/>
      <c r="BJ165" s="217"/>
      <c r="BK165" s="217"/>
      <c r="BL165" s="217"/>
      <c r="BM165" s="217"/>
      <c r="BN165" s="217"/>
      <c r="BO165" s="217"/>
      <c r="BP165" s="217"/>
      <c r="BQ165" s="376"/>
      <c r="BR165" s="225"/>
      <c r="BS165" s="219"/>
      <c r="BT165" s="526"/>
      <c r="BU165" s="526"/>
      <c r="BV165" s="382"/>
      <c r="BW165" s="295"/>
      <c r="BX165" s="254"/>
      <c r="BY165" s="295"/>
      <c r="BZ165" s="398"/>
      <c r="CA165" s="376"/>
      <c r="CB165" s="369"/>
      <c r="CC165" s="295"/>
      <c r="CD165" s="295"/>
      <c r="CE165" s="295"/>
      <c r="CF165" s="295"/>
      <c r="CG165" s="295"/>
      <c r="CH165" s="295"/>
      <c r="CI165" s="295"/>
      <c r="CJ165" s="295"/>
      <c r="CK165" s="295"/>
      <c r="CL165" s="301"/>
      <c r="CM165" s="564"/>
      <c r="CN165" s="217"/>
      <c r="CO165" s="295"/>
      <c r="CP165" s="301"/>
      <c r="CQ165" s="301"/>
      <c r="CR165" s="233"/>
      <c r="CS165" s="296"/>
      <c r="CT165" s="296"/>
      <c r="CU165" s="296"/>
      <c r="CV165" s="296"/>
      <c r="CW165" s="296"/>
      <c r="CX165" s="325"/>
      <c r="CY165" s="326"/>
      <c r="CZ165" s="401"/>
      <c r="DM165" s="235"/>
      <c r="DO165" s="69"/>
    </row>
    <row r="166" spans="1:121" s="152" customFormat="1" ht="20.100000000000001" customHeight="1" x14ac:dyDescent="0.25">
      <c r="A166" s="139"/>
      <c r="B166" s="139"/>
      <c r="C166" s="140"/>
      <c r="D166" s="140"/>
      <c r="E166" s="140"/>
      <c r="F166" s="140"/>
      <c r="G166" s="140"/>
      <c r="H166" s="139"/>
      <c r="I166" s="140"/>
      <c r="J166" s="141" t="s">
        <v>395</v>
      </c>
      <c r="K166" s="141"/>
      <c r="L166" s="191"/>
      <c r="M166" s="178"/>
      <c r="N166" s="143"/>
      <c r="O166" s="142"/>
      <c r="P166" s="143"/>
      <c r="Q166" s="449"/>
      <c r="R166" s="143"/>
      <c r="S166" s="143"/>
      <c r="T166" s="449"/>
      <c r="U166" s="449"/>
      <c r="V166" s="449"/>
      <c r="W166" s="449"/>
      <c r="X166" s="191"/>
      <c r="Y166" s="336"/>
      <c r="Z166" s="174"/>
      <c r="AA166" s="333"/>
      <c r="AB166" s="140"/>
      <c r="AC166" s="140"/>
      <c r="AD166" s="140"/>
      <c r="AE166" s="140"/>
      <c r="AF166" s="140"/>
      <c r="AG166" s="145"/>
      <c r="AH166" s="140"/>
      <c r="AI166" s="144"/>
      <c r="AJ166" s="144"/>
      <c r="AK166" s="139"/>
      <c r="AL166" s="144"/>
      <c r="AM166" s="144"/>
      <c r="AN166" s="144"/>
      <c r="AO166" s="144"/>
      <c r="AP166" s="146"/>
      <c r="AQ166" s="147"/>
      <c r="AR166" s="144"/>
      <c r="AS166" s="291"/>
      <c r="AT166" s="140"/>
      <c r="AU166" s="144"/>
      <c r="AV166" s="144"/>
      <c r="AW166" s="144"/>
      <c r="AX166" s="144"/>
      <c r="AY166" s="146"/>
      <c r="AZ166" s="148"/>
      <c r="BA166" s="144"/>
      <c r="BB166" s="144"/>
      <c r="BC166" s="149"/>
      <c r="BD166" s="149"/>
      <c r="BE166" s="149"/>
      <c r="BF166" s="149"/>
      <c r="BG166" s="140"/>
      <c r="BH166" s="144"/>
      <c r="BI166" s="144"/>
      <c r="BJ166" s="144"/>
      <c r="BK166" s="144"/>
      <c r="BL166" s="144"/>
      <c r="BM166" s="144"/>
      <c r="BN166" s="144"/>
      <c r="BO166" s="140"/>
      <c r="BP166" s="140"/>
      <c r="BQ166" s="371"/>
      <c r="BR166" s="139"/>
      <c r="BS166" s="140"/>
      <c r="BT166" s="512"/>
      <c r="BU166" s="512"/>
      <c r="BV166" s="377"/>
      <c r="BW166" s="144"/>
      <c r="BX166" s="144"/>
      <c r="BY166" s="144"/>
      <c r="BZ166" s="146"/>
      <c r="CA166" s="371"/>
      <c r="CB166" s="150"/>
      <c r="CC166" s="144"/>
      <c r="CD166" s="144"/>
      <c r="CE166" s="144"/>
      <c r="CF166" s="144"/>
      <c r="CG166" s="144"/>
      <c r="CH166" s="449"/>
      <c r="CI166" s="144"/>
      <c r="CJ166" s="144"/>
      <c r="CK166" s="144"/>
      <c r="CL166" s="146"/>
      <c r="CM166" s="148"/>
      <c r="CN166" s="144"/>
      <c r="CO166" s="144"/>
      <c r="CP166" s="146"/>
      <c r="CQ166" s="146"/>
      <c r="CR166" s="232"/>
      <c r="CS166" s="151"/>
      <c r="CT166" s="151"/>
      <c r="CU166" s="151"/>
      <c r="CV166" s="151"/>
      <c r="CW166" s="151"/>
      <c r="CX166" s="151"/>
      <c r="CY166" s="318"/>
      <c r="CZ166" s="151"/>
      <c r="DA166" s="766"/>
      <c r="DB166" s="766"/>
      <c r="DC166" s="766"/>
      <c r="DD166" s="766"/>
      <c r="DE166" s="766"/>
      <c r="DF166" s="766"/>
      <c r="DG166" s="766"/>
      <c r="DH166" s="766"/>
      <c r="DI166" s="766">
        <f t="shared" ref="DI166:DI190" si="392">AS166/1000/1000</f>
        <v>0</v>
      </c>
      <c r="DJ166" s="766"/>
      <c r="DK166" s="766"/>
      <c r="DL166" s="766"/>
      <c r="DM166" s="767">
        <f t="shared" si="349"/>
        <v>0</v>
      </c>
      <c r="DO166" s="69"/>
    </row>
    <row r="167" spans="1:121" s="25" customFormat="1" ht="15.95" customHeight="1" x14ac:dyDescent="0.25">
      <c r="A167" s="11"/>
      <c r="B167" s="44"/>
      <c r="C167" s="10"/>
      <c r="D167" s="10"/>
      <c r="E167" s="10"/>
      <c r="F167" s="10"/>
      <c r="G167" s="12"/>
      <c r="H167" s="11"/>
      <c r="I167" s="11"/>
      <c r="J167" s="42" t="s">
        <v>381</v>
      </c>
      <c r="K167" s="196"/>
      <c r="L167" s="195"/>
      <c r="M167" s="184"/>
      <c r="N167" s="72"/>
      <c r="O167" s="19"/>
      <c r="P167" s="72"/>
      <c r="Q167" s="749">
        <f t="shared" ref="Q167:Q182" si="393">P167-M167</f>
        <v>0</v>
      </c>
      <c r="R167" s="749">
        <f>P167-N167</f>
        <v>0</v>
      </c>
      <c r="S167" s="750"/>
      <c r="T167" s="721"/>
      <c r="U167" s="721"/>
      <c r="V167" s="735"/>
      <c r="W167" s="735"/>
      <c r="X167" s="661"/>
      <c r="Y167" s="337"/>
      <c r="Z167" s="176"/>
      <c r="AA167" s="334"/>
      <c r="AB167" s="44"/>
      <c r="AC167" s="10"/>
      <c r="AD167" s="10"/>
      <c r="AE167" s="10"/>
      <c r="AF167" s="10"/>
      <c r="AG167" s="82" t="e">
        <f t="shared" ref="AG167:AG182" si="394">AI167/AA167/CZ167</f>
        <v>#DIV/0!</v>
      </c>
      <c r="AH167" s="451"/>
      <c r="AI167" s="725"/>
      <c r="AJ167" s="725"/>
      <c r="AK167" s="451"/>
      <c r="AL167" s="451"/>
      <c r="AM167" s="451"/>
      <c r="AN167" s="451"/>
      <c r="AO167" s="451"/>
      <c r="AP167" s="451"/>
      <c r="AQ167" s="726"/>
      <c r="AR167" s="725">
        <f t="shared" ref="AR167:AR189" si="395">AI167*Z167</f>
        <v>0</v>
      </c>
      <c r="AS167" s="727">
        <f t="shared" ref="AS167:AS192" si="396">AR167-AJ167</f>
        <v>0</v>
      </c>
      <c r="AT167" s="277"/>
      <c r="AU167" s="277"/>
      <c r="AV167" s="277"/>
      <c r="AW167" s="277"/>
      <c r="AX167" s="277"/>
      <c r="AY167" s="282"/>
      <c r="AZ167" s="57"/>
      <c r="BA167" s="28"/>
      <c r="BB167" s="28"/>
      <c r="BC167" s="277"/>
      <c r="BD167" s="277"/>
      <c r="BE167" s="277"/>
      <c r="BF167" s="277"/>
      <c r="BG167" s="218"/>
      <c r="BH167" s="221"/>
      <c r="BI167" s="221"/>
      <c r="BJ167" s="221"/>
      <c r="BK167" s="221"/>
      <c r="BL167" s="221"/>
      <c r="BM167" s="221"/>
      <c r="BN167" s="221"/>
      <c r="BO167" s="281"/>
      <c r="BP167" s="236"/>
      <c r="BQ167" s="375"/>
      <c r="BR167" s="231" t="e">
        <f>AI167/AA167/7.1806</f>
        <v>#DIV/0!</v>
      </c>
      <c r="BS167" s="218">
        <f t="shared" ref="BS167:BS190" si="397">CN167-BO167</f>
        <v>0</v>
      </c>
      <c r="BT167" s="527">
        <f t="shared" ref="BT167:BT190" si="398">CM167-BO167</f>
        <v>0</v>
      </c>
      <c r="BU167" s="527" t="e">
        <f t="shared" ref="BU167:BU190" si="399">BR167-BS167</f>
        <v>#DIV/0!</v>
      </c>
      <c r="BV167" s="313" t="e">
        <f t="shared" ref="BV167:BV190" si="400">BR167-BT167</f>
        <v>#DIV/0!</v>
      </c>
      <c r="BW167" s="221"/>
      <c r="BX167" s="221"/>
      <c r="BY167" s="221"/>
      <c r="BZ167" s="237"/>
      <c r="CA167" s="375"/>
      <c r="CB167" s="238"/>
      <c r="CC167" s="218"/>
      <c r="CD167" s="218"/>
      <c r="CE167" s="218"/>
      <c r="CF167" s="218"/>
      <c r="CG167" s="218"/>
      <c r="CH167" s="221"/>
      <c r="CI167" s="221"/>
      <c r="CJ167" s="221"/>
      <c r="CK167" s="221"/>
      <c r="CL167" s="237"/>
      <c r="CM167" s="565"/>
      <c r="CN167" s="546"/>
      <c r="CO167" s="221"/>
      <c r="CP167" s="237"/>
      <c r="CQ167" s="237"/>
      <c r="CR167" s="285"/>
      <c r="CS167" s="239"/>
      <c r="CT167" s="239"/>
      <c r="CU167" s="239"/>
      <c r="CV167" s="239"/>
      <c r="CW167" s="239"/>
      <c r="CX167" s="239"/>
      <c r="CY167" s="327"/>
      <c r="CZ167" s="313" t="e">
        <f t="shared" ref="CZ167:CZ182" si="401">AI167/AA167/BR167</f>
        <v>#DIV/0!</v>
      </c>
      <c r="DA167" s="663" t="e">
        <f t="shared" ref="DA167:DA190" si="402">BU167*CZ167*AA167*CR167/1000/1000</f>
        <v>#DIV/0!</v>
      </c>
      <c r="DB167" s="773" t="e">
        <f t="shared" ref="DB167:DB190" si="403">BV167*CZ167*AA167*CR167/1000/1000</f>
        <v>#DIV/0!</v>
      </c>
      <c r="DC167" s="663"/>
      <c r="DD167" s="663"/>
      <c r="DE167" s="663"/>
      <c r="DF167" s="663"/>
      <c r="DG167" s="663"/>
      <c r="DH167" s="663"/>
      <c r="DI167" s="663">
        <f t="shared" si="392"/>
        <v>0</v>
      </c>
      <c r="DJ167" s="663"/>
      <c r="DK167" s="663"/>
      <c r="DL167" s="663"/>
      <c r="DM167" s="651" t="e">
        <f t="shared" si="349"/>
        <v>#DIV/0!</v>
      </c>
      <c r="DN167" s="20"/>
      <c r="DO167" s="69"/>
      <c r="DQ167" s="24"/>
    </row>
    <row r="168" spans="1:121" s="25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2" t="s">
        <v>381</v>
      </c>
      <c r="K168" s="196"/>
      <c r="L168" s="195"/>
      <c r="M168" s="184"/>
      <c r="N168" s="72"/>
      <c r="O168" s="19"/>
      <c r="P168" s="72"/>
      <c r="Q168" s="709">
        <f t="shared" si="393"/>
        <v>0</v>
      </c>
      <c r="R168" s="709">
        <f t="shared" ref="R168:R192" si="404">P168-N168</f>
        <v>0</v>
      </c>
      <c r="S168" s="736"/>
      <c r="T168" s="721"/>
      <c r="U168" s="721"/>
      <c r="V168" s="720"/>
      <c r="W168" s="720"/>
      <c r="X168" s="661"/>
      <c r="Y168" s="337"/>
      <c r="Z168" s="176"/>
      <c r="AA168" s="334"/>
      <c r="AB168" s="18"/>
      <c r="AC168" s="11"/>
      <c r="AD168" s="11"/>
      <c r="AE168" s="11"/>
      <c r="AF168" s="11"/>
      <c r="AG168" s="75" t="e">
        <f t="shared" si="394"/>
        <v>#DIV/0!</v>
      </c>
      <c r="AH168" s="629"/>
      <c r="AI168" s="659"/>
      <c r="AJ168" s="659"/>
      <c r="AK168" s="629"/>
      <c r="AL168" s="629"/>
      <c r="AM168" s="629"/>
      <c r="AN168" s="629"/>
      <c r="AO168" s="629"/>
      <c r="AP168" s="629"/>
      <c r="AQ168" s="728"/>
      <c r="AR168" s="659">
        <f t="shared" si="395"/>
        <v>0</v>
      </c>
      <c r="AS168" s="634">
        <f t="shared" si="396"/>
        <v>0</v>
      </c>
      <c r="AT168" s="277"/>
      <c r="AU168" s="277"/>
      <c r="AV168" s="277"/>
      <c r="AW168" s="277"/>
      <c r="AX168" s="277"/>
      <c r="AY168" s="282"/>
      <c r="AZ168" s="57"/>
      <c r="BA168" s="28"/>
      <c r="BB168" s="28"/>
      <c r="BC168" s="277"/>
      <c r="BD168" s="277"/>
      <c r="BE168" s="277"/>
      <c r="BF168" s="277"/>
      <c r="BG168" s="277"/>
      <c r="BH168" s="28"/>
      <c r="BI168" s="28"/>
      <c r="BJ168" s="28"/>
      <c r="BK168" s="28"/>
      <c r="BL168" s="28"/>
      <c r="BM168" s="28"/>
      <c r="BN168" s="28"/>
      <c r="BO168" s="11"/>
      <c r="BP168" s="78"/>
      <c r="BQ168" s="375"/>
      <c r="BR168" s="488" t="e">
        <f>AI168/AA168/7.1846</f>
        <v>#DIV/0!</v>
      </c>
      <c r="BS168" s="489">
        <f t="shared" si="397"/>
        <v>0</v>
      </c>
      <c r="BT168" s="515">
        <f t="shared" si="398"/>
        <v>0</v>
      </c>
      <c r="BU168" s="515" t="e">
        <f t="shared" si="399"/>
        <v>#DIV/0!</v>
      </c>
      <c r="BV168" s="494" t="e">
        <f t="shared" si="400"/>
        <v>#DIV/0!</v>
      </c>
      <c r="BW168" s="28"/>
      <c r="BX168" s="28"/>
      <c r="BY168" s="28"/>
      <c r="BZ168" s="41"/>
      <c r="CA168" s="375"/>
      <c r="CB168" s="356"/>
      <c r="CC168" s="352"/>
      <c r="CD168" s="352"/>
      <c r="CE168" s="352"/>
      <c r="CF168" s="352"/>
      <c r="CG168" s="352"/>
      <c r="CH168" s="28"/>
      <c r="CI168" s="28"/>
      <c r="CJ168" s="28"/>
      <c r="CK168" s="28"/>
      <c r="CL168" s="41"/>
      <c r="CM168" s="57"/>
      <c r="CN168" s="16"/>
      <c r="CO168" s="28"/>
      <c r="CP168" s="41"/>
      <c r="CQ168" s="41"/>
      <c r="CR168" s="14"/>
      <c r="CS168" s="30"/>
      <c r="CT168" s="30"/>
      <c r="CU168" s="30"/>
      <c r="CV168" s="30"/>
      <c r="CW168" s="30"/>
      <c r="CX168" s="30"/>
      <c r="CY168" s="323"/>
      <c r="CZ168" s="314" t="e">
        <f t="shared" si="401"/>
        <v>#DIV/0!</v>
      </c>
      <c r="DA168" s="663" t="e">
        <f t="shared" si="402"/>
        <v>#DIV/0!</v>
      </c>
      <c r="DB168" s="773" t="e">
        <f t="shared" si="403"/>
        <v>#DIV/0!</v>
      </c>
      <c r="DC168" s="663"/>
      <c r="DD168" s="663"/>
      <c r="DE168" s="663"/>
      <c r="DF168" s="663"/>
      <c r="DG168" s="663"/>
      <c r="DH168" s="663"/>
      <c r="DI168" s="663">
        <f t="shared" si="392"/>
        <v>0</v>
      </c>
      <c r="DJ168" s="663"/>
      <c r="DK168" s="663"/>
      <c r="DL168" s="663"/>
      <c r="DM168" s="651" t="e">
        <f t="shared" si="349"/>
        <v>#DIV/0!</v>
      </c>
      <c r="DN168" s="20"/>
      <c r="DO168" s="69"/>
      <c r="DQ168" s="24"/>
    </row>
    <row r="169" spans="1:121" s="25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2" t="s">
        <v>381</v>
      </c>
      <c r="K169" s="196"/>
      <c r="L169" s="195"/>
      <c r="M169" s="184"/>
      <c r="N169" s="72"/>
      <c r="O169" s="19"/>
      <c r="P169" s="72"/>
      <c r="Q169" s="709">
        <f t="shared" si="393"/>
        <v>0</v>
      </c>
      <c r="R169" s="709">
        <f t="shared" si="404"/>
        <v>0</v>
      </c>
      <c r="S169" s="736"/>
      <c r="T169" s="721"/>
      <c r="U169" s="721"/>
      <c r="V169" s="720"/>
      <c r="W169" s="720"/>
      <c r="X169" s="661"/>
      <c r="Y169" s="337"/>
      <c r="Z169" s="176"/>
      <c r="AA169" s="334"/>
      <c r="AB169" s="18"/>
      <c r="AC169" s="11"/>
      <c r="AD169" s="11"/>
      <c r="AE169" s="11"/>
      <c r="AF169" s="11"/>
      <c r="AG169" s="75" t="e">
        <f t="shared" si="394"/>
        <v>#DIV/0!</v>
      </c>
      <c r="AH169" s="629"/>
      <c r="AI169" s="659"/>
      <c r="AJ169" s="659"/>
      <c r="AK169" s="629"/>
      <c r="AL169" s="629"/>
      <c r="AM169" s="629"/>
      <c r="AN169" s="629"/>
      <c r="AO169" s="629"/>
      <c r="AP169" s="629"/>
      <c r="AQ169" s="728"/>
      <c r="AR169" s="659">
        <f t="shared" si="395"/>
        <v>0</v>
      </c>
      <c r="AS169" s="634">
        <f t="shared" si="396"/>
        <v>0</v>
      </c>
      <c r="AT169" s="277"/>
      <c r="AU169" s="277"/>
      <c r="AV169" s="277"/>
      <c r="AW169" s="277"/>
      <c r="AX169" s="277"/>
      <c r="AY169" s="282"/>
      <c r="AZ169" s="57"/>
      <c r="BA169" s="28"/>
      <c r="BB169" s="28"/>
      <c r="BC169" s="277"/>
      <c r="BD169" s="277"/>
      <c r="BE169" s="277"/>
      <c r="BF169" s="277"/>
      <c r="BG169" s="277"/>
      <c r="BH169" s="28"/>
      <c r="BI169" s="28"/>
      <c r="BJ169" s="28"/>
      <c r="BK169" s="28"/>
      <c r="BL169" s="28"/>
      <c r="BM169" s="28"/>
      <c r="BN169" s="28"/>
      <c r="BO169" s="11"/>
      <c r="BP169" s="78"/>
      <c r="BQ169" s="375"/>
      <c r="BR169" s="488" t="e">
        <f>AI169/AA169/7.1862</f>
        <v>#DIV/0!</v>
      </c>
      <c r="BS169" s="489">
        <f t="shared" si="397"/>
        <v>0</v>
      </c>
      <c r="BT169" s="515">
        <f t="shared" si="398"/>
        <v>0</v>
      </c>
      <c r="BU169" s="515" t="e">
        <f t="shared" si="399"/>
        <v>#DIV/0!</v>
      </c>
      <c r="BV169" s="494" t="e">
        <f t="shared" si="400"/>
        <v>#DIV/0!</v>
      </c>
      <c r="BW169" s="28"/>
      <c r="BX169" s="28"/>
      <c r="BY169" s="28"/>
      <c r="BZ169" s="41"/>
      <c r="CA169" s="375"/>
      <c r="CB169" s="356"/>
      <c r="CC169" s="352"/>
      <c r="CD169" s="352"/>
      <c r="CE169" s="352"/>
      <c r="CF169" s="352"/>
      <c r="CG169" s="352"/>
      <c r="CH169" s="28"/>
      <c r="CI169" s="28"/>
      <c r="CJ169" s="28"/>
      <c r="CK169" s="28"/>
      <c r="CL169" s="41"/>
      <c r="CM169" s="57"/>
      <c r="CN169" s="16"/>
      <c r="CO169" s="28"/>
      <c r="CP169" s="41"/>
      <c r="CQ169" s="41"/>
      <c r="CR169" s="14"/>
      <c r="CS169" s="30"/>
      <c r="CT169" s="30"/>
      <c r="CU169" s="30"/>
      <c r="CV169" s="30"/>
      <c r="CW169" s="30"/>
      <c r="CX169" s="30"/>
      <c r="CY169" s="323"/>
      <c r="CZ169" s="314" t="e">
        <f t="shared" si="401"/>
        <v>#DIV/0!</v>
      </c>
      <c r="DA169" s="663" t="e">
        <f t="shared" si="402"/>
        <v>#DIV/0!</v>
      </c>
      <c r="DB169" s="773" t="e">
        <f t="shared" si="403"/>
        <v>#DIV/0!</v>
      </c>
      <c r="DC169" s="663"/>
      <c r="DD169" s="663"/>
      <c r="DE169" s="663"/>
      <c r="DF169" s="663"/>
      <c r="DG169" s="663"/>
      <c r="DH169" s="663"/>
      <c r="DI169" s="663">
        <f t="shared" si="392"/>
        <v>0</v>
      </c>
      <c r="DJ169" s="663"/>
      <c r="DK169" s="663"/>
      <c r="DL169" s="663"/>
      <c r="DM169" s="651" t="e">
        <f t="shared" si="349"/>
        <v>#DIV/0!</v>
      </c>
      <c r="DN169" s="20"/>
      <c r="DO169" s="69"/>
      <c r="DQ169" s="24"/>
    </row>
    <row r="170" spans="1:121" s="25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2" t="s">
        <v>381</v>
      </c>
      <c r="K170" s="196"/>
      <c r="L170" s="195"/>
      <c r="M170" s="184"/>
      <c r="N170" s="72"/>
      <c r="O170" s="19"/>
      <c r="P170" s="72"/>
      <c r="Q170" s="709">
        <f t="shared" si="393"/>
        <v>0</v>
      </c>
      <c r="R170" s="709">
        <f t="shared" si="404"/>
        <v>0</v>
      </c>
      <c r="S170" s="736"/>
      <c r="T170" s="721"/>
      <c r="U170" s="721"/>
      <c r="V170" s="720"/>
      <c r="W170" s="720"/>
      <c r="X170" s="661"/>
      <c r="Y170" s="337"/>
      <c r="Z170" s="176"/>
      <c r="AA170" s="334"/>
      <c r="AB170" s="18"/>
      <c r="AC170" s="11"/>
      <c r="AD170" s="11"/>
      <c r="AE170" s="11"/>
      <c r="AF170" s="11"/>
      <c r="AG170" s="75" t="e">
        <f t="shared" si="394"/>
        <v>#DIV/0!</v>
      </c>
      <c r="AH170" s="629"/>
      <c r="AI170" s="659"/>
      <c r="AJ170" s="659"/>
      <c r="AK170" s="629"/>
      <c r="AL170" s="629"/>
      <c r="AM170" s="629"/>
      <c r="AN170" s="629"/>
      <c r="AO170" s="629"/>
      <c r="AP170" s="629"/>
      <c r="AQ170" s="728"/>
      <c r="AR170" s="659">
        <f t="shared" si="395"/>
        <v>0</v>
      </c>
      <c r="AS170" s="634">
        <f t="shared" si="396"/>
        <v>0</v>
      </c>
      <c r="AT170" s="277"/>
      <c r="AU170" s="277"/>
      <c r="AV170" s="277"/>
      <c r="AW170" s="277"/>
      <c r="AX170" s="277"/>
      <c r="AY170" s="282"/>
      <c r="AZ170" s="57"/>
      <c r="BA170" s="28"/>
      <c r="BB170" s="28"/>
      <c r="BC170" s="277"/>
      <c r="BD170" s="277"/>
      <c r="BE170" s="277"/>
      <c r="BF170" s="277"/>
      <c r="BG170" s="277"/>
      <c r="BH170" s="28"/>
      <c r="BI170" s="28"/>
      <c r="BJ170" s="28"/>
      <c r="BK170" s="28"/>
      <c r="BL170" s="28"/>
      <c r="BM170" s="28"/>
      <c r="BN170" s="28"/>
      <c r="BO170" s="11"/>
      <c r="BP170" s="78"/>
      <c r="BQ170" s="375"/>
      <c r="BR170" s="488" t="e">
        <f>AI170/AA170/7.1862</f>
        <v>#DIV/0!</v>
      </c>
      <c r="BS170" s="489">
        <f t="shared" si="397"/>
        <v>0</v>
      </c>
      <c r="BT170" s="515">
        <f t="shared" si="398"/>
        <v>0</v>
      </c>
      <c r="BU170" s="515" t="e">
        <f t="shared" si="399"/>
        <v>#DIV/0!</v>
      </c>
      <c r="BV170" s="494" t="e">
        <f t="shared" si="400"/>
        <v>#DIV/0!</v>
      </c>
      <c r="BW170" s="28"/>
      <c r="BX170" s="28"/>
      <c r="BY170" s="28"/>
      <c r="BZ170" s="41"/>
      <c r="CA170" s="375"/>
      <c r="CB170" s="356"/>
      <c r="CC170" s="352"/>
      <c r="CD170" s="352"/>
      <c r="CE170" s="352"/>
      <c r="CF170" s="352"/>
      <c r="CG170" s="352"/>
      <c r="CH170" s="28"/>
      <c r="CI170" s="28"/>
      <c r="CJ170" s="28"/>
      <c r="CK170" s="28"/>
      <c r="CL170" s="41"/>
      <c r="CM170" s="57"/>
      <c r="CN170" s="16"/>
      <c r="CO170" s="28"/>
      <c r="CP170" s="41"/>
      <c r="CQ170" s="41"/>
      <c r="CR170" s="14"/>
      <c r="CS170" s="30"/>
      <c r="CT170" s="30"/>
      <c r="CU170" s="30"/>
      <c r="CV170" s="30"/>
      <c r="CW170" s="30"/>
      <c r="CX170" s="30"/>
      <c r="CY170" s="323"/>
      <c r="CZ170" s="314" t="e">
        <f t="shared" si="401"/>
        <v>#DIV/0!</v>
      </c>
      <c r="DA170" s="663" t="e">
        <f t="shared" si="402"/>
        <v>#DIV/0!</v>
      </c>
      <c r="DB170" s="773" t="e">
        <f t="shared" si="403"/>
        <v>#DIV/0!</v>
      </c>
      <c r="DC170" s="663"/>
      <c r="DD170" s="663"/>
      <c r="DE170" s="663"/>
      <c r="DF170" s="663"/>
      <c r="DG170" s="663"/>
      <c r="DH170" s="663"/>
      <c r="DI170" s="663">
        <f t="shared" si="392"/>
        <v>0</v>
      </c>
      <c r="DJ170" s="663"/>
      <c r="DK170" s="663"/>
      <c r="DL170" s="663"/>
      <c r="DM170" s="651" t="e">
        <f t="shared" si="349"/>
        <v>#DIV/0!</v>
      </c>
      <c r="DN170" s="20"/>
      <c r="DO170" s="69"/>
      <c r="DQ170" s="24"/>
    </row>
    <row r="171" spans="1:121" s="25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1178" t="s">
        <v>383</v>
      </c>
      <c r="K171" s="196"/>
      <c r="L171" s="195"/>
      <c r="M171" s="184"/>
      <c r="N171" s="72"/>
      <c r="O171" s="19"/>
      <c r="P171" s="72"/>
      <c r="Q171" s="709">
        <f t="shared" si="393"/>
        <v>0</v>
      </c>
      <c r="R171" s="709">
        <f t="shared" si="404"/>
        <v>0</v>
      </c>
      <c r="S171" s="751"/>
      <c r="T171" s="721"/>
      <c r="U171" s="721"/>
      <c r="V171" s="720"/>
      <c r="W171" s="720"/>
      <c r="X171" s="661"/>
      <c r="Y171" s="337"/>
      <c r="Z171" s="176"/>
      <c r="AA171" s="334"/>
      <c r="AB171" s="18"/>
      <c r="AC171" s="11"/>
      <c r="AD171" s="11"/>
      <c r="AE171" s="11"/>
      <c r="AF171" s="11"/>
      <c r="AG171" s="75" t="e">
        <f t="shared" si="394"/>
        <v>#DIV/0!</v>
      </c>
      <c r="AH171" s="629"/>
      <c r="AI171" s="659"/>
      <c r="AJ171" s="659"/>
      <c r="AK171" s="629"/>
      <c r="AL171" s="629"/>
      <c r="AM171" s="629"/>
      <c r="AN171" s="629"/>
      <c r="AO171" s="629"/>
      <c r="AP171" s="629"/>
      <c r="AQ171" s="728"/>
      <c r="AR171" s="659">
        <f t="shared" si="395"/>
        <v>0</v>
      </c>
      <c r="AS171" s="634">
        <f t="shared" si="396"/>
        <v>0</v>
      </c>
      <c r="AT171" s="277"/>
      <c r="AU171" s="277"/>
      <c r="AV171" s="277"/>
      <c r="AW171" s="277"/>
      <c r="AX171" s="277"/>
      <c r="AY171" s="282"/>
      <c r="AZ171" s="57"/>
      <c r="BA171" s="28"/>
      <c r="BB171" s="28"/>
      <c r="BC171" s="277"/>
      <c r="BD171" s="277"/>
      <c r="BE171" s="277"/>
      <c r="BF171" s="277"/>
      <c r="BG171" s="277"/>
      <c r="BH171" s="28"/>
      <c r="BI171" s="28"/>
      <c r="BJ171" s="28"/>
      <c r="BK171" s="28"/>
      <c r="BL171" s="28"/>
      <c r="BM171" s="28"/>
      <c r="BN171" s="28"/>
      <c r="BO171" s="11"/>
      <c r="BP171" s="78"/>
      <c r="BQ171" s="375"/>
      <c r="BR171" s="488" t="e">
        <f>AI171/AA171/7.1846</f>
        <v>#DIV/0!</v>
      </c>
      <c r="BS171" s="489">
        <f t="shared" si="397"/>
        <v>0</v>
      </c>
      <c r="BT171" s="515">
        <f t="shared" si="398"/>
        <v>0</v>
      </c>
      <c r="BU171" s="515" t="e">
        <f t="shared" si="399"/>
        <v>#DIV/0!</v>
      </c>
      <c r="BV171" s="494" t="e">
        <f t="shared" si="400"/>
        <v>#DIV/0!</v>
      </c>
      <c r="BW171" s="28"/>
      <c r="BX171" s="28"/>
      <c r="BY171" s="28"/>
      <c r="BZ171" s="41"/>
      <c r="CA171" s="375"/>
      <c r="CB171" s="356"/>
      <c r="CC171" s="352"/>
      <c r="CD171" s="352"/>
      <c r="CE171" s="352"/>
      <c r="CF171" s="352"/>
      <c r="CG171" s="352"/>
      <c r="CH171" s="28"/>
      <c r="CI171" s="28"/>
      <c r="CJ171" s="28"/>
      <c r="CK171" s="28"/>
      <c r="CL171" s="41"/>
      <c r="CM171" s="57"/>
      <c r="CN171" s="16"/>
      <c r="CO171" s="28"/>
      <c r="CP171" s="41"/>
      <c r="CQ171" s="41"/>
      <c r="CR171" s="14"/>
      <c r="CS171" s="30"/>
      <c r="CT171" s="30"/>
      <c r="CU171" s="30"/>
      <c r="CV171" s="30"/>
      <c r="CW171" s="30"/>
      <c r="CX171" s="30"/>
      <c r="CY171" s="323"/>
      <c r="CZ171" s="314" t="e">
        <f t="shared" si="401"/>
        <v>#DIV/0!</v>
      </c>
      <c r="DA171" s="663" t="e">
        <f t="shared" si="402"/>
        <v>#DIV/0!</v>
      </c>
      <c r="DB171" s="773" t="e">
        <f t="shared" si="403"/>
        <v>#DIV/0!</v>
      </c>
      <c r="DC171" s="663"/>
      <c r="DD171" s="663"/>
      <c r="DE171" s="663"/>
      <c r="DF171" s="663"/>
      <c r="DG171" s="663"/>
      <c r="DH171" s="663"/>
      <c r="DI171" s="663">
        <f t="shared" si="392"/>
        <v>0</v>
      </c>
      <c r="DJ171" s="663"/>
      <c r="DK171" s="663"/>
      <c r="DL171" s="663"/>
      <c r="DM171" s="651" t="e">
        <f t="shared" si="349"/>
        <v>#DIV/0!</v>
      </c>
      <c r="DN171" s="20"/>
      <c r="DO171" s="69"/>
      <c r="DQ171" s="24"/>
    </row>
    <row r="172" spans="1:121" s="25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1178" t="s">
        <v>383</v>
      </c>
      <c r="K172" s="196"/>
      <c r="L172" s="195"/>
      <c r="M172" s="184"/>
      <c r="N172" s="72"/>
      <c r="O172" s="19"/>
      <c r="P172" s="72"/>
      <c r="Q172" s="709">
        <f t="shared" si="393"/>
        <v>0</v>
      </c>
      <c r="R172" s="709">
        <f t="shared" si="404"/>
        <v>0</v>
      </c>
      <c r="S172" s="751"/>
      <c r="T172" s="721"/>
      <c r="U172" s="721"/>
      <c r="V172" s="720"/>
      <c r="W172" s="720"/>
      <c r="X172" s="661"/>
      <c r="Y172" s="337"/>
      <c r="Z172" s="176"/>
      <c r="AA172" s="334"/>
      <c r="AB172" s="18"/>
      <c r="AC172" s="11"/>
      <c r="AD172" s="11"/>
      <c r="AE172" s="11"/>
      <c r="AF172" s="11"/>
      <c r="AG172" s="75" t="e">
        <f t="shared" si="394"/>
        <v>#DIV/0!</v>
      </c>
      <c r="AH172" s="629"/>
      <c r="AI172" s="659"/>
      <c r="AJ172" s="659"/>
      <c r="AK172" s="629"/>
      <c r="AL172" s="629"/>
      <c r="AM172" s="629"/>
      <c r="AN172" s="629"/>
      <c r="AO172" s="629"/>
      <c r="AP172" s="629"/>
      <c r="AQ172" s="728"/>
      <c r="AR172" s="659">
        <f t="shared" si="395"/>
        <v>0</v>
      </c>
      <c r="AS172" s="634">
        <f t="shared" si="396"/>
        <v>0</v>
      </c>
      <c r="AT172" s="277"/>
      <c r="AU172" s="277"/>
      <c r="AV172" s="277"/>
      <c r="AW172" s="277"/>
      <c r="AX172" s="277"/>
      <c r="AY172" s="282"/>
      <c r="AZ172" s="57"/>
      <c r="BA172" s="28"/>
      <c r="BB172" s="28"/>
      <c r="BC172" s="277"/>
      <c r="BD172" s="277"/>
      <c r="BE172" s="277"/>
      <c r="BF172" s="277"/>
      <c r="BG172" s="277"/>
      <c r="BH172" s="28"/>
      <c r="BI172" s="28"/>
      <c r="BJ172" s="28"/>
      <c r="BK172" s="28"/>
      <c r="BL172" s="28"/>
      <c r="BM172" s="28"/>
      <c r="BN172" s="28"/>
      <c r="BO172" s="11"/>
      <c r="BP172" s="78"/>
      <c r="BQ172" s="375"/>
      <c r="BR172" s="488" t="e">
        <f>AI172/AA172/7.1846</f>
        <v>#DIV/0!</v>
      </c>
      <c r="BS172" s="489">
        <f t="shared" si="397"/>
        <v>0</v>
      </c>
      <c r="BT172" s="515">
        <f t="shared" si="398"/>
        <v>0</v>
      </c>
      <c r="BU172" s="515" t="e">
        <f t="shared" si="399"/>
        <v>#DIV/0!</v>
      </c>
      <c r="BV172" s="494" t="e">
        <f t="shared" si="400"/>
        <v>#DIV/0!</v>
      </c>
      <c r="BW172" s="28"/>
      <c r="BX172" s="28"/>
      <c r="BY172" s="28"/>
      <c r="BZ172" s="41"/>
      <c r="CA172" s="375"/>
      <c r="CB172" s="356"/>
      <c r="CC172" s="352"/>
      <c r="CD172" s="352"/>
      <c r="CE172" s="352"/>
      <c r="CF172" s="352"/>
      <c r="CG172" s="352"/>
      <c r="CH172" s="28"/>
      <c r="CI172" s="28"/>
      <c r="CJ172" s="28"/>
      <c r="CK172" s="28"/>
      <c r="CL172" s="41"/>
      <c r="CM172" s="57"/>
      <c r="CN172" s="16"/>
      <c r="CO172" s="28"/>
      <c r="CP172" s="41"/>
      <c r="CQ172" s="41"/>
      <c r="CR172" s="14"/>
      <c r="CS172" s="30"/>
      <c r="CT172" s="30"/>
      <c r="CU172" s="30"/>
      <c r="CV172" s="30"/>
      <c r="CW172" s="30"/>
      <c r="CX172" s="30"/>
      <c r="CY172" s="323"/>
      <c r="CZ172" s="314" t="e">
        <f t="shared" si="401"/>
        <v>#DIV/0!</v>
      </c>
      <c r="DA172" s="663" t="e">
        <f t="shared" si="402"/>
        <v>#DIV/0!</v>
      </c>
      <c r="DB172" s="773" t="e">
        <f t="shared" si="403"/>
        <v>#DIV/0!</v>
      </c>
      <c r="DC172" s="663"/>
      <c r="DD172" s="663"/>
      <c r="DE172" s="663"/>
      <c r="DF172" s="663"/>
      <c r="DG172" s="663"/>
      <c r="DH172" s="663"/>
      <c r="DI172" s="663">
        <f t="shared" si="392"/>
        <v>0</v>
      </c>
      <c r="DJ172" s="663"/>
      <c r="DK172" s="663"/>
      <c r="DL172" s="663"/>
      <c r="DM172" s="651" t="e">
        <f t="shared" si="349"/>
        <v>#DIV/0!</v>
      </c>
      <c r="DN172" s="20"/>
      <c r="DO172" s="69"/>
      <c r="DQ172" s="24"/>
    </row>
    <row r="173" spans="1:121" s="25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1178" t="s">
        <v>383</v>
      </c>
      <c r="K173" s="196"/>
      <c r="L173" s="195"/>
      <c r="M173" s="184"/>
      <c r="N173" s="72"/>
      <c r="O173" s="19"/>
      <c r="P173" s="72"/>
      <c r="Q173" s="709">
        <f t="shared" si="393"/>
        <v>0</v>
      </c>
      <c r="R173" s="709">
        <f t="shared" si="404"/>
        <v>0</v>
      </c>
      <c r="S173" s="751"/>
      <c r="T173" s="721"/>
      <c r="U173" s="721"/>
      <c r="V173" s="720"/>
      <c r="W173" s="720"/>
      <c r="X173" s="661"/>
      <c r="Y173" s="337"/>
      <c r="Z173" s="176"/>
      <c r="AA173" s="334"/>
      <c r="AB173" s="18"/>
      <c r="AC173" s="11"/>
      <c r="AD173" s="11"/>
      <c r="AE173" s="11"/>
      <c r="AF173" s="11"/>
      <c r="AG173" s="75" t="e">
        <f t="shared" si="394"/>
        <v>#DIV/0!</v>
      </c>
      <c r="AH173" s="629"/>
      <c r="AI173" s="659"/>
      <c r="AJ173" s="659"/>
      <c r="AK173" s="629"/>
      <c r="AL173" s="629"/>
      <c r="AM173" s="629"/>
      <c r="AN173" s="629"/>
      <c r="AO173" s="629"/>
      <c r="AP173" s="629"/>
      <c r="AQ173" s="728"/>
      <c r="AR173" s="659">
        <f t="shared" si="395"/>
        <v>0</v>
      </c>
      <c r="AS173" s="634">
        <f t="shared" si="396"/>
        <v>0</v>
      </c>
      <c r="AT173" s="277"/>
      <c r="AU173" s="277"/>
      <c r="AV173" s="277"/>
      <c r="AW173" s="277"/>
      <c r="AX173" s="277"/>
      <c r="AY173" s="282"/>
      <c r="AZ173" s="57"/>
      <c r="BA173" s="28"/>
      <c r="BB173" s="28"/>
      <c r="BC173" s="277"/>
      <c r="BD173" s="277"/>
      <c r="BE173" s="277"/>
      <c r="BF173" s="277"/>
      <c r="BG173" s="277"/>
      <c r="BH173" s="28"/>
      <c r="BI173" s="28"/>
      <c r="BJ173" s="28"/>
      <c r="BK173" s="28"/>
      <c r="BL173" s="28"/>
      <c r="BM173" s="28"/>
      <c r="BN173" s="28"/>
      <c r="BO173" s="11"/>
      <c r="BP173" s="78"/>
      <c r="BQ173" s="375"/>
      <c r="BR173" s="488" t="e">
        <f>AI173/AA173/7.1846</f>
        <v>#DIV/0!</v>
      </c>
      <c r="BS173" s="489">
        <f t="shared" si="397"/>
        <v>0</v>
      </c>
      <c r="BT173" s="515">
        <f t="shared" si="398"/>
        <v>0</v>
      </c>
      <c r="BU173" s="515" t="e">
        <f t="shared" si="399"/>
        <v>#DIV/0!</v>
      </c>
      <c r="BV173" s="494" t="e">
        <f t="shared" si="400"/>
        <v>#DIV/0!</v>
      </c>
      <c r="BW173" s="28"/>
      <c r="BX173" s="28"/>
      <c r="BY173" s="28"/>
      <c r="BZ173" s="41"/>
      <c r="CA173" s="375"/>
      <c r="CB173" s="356"/>
      <c r="CC173" s="352"/>
      <c r="CD173" s="352"/>
      <c r="CE173" s="352"/>
      <c r="CF173" s="352"/>
      <c r="CG173" s="352"/>
      <c r="CH173" s="28"/>
      <c r="CI173" s="28"/>
      <c r="CJ173" s="28"/>
      <c r="CK173" s="28"/>
      <c r="CL173" s="41"/>
      <c r="CM173" s="57"/>
      <c r="CN173" s="16"/>
      <c r="CO173" s="28"/>
      <c r="CP173" s="41"/>
      <c r="CQ173" s="41"/>
      <c r="CR173" s="14"/>
      <c r="CS173" s="30"/>
      <c r="CT173" s="30"/>
      <c r="CU173" s="30"/>
      <c r="CV173" s="30"/>
      <c r="CW173" s="30"/>
      <c r="CX173" s="30"/>
      <c r="CY173" s="323"/>
      <c r="CZ173" s="314" t="e">
        <f t="shared" si="401"/>
        <v>#DIV/0!</v>
      </c>
      <c r="DA173" s="663" t="e">
        <f t="shared" si="402"/>
        <v>#DIV/0!</v>
      </c>
      <c r="DB173" s="773" t="e">
        <f t="shared" si="403"/>
        <v>#DIV/0!</v>
      </c>
      <c r="DC173" s="663"/>
      <c r="DD173" s="663"/>
      <c r="DE173" s="663"/>
      <c r="DF173" s="663"/>
      <c r="DG173" s="663"/>
      <c r="DH173" s="663"/>
      <c r="DI173" s="663">
        <f t="shared" si="392"/>
        <v>0</v>
      </c>
      <c r="DJ173" s="663"/>
      <c r="DK173" s="663"/>
      <c r="DL173" s="663"/>
      <c r="DM173" s="651" t="e">
        <f t="shared" si="349"/>
        <v>#DIV/0!</v>
      </c>
      <c r="DN173" s="20"/>
      <c r="DO173" s="69"/>
      <c r="DQ173" s="24"/>
    </row>
    <row r="174" spans="1:121" s="25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2" t="s">
        <v>382</v>
      </c>
      <c r="K174" s="196"/>
      <c r="L174" s="195"/>
      <c r="M174" s="184"/>
      <c r="N174" s="72"/>
      <c r="O174" s="19"/>
      <c r="P174" s="72"/>
      <c r="Q174" s="709">
        <f t="shared" si="393"/>
        <v>0</v>
      </c>
      <c r="R174" s="709">
        <f t="shared" si="404"/>
        <v>0</v>
      </c>
      <c r="S174" s="1412"/>
      <c r="T174" s="1252"/>
      <c r="U174" s="718"/>
      <c r="V174" s="718"/>
      <c r="W174" s="718"/>
      <c r="X174" s="661"/>
      <c r="Y174" s="337"/>
      <c r="Z174" s="176"/>
      <c r="AA174" s="334"/>
      <c r="AB174" s="18"/>
      <c r="AC174" s="11"/>
      <c r="AD174" s="11"/>
      <c r="AE174" s="11"/>
      <c r="AF174" s="11"/>
      <c r="AG174" s="75" t="e">
        <f t="shared" si="394"/>
        <v>#DIV/0!</v>
      </c>
      <c r="AH174" s="629"/>
      <c r="AI174" s="659"/>
      <c r="AJ174" s="659"/>
      <c r="AK174" s="629"/>
      <c r="AL174" s="629"/>
      <c r="AM174" s="629"/>
      <c r="AN174" s="629"/>
      <c r="AO174" s="629"/>
      <c r="AP174" s="629"/>
      <c r="AQ174" s="728"/>
      <c r="AR174" s="659">
        <f t="shared" si="395"/>
        <v>0</v>
      </c>
      <c r="AS174" s="634">
        <f t="shared" si="396"/>
        <v>0</v>
      </c>
      <c r="AT174" s="277"/>
      <c r="AU174" s="277"/>
      <c r="AV174" s="277"/>
      <c r="AW174" s="277"/>
      <c r="AX174" s="277"/>
      <c r="AY174" s="282"/>
      <c r="AZ174" s="57"/>
      <c r="BA174" s="28"/>
      <c r="BB174" s="28"/>
      <c r="BC174" s="277"/>
      <c r="BD174" s="277"/>
      <c r="BE174" s="277"/>
      <c r="BF174" s="277"/>
      <c r="BG174" s="277"/>
      <c r="BH174" s="28"/>
      <c r="BI174" s="28"/>
      <c r="BJ174" s="28"/>
      <c r="BK174" s="28"/>
      <c r="BL174" s="28"/>
      <c r="BM174" s="28"/>
      <c r="BN174" s="28"/>
      <c r="BO174" s="11"/>
      <c r="BP174" s="78"/>
      <c r="BQ174" s="375"/>
      <c r="BR174" s="488" t="e">
        <f>AI174/AA174/7.1928</f>
        <v>#DIV/0!</v>
      </c>
      <c r="BS174" s="489">
        <f t="shared" si="397"/>
        <v>0</v>
      </c>
      <c r="BT174" s="515">
        <f t="shared" si="398"/>
        <v>0</v>
      </c>
      <c r="BU174" s="515" t="e">
        <f t="shared" si="399"/>
        <v>#DIV/0!</v>
      </c>
      <c r="BV174" s="494" t="e">
        <f t="shared" si="400"/>
        <v>#DIV/0!</v>
      </c>
      <c r="BW174" s="28"/>
      <c r="BX174" s="28"/>
      <c r="BY174" s="28"/>
      <c r="BZ174" s="41"/>
      <c r="CA174" s="375"/>
      <c r="CB174" s="356"/>
      <c r="CC174" s="352"/>
      <c r="CD174" s="352"/>
      <c r="CE174" s="352"/>
      <c r="CF174" s="352"/>
      <c r="CG174" s="352"/>
      <c r="CH174" s="28"/>
      <c r="CI174" s="28"/>
      <c r="CJ174" s="28"/>
      <c r="CK174" s="28"/>
      <c r="CL174" s="41"/>
      <c r="CM174" s="57"/>
      <c r="CN174" s="16"/>
      <c r="CO174" s="28"/>
      <c r="CP174" s="41"/>
      <c r="CQ174" s="41"/>
      <c r="CR174" s="14"/>
      <c r="CS174" s="30"/>
      <c r="CT174" s="30"/>
      <c r="CU174" s="30"/>
      <c r="CV174" s="30"/>
      <c r="CW174" s="30"/>
      <c r="CX174" s="30"/>
      <c r="CY174" s="323"/>
      <c r="CZ174" s="314" t="e">
        <f t="shared" si="401"/>
        <v>#DIV/0!</v>
      </c>
      <c r="DA174" s="663" t="e">
        <f t="shared" si="402"/>
        <v>#DIV/0!</v>
      </c>
      <c r="DB174" s="773" t="e">
        <f t="shared" si="403"/>
        <v>#DIV/0!</v>
      </c>
      <c r="DC174" s="663"/>
      <c r="DD174" s="663"/>
      <c r="DE174" s="663"/>
      <c r="DF174" s="663"/>
      <c r="DG174" s="663"/>
      <c r="DH174" s="663"/>
      <c r="DI174" s="663">
        <f t="shared" si="392"/>
        <v>0</v>
      </c>
      <c r="DJ174" s="663"/>
      <c r="DK174" s="663"/>
      <c r="DL174" s="663"/>
      <c r="DM174" s="651" t="e">
        <f t="shared" si="349"/>
        <v>#DIV/0!</v>
      </c>
      <c r="DN174" s="20"/>
      <c r="DO174" s="69"/>
      <c r="DQ174" s="24"/>
    </row>
    <row r="175" spans="1:121" s="25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2" t="s">
        <v>382</v>
      </c>
      <c r="K175" s="196"/>
      <c r="L175" s="195"/>
      <c r="M175" s="184"/>
      <c r="N175" s="72"/>
      <c r="O175" s="19"/>
      <c r="P175" s="72"/>
      <c r="Q175" s="709">
        <f t="shared" si="393"/>
        <v>0</v>
      </c>
      <c r="R175" s="709">
        <f t="shared" si="404"/>
        <v>0</v>
      </c>
      <c r="S175" s="1413"/>
      <c r="T175" s="1403"/>
      <c r="U175" s="718"/>
      <c r="V175" s="718"/>
      <c r="W175" s="718"/>
      <c r="X175" s="661"/>
      <c r="Y175" s="337"/>
      <c r="Z175" s="176"/>
      <c r="AA175" s="334"/>
      <c r="AB175" s="18"/>
      <c r="AC175" s="11"/>
      <c r="AD175" s="11"/>
      <c r="AE175" s="11"/>
      <c r="AF175" s="11"/>
      <c r="AG175" s="75" t="e">
        <f t="shared" si="394"/>
        <v>#DIV/0!</v>
      </c>
      <c r="AH175" s="629"/>
      <c r="AI175" s="659"/>
      <c r="AJ175" s="659"/>
      <c r="AK175" s="629"/>
      <c r="AL175" s="629"/>
      <c r="AM175" s="629"/>
      <c r="AN175" s="629"/>
      <c r="AO175" s="629"/>
      <c r="AP175" s="629"/>
      <c r="AQ175" s="728"/>
      <c r="AR175" s="659">
        <f t="shared" si="395"/>
        <v>0</v>
      </c>
      <c r="AS175" s="634">
        <f t="shared" si="396"/>
        <v>0</v>
      </c>
      <c r="AT175" s="277"/>
      <c r="AU175" s="277"/>
      <c r="AV175" s="277"/>
      <c r="AW175" s="277"/>
      <c r="AX175" s="277"/>
      <c r="AY175" s="282"/>
      <c r="AZ175" s="57"/>
      <c r="BA175" s="28"/>
      <c r="BB175" s="28"/>
      <c r="BC175" s="277"/>
      <c r="BD175" s="277"/>
      <c r="BE175" s="277"/>
      <c r="BF175" s="277"/>
      <c r="BG175" s="277"/>
      <c r="BH175" s="28"/>
      <c r="BI175" s="28"/>
      <c r="BJ175" s="28"/>
      <c r="BK175" s="28"/>
      <c r="BL175" s="28"/>
      <c r="BM175" s="28"/>
      <c r="BN175" s="28"/>
      <c r="BO175" s="11"/>
      <c r="BP175" s="78"/>
      <c r="BQ175" s="375"/>
      <c r="BR175" s="488" t="e">
        <f>AI175/AA175/7.1928</f>
        <v>#DIV/0!</v>
      </c>
      <c r="BS175" s="489">
        <f t="shared" si="397"/>
        <v>0</v>
      </c>
      <c r="BT175" s="515">
        <f t="shared" si="398"/>
        <v>0</v>
      </c>
      <c r="BU175" s="515" t="e">
        <f t="shared" si="399"/>
        <v>#DIV/0!</v>
      </c>
      <c r="BV175" s="494" t="e">
        <f t="shared" si="400"/>
        <v>#DIV/0!</v>
      </c>
      <c r="BW175" s="28"/>
      <c r="BX175" s="28"/>
      <c r="BY175" s="28"/>
      <c r="BZ175" s="41"/>
      <c r="CA175" s="375"/>
      <c r="CB175" s="356"/>
      <c r="CC175" s="352"/>
      <c r="CD175" s="352"/>
      <c r="CE175" s="352"/>
      <c r="CF175" s="352"/>
      <c r="CG175" s="352"/>
      <c r="CH175" s="28"/>
      <c r="CI175" s="28"/>
      <c r="CJ175" s="28"/>
      <c r="CK175" s="28"/>
      <c r="CL175" s="41"/>
      <c r="CM175" s="57"/>
      <c r="CN175" s="16"/>
      <c r="CO175" s="28"/>
      <c r="CP175" s="41"/>
      <c r="CQ175" s="41"/>
      <c r="CR175" s="14"/>
      <c r="CS175" s="30"/>
      <c r="CT175" s="30"/>
      <c r="CU175" s="30"/>
      <c r="CV175" s="30"/>
      <c r="CW175" s="30"/>
      <c r="CX175" s="30"/>
      <c r="CY175" s="323"/>
      <c r="CZ175" s="314" t="e">
        <f t="shared" si="401"/>
        <v>#DIV/0!</v>
      </c>
      <c r="DA175" s="663" t="e">
        <f t="shared" si="402"/>
        <v>#DIV/0!</v>
      </c>
      <c r="DB175" s="773" t="e">
        <f t="shared" si="403"/>
        <v>#DIV/0!</v>
      </c>
      <c r="DC175" s="663"/>
      <c r="DD175" s="663"/>
      <c r="DE175" s="663"/>
      <c r="DF175" s="663"/>
      <c r="DG175" s="663"/>
      <c r="DH175" s="663"/>
      <c r="DI175" s="663">
        <f t="shared" si="392"/>
        <v>0</v>
      </c>
      <c r="DJ175" s="663"/>
      <c r="DK175" s="663"/>
      <c r="DL175" s="663"/>
      <c r="DM175" s="651" t="e">
        <f t="shared" si="349"/>
        <v>#DIV/0!</v>
      </c>
      <c r="DN175" s="20"/>
      <c r="DO175" s="69"/>
      <c r="DQ175" s="24"/>
    </row>
    <row r="176" spans="1:121" s="25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2" t="s">
        <v>382</v>
      </c>
      <c r="K176" s="196"/>
      <c r="L176" s="195"/>
      <c r="M176" s="184"/>
      <c r="N176" s="72"/>
      <c r="O176" s="19"/>
      <c r="P176" s="72"/>
      <c r="Q176" s="709">
        <f t="shared" si="393"/>
        <v>0</v>
      </c>
      <c r="R176" s="709">
        <f t="shared" si="404"/>
        <v>0</v>
      </c>
      <c r="S176" s="1413"/>
      <c r="T176" s="1403"/>
      <c r="U176" s="718"/>
      <c r="V176" s="718"/>
      <c r="W176" s="718"/>
      <c r="X176" s="661"/>
      <c r="Y176" s="337"/>
      <c r="Z176" s="176"/>
      <c r="AA176" s="334"/>
      <c r="AB176" s="18"/>
      <c r="AC176" s="11"/>
      <c r="AD176" s="11"/>
      <c r="AE176" s="11"/>
      <c r="AF176" s="11"/>
      <c r="AG176" s="75" t="e">
        <f t="shared" si="394"/>
        <v>#DIV/0!</v>
      </c>
      <c r="AH176" s="629"/>
      <c r="AI176" s="659"/>
      <c r="AJ176" s="659"/>
      <c r="AK176" s="629"/>
      <c r="AL176" s="629"/>
      <c r="AM176" s="629"/>
      <c r="AN176" s="629"/>
      <c r="AO176" s="629"/>
      <c r="AP176" s="629"/>
      <c r="AQ176" s="728"/>
      <c r="AR176" s="659">
        <f t="shared" si="395"/>
        <v>0</v>
      </c>
      <c r="AS176" s="634">
        <f t="shared" si="396"/>
        <v>0</v>
      </c>
      <c r="AT176" s="277"/>
      <c r="AU176" s="277"/>
      <c r="AV176" s="277"/>
      <c r="AW176" s="277"/>
      <c r="AX176" s="277"/>
      <c r="AY176" s="282"/>
      <c r="AZ176" s="57"/>
      <c r="BA176" s="28"/>
      <c r="BB176" s="28"/>
      <c r="BC176" s="277"/>
      <c r="BD176" s="277"/>
      <c r="BE176" s="277"/>
      <c r="BF176" s="277"/>
      <c r="BG176" s="277"/>
      <c r="BH176" s="28"/>
      <c r="BI176" s="28"/>
      <c r="BJ176" s="28"/>
      <c r="BK176" s="28"/>
      <c r="BL176" s="28"/>
      <c r="BM176" s="28"/>
      <c r="BN176" s="28"/>
      <c r="BO176" s="11"/>
      <c r="BP176" s="78"/>
      <c r="BQ176" s="375"/>
      <c r="BR176" s="488" t="e">
        <f>AI176/AA176/7.1927</f>
        <v>#DIV/0!</v>
      </c>
      <c r="BS176" s="489">
        <f t="shared" si="397"/>
        <v>0</v>
      </c>
      <c r="BT176" s="515">
        <f t="shared" si="398"/>
        <v>0</v>
      </c>
      <c r="BU176" s="515" t="e">
        <f t="shared" si="399"/>
        <v>#DIV/0!</v>
      </c>
      <c r="BV176" s="494" t="e">
        <f t="shared" si="400"/>
        <v>#DIV/0!</v>
      </c>
      <c r="BW176" s="28"/>
      <c r="BX176" s="28"/>
      <c r="BY176" s="28"/>
      <c r="BZ176" s="41"/>
      <c r="CA176" s="375"/>
      <c r="CB176" s="356"/>
      <c r="CC176" s="352"/>
      <c r="CD176" s="352"/>
      <c r="CE176" s="352"/>
      <c r="CF176" s="352"/>
      <c r="CG176" s="352"/>
      <c r="CH176" s="28"/>
      <c r="CI176" s="28"/>
      <c r="CJ176" s="28"/>
      <c r="CK176" s="28"/>
      <c r="CL176" s="41"/>
      <c r="CM176" s="57"/>
      <c r="CN176" s="16"/>
      <c r="CO176" s="28"/>
      <c r="CP176" s="41"/>
      <c r="CQ176" s="41"/>
      <c r="CR176" s="14"/>
      <c r="CS176" s="30"/>
      <c r="CT176" s="30"/>
      <c r="CU176" s="30"/>
      <c r="CV176" s="30"/>
      <c r="CW176" s="30"/>
      <c r="CX176" s="30"/>
      <c r="CY176" s="323"/>
      <c r="CZ176" s="314" t="e">
        <f t="shared" si="401"/>
        <v>#DIV/0!</v>
      </c>
      <c r="DA176" s="663" t="e">
        <f t="shared" si="402"/>
        <v>#DIV/0!</v>
      </c>
      <c r="DB176" s="773" t="e">
        <f t="shared" si="403"/>
        <v>#DIV/0!</v>
      </c>
      <c r="DC176" s="663"/>
      <c r="DD176" s="663"/>
      <c r="DE176" s="663"/>
      <c r="DF176" s="663"/>
      <c r="DG176" s="663"/>
      <c r="DH176" s="663"/>
      <c r="DI176" s="663">
        <f t="shared" si="392"/>
        <v>0</v>
      </c>
      <c r="DJ176" s="663"/>
      <c r="DK176" s="663"/>
      <c r="DL176" s="663"/>
      <c r="DM176" s="651" t="e">
        <f t="shared" si="349"/>
        <v>#DIV/0!</v>
      </c>
      <c r="DN176" s="20"/>
      <c r="DO176" s="69"/>
      <c r="DQ176" s="24"/>
    </row>
    <row r="177" spans="1:121" s="25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2" t="s">
        <v>382</v>
      </c>
      <c r="K177" s="196"/>
      <c r="L177" s="195"/>
      <c r="M177" s="184"/>
      <c r="N177" s="72"/>
      <c r="O177" s="19"/>
      <c r="P177" s="72"/>
      <c r="Q177" s="709">
        <f t="shared" si="393"/>
        <v>0</v>
      </c>
      <c r="R177" s="709">
        <f t="shared" si="404"/>
        <v>0</v>
      </c>
      <c r="S177" s="1413"/>
      <c r="T177" s="1403"/>
      <c r="U177" s="718"/>
      <c r="V177" s="718"/>
      <c r="W177" s="718"/>
      <c r="X177" s="661"/>
      <c r="Y177" s="337"/>
      <c r="Z177" s="176"/>
      <c r="AA177" s="334"/>
      <c r="AB177" s="18"/>
      <c r="AC177" s="11"/>
      <c r="AD177" s="11"/>
      <c r="AE177" s="11"/>
      <c r="AF177" s="11"/>
      <c r="AG177" s="75" t="e">
        <f t="shared" si="394"/>
        <v>#DIV/0!</v>
      </c>
      <c r="AH177" s="629"/>
      <c r="AI177" s="659"/>
      <c r="AJ177" s="659"/>
      <c r="AK177" s="629"/>
      <c r="AL177" s="629"/>
      <c r="AM177" s="629"/>
      <c r="AN177" s="629"/>
      <c r="AO177" s="629"/>
      <c r="AP177" s="629"/>
      <c r="AQ177" s="728"/>
      <c r="AR177" s="659">
        <f t="shared" si="395"/>
        <v>0</v>
      </c>
      <c r="AS177" s="634">
        <f t="shared" si="396"/>
        <v>0</v>
      </c>
      <c r="AT177" s="277"/>
      <c r="AU177" s="277"/>
      <c r="AV177" s="277"/>
      <c r="AW177" s="277"/>
      <c r="AX177" s="277"/>
      <c r="AY177" s="282"/>
      <c r="AZ177" s="57"/>
      <c r="BA177" s="28"/>
      <c r="BB177" s="28"/>
      <c r="BC177" s="277"/>
      <c r="BD177" s="277"/>
      <c r="BE177" s="277"/>
      <c r="BF177" s="277"/>
      <c r="BG177" s="277"/>
      <c r="BH177" s="28"/>
      <c r="BI177" s="28"/>
      <c r="BJ177" s="28"/>
      <c r="BK177" s="28"/>
      <c r="BL177" s="28"/>
      <c r="BM177" s="28"/>
      <c r="BN177" s="28"/>
      <c r="BO177" s="11"/>
      <c r="BP177" s="78"/>
      <c r="BQ177" s="375"/>
      <c r="BR177" s="488" t="e">
        <f>AI177/AA177/7.1931</f>
        <v>#DIV/0!</v>
      </c>
      <c r="BS177" s="489">
        <f t="shared" si="397"/>
        <v>0</v>
      </c>
      <c r="BT177" s="515">
        <f t="shared" si="398"/>
        <v>0</v>
      </c>
      <c r="BU177" s="515" t="e">
        <f t="shared" si="399"/>
        <v>#DIV/0!</v>
      </c>
      <c r="BV177" s="494" t="e">
        <f t="shared" si="400"/>
        <v>#DIV/0!</v>
      </c>
      <c r="BW177" s="28"/>
      <c r="BX177" s="28"/>
      <c r="BY177" s="28"/>
      <c r="BZ177" s="41"/>
      <c r="CA177" s="375"/>
      <c r="CB177" s="356"/>
      <c r="CC177" s="352"/>
      <c r="CD177" s="352"/>
      <c r="CE177" s="352"/>
      <c r="CF177" s="352"/>
      <c r="CG177" s="352"/>
      <c r="CH177" s="28"/>
      <c r="CI177" s="28"/>
      <c r="CJ177" s="28"/>
      <c r="CK177" s="28"/>
      <c r="CL177" s="41"/>
      <c r="CM177" s="57"/>
      <c r="CN177" s="16"/>
      <c r="CO177" s="28"/>
      <c r="CP177" s="41"/>
      <c r="CQ177" s="41"/>
      <c r="CR177" s="14"/>
      <c r="CS177" s="30"/>
      <c r="CT177" s="30"/>
      <c r="CU177" s="30"/>
      <c r="CV177" s="30"/>
      <c r="CW177" s="30"/>
      <c r="CX177" s="30"/>
      <c r="CY177" s="323"/>
      <c r="CZ177" s="314" t="e">
        <f t="shared" si="401"/>
        <v>#DIV/0!</v>
      </c>
      <c r="DA177" s="663" t="e">
        <f t="shared" si="402"/>
        <v>#DIV/0!</v>
      </c>
      <c r="DB177" s="773" t="e">
        <f t="shared" si="403"/>
        <v>#DIV/0!</v>
      </c>
      <c r="DC177" s="663"/>
      <c r="DD177" s="663"/>
      <c r="DE177" s="663"/>
      <c r="DF177" s="663"/>
      <c r="DG177" s="663"/>
      <c r="DH177" s="663"/>
      <c r="DI177" s="663">
        <f t="shared" si="392"/>
        <v>0</v>
      </c>
      <c r="DJ177" s="663"/>
      <c r="DK177" s="663"/>
      <c r="DL177" s="663"/>
      <c r="DM177" s="651" t="e">
        <f t="shared" si="349"/>
        <v>#DIV/0!</v>
      </c>
      <c r="DN177" s="20"/>
      <c r="DO177" s="69"/>
      <c r="DQ177" s="24"/>
    </row>
    <row r="178" spans="1:121" s="25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2" t="s">
        <v>382</v>
      </c>
      <c r="K178" s="196"/>
      <c r="L178" s="195"/>
      <c r="M178" s="184"/>
      <c r="N178" s="72"/>
      <c r="O178" s="19"/>
      <c r="P178" s="72"/>
      <c r="Q178" s="709">
        <f t="shared" si="393"/>
        <v>0</v>
      </c>
      <c r="R178" s="709">
        <f t="shared" si="404"/>
        <v>0</v>
      </c>
      <c r="S178" s="1413"/>
      <c r="T178" s="1403"/>
      <c r="U178" s="718"/>
      <c r="V178" s="718"/>
      <c r="W178" s="718"/>
      <c r="X178" s="661"/>
      <c r="Y178" s="337"/>
      <c r="Z178" s="176"/>
      <c r="AA178" s="334"/>
      <c r="AB178" s="18"/>
      <c r="AC178" s="11"/>
      <c r="AD178" s="11"/>
      <c r="AE178" s="11"/>
      <c r="AF178" s="11"/>
      <c r="AG178" s="75" t="e">
        <f t="shared" si="394"/>
        <v>#DIV/0!</v>
      </c>
      <c r="AH178" s="629"/>
      <c r="AI178" s="659"/>
      <c r="AJ178" s="659"/>
      <c r="AK178" s="629"/>
      <c r="AL178" s="629"/>
      <c r="AM178" s="629"/>
      <c r="AN178" s="629"/>
      <c r="AO178" s="629"/>
      <c r="AP178" s="629"/>
      <c r="AQ178" s="728"/>
      <c r="AR178" s="659">
        <f t="shared" si="395"/>
        <v>0</v>
      </c>
      <c r="AS178" s="634">
        <f t="shared" si="396"/>
        <v>0</v>
      </c>
      <c r="AT178" s="277"/>
      <c r="AU178" s="277"/>
      <c r="AV178" s="277"/>
      <c r="AW178" s="277"/>
      <c r="AX178" s="277"/>
      <c r="AY178" s="282"/>
      <c r="AZ178" s="57"/>
      <c r="BA178" s="28"/>
      <c r="BB178" s="28"/>
      <c r="BC178" s="277"/>
      <c r="BD178" s="277"/>
      <c r="BE178" s="277"/>
      <c r="BF178" s="277"/>
      <c r="BG178" s="277"/>
      <c r="BH178" s="28"/>
      <c r="BI178" s="28"/>
      <c r="BJ178" s="28"/>
      <c r="BK178" s="28"/>
      <c r="BL178" s="28"/>
      <c r="BM178" s="28"/>
      <c r="BN178" s="28"/>
      <c r="BO178" s="11"/>
      <c r="BP178" s="78"/>
      <c r="BQ178" s="375"/>
      <c r="BR178" s="488" t="e">
        <f>AI178/AA178/7.1928</f>
        <v>#DIV/0!</v>
      </c>
      <c r="BS178" s="489">
        <f t="shared" si="397"/>
        <v>0</v>
      </c>
      <c r="BT178" s="515">
        <f t="shared" si="398"/>
        <v>0</v>
      </c>
      <c r="BU178" s="515" t="e">
        <f t="shared" si="399"/>
        <v>#DIV/0!</v>
      </c>
      <c r="BV178" s="494" t="e">
        <f t="shared" si="400"/>
        <v>#DIV/0!</v>
      </c>
      <c r="BW178" s="28"/>
      <c r="BX178" s="28"/>
      <c r="BY178" s="28"/>
      <c r="BZ178" s="41"/>
      <c r="CA178" s="375"/>
      <c r="CB178" s="356"/>
      <c r="CC178" s="352"/>
      <c r="CD178" s="352"/>
      <c r="CE178" s="352"/>
      <c r="CF178" s="352"/>
      <c r="CG178" s="352"/>
      <c r="CH178" s="28"/>
      <c r="CI178" s="28"/>
      <c r="CJ178" s="28"/>
      <c r="CK178" s="28"/>
      <c r="CL178" s="41"/>
      <c r="CM178" s="57"/>
      <c r="CN178" s="16"/>
      <c r="CO178" s="28"/>
      <c r="CP178" s="41"/>
      <c r="CQ178" s="41"/>
      <c r="CR178" s="14"/>
      <c r="CS178" s="30"/>
      <c r="CT178" s="30"/>
      <c r="CU178" s="30"/>
      <c r="CV178" s="30"/>
      <c r="CW178" s="30"/>
      <c r="CX178" s="30"/>
      <c r="CY178" s="323"/>
      <c r="CZ178" s="314" t="e">
        <f t="shared" si="401"/>
        <v>#DIV/0!</v>
      </c>
      <c r="DA178" s="663" t="e">
        <f t="shared" si="402"/>
        <v>#DIV/0!</v>
      </c>
      <c r="DB178" s="773" t="e">
        <f t="shared" si="403"/>
        <v>#DIV/0!</v>
      </c>
      <c r="DC178" s="663"/>
      <c r="DD178" s="663"/>
      <c r="DE178" s="663"/>
      <c r="DF178" s="663"/>
      <c r="DG178" s="663"/>
      <c r="DH178" s="663"/>
      <c r="DI178" s="663">
        <f t="shared" si="392"/>
        <v>0</v>
      </c>
      <c r="DJ178" s="663"/>
      <c r="DK178" s="663"/>
      <c r="DL178" s="663"/>
      <c r="DM178" s="651" t="e">
        <f t="shared" si="349"/>
        <v>#DIV/0!</v>
      </c>
      <c r="DN178" s="20"/>
      <c r="DO178" s="69"/>
      <c r="DQ178" s="24"/>
    </row>
    <row r="179" spans="1:121" s="25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2" t="s">
        <v>382</v>
      </c>
      <c r="K179" s="196"/>
      <c r="L179" s="195"/>
      <c r="M179" s="184"/>
      <c r="N179" s="72"/>
      <c r="O179" s="19"/>
      <c r="P179" s="72"/>
      <c r="Q179" s="709">
        <f t="shared" si="393"/>
        <v>0</v>
      </c>
      <c r="R179" s="709">
        <f t="shared" si="404"/>
        <v>0</v>
      </c>
      <c r="S179" s="1413"/>
      <c r="T179" s="1403"/>
      <c r="U179" s="718"/>
      <c r="V179" s="718"/>
      <c r="W179" s="718"/>
      <c r="X179" s="661"/>
      <c r="Y179" s="337"/>
      <c r="Z179" s="176"/>
      <c r="AA179" s="334"/>
      <c r="AB179" s="18"/>
      <c r="AC179" s="11"/>
      <c r="AD179" s="11"/>
      <c r="AE179" s="11"/>
      <c r="AF179" s="11"/>
      <c r="AG179" s="75" t="e">
        <f t="shared" si="394"/>
        <v>#DIV/0!</v>
      </c>
      <c r="AH179" s="629"/>
      <c r="AI179" s="659"/>
      <c r="AJ179" s="659"/>
      <c r="AK179" s="629"/>
      <c r="AL179" s="629"/>
      <c r="AM179" s="629"/>
      <c r="AN179" s="629"/>
      <c r="AO179" s="629"/>
      <c r="AP179" s="629"/>
      <c r="AQ179" s="728"/>
      <c r="AR179" s="659">
        <f t="shared" si="395"/>
        <v>0</v>
      </c>
      <c r="AS179" s="634">
        <f t="shared" si="396"/>
        <v>0</v>
      </c>
      <c r="AT179" s="277"/>
      <c r="AU179" s="277"/>
      <c r="AV179" s="277"/>
      <c r="AW179" s="277"/>
      <c r="AX179" s="277"/>
      <c r="AY179" s="282"/>
      <c r="AZ179" s="57"/>
      <c r="BA179" s="28"/>
      <c r="BB179" s="28"/>
      <c r="BC179" s="277"/>
      <c r="BD179" s="277"/>
      <c r="BE179" s="277"/>
      <c r="BF179" s="277"/>
      <c r="BG179" s="277"/>
      <c r="BH179" s="28"/>
      <c r="BI179" s="28"/>
      <c r="BJ179" s="28"/>
      <c r="BK179" s="28"/>
      <c r="BL179" s="28"/>
      <c r="BM179" s="28"/>
      <c r="BN179" s="28"/>
      <c r="BO179" s="11"/>
      <c r="BP179" s="78"/>
      <c r="BQ179" s="375"/>
      <c r="BR179" s="488" t="e">
        <f>AI179/AA179/7.1927</f>
        <v>#DIV/0!</v>
      </c>
      <c r="BS179" s="489">
        <f t="shared" si="397"/>
        <v>0</v>
      </c>
      <c r="BT179" s="515">
        <f t="shared" si="398"/>
        <v>0</v>
      </c>
      <c r="BU179" s="515" t="e">
        <f t="shared" si="399"/>
        <v>#DIV/0!</v>
      </c>
      <c r="BV179" s="494" t="e">
        <f t="shared" si="400"/>
        <v>#DIV/0!</v>
      </c>
      <c r="BW179" s="28"/>
      <c r="BX179" s="28"/>
      <c r="BY179" s="28"/>
      <c r="BZ179" s="41"/>
      <c r="CA179" s="375"/>
      <c r="CB179" s="356"/>
      <c r="CC179" s="352"/>
      <c r="CD179" s="352"/>
      <c r="CE179" s="352"/>
      <c r="CF179" s="352"/>
      <c r="CG179" s="352"/>
      <c r="CH179" s="28"/>
      <c r="CI179" s="28"/>
      <c r="CJ179" s="28"/>
      <c r="CK179" s="28"/>
      <c r="CL179" s="41"/>
      <c r="CM179" s="57"/>
      <c r="CN179" s="16"/>
      <c r="CO179" s="28"/>
      <c r="CP179" s="41"/>
      <c r="CQ179" s="41"/>
      <c r="CR179" s="14"/>
      <c r="CS179" s="30"/>
      <c r="CT179" s="30"/>
      <c r="CU179" s="30"/>
      <c r="CV179" s="30"/>
      <c r="CW179" s="30"/>
      <c r="CX179" s="30"/>
      <c r="CY179" s="323"/>
      <c r="CZ179" s="314" t="e">
        <f t="shared" si="401"/>
        <v>#DIV/0!</v>
      </c>
      <c r="DA179" s="663" t="e">
        <f t="shared" si="402"/>
        <v>#DIV/0!</v>
      </c>
      <c r="DB179" s="773" t="e">
        <f t="shared" si="403"/>
        <v>#DIV/0!</v>
      </c>
      <c r="DC179" s="663"/>
      <c r="DD179" s="663"/>
      <c r="DE179" s="663"/>
      <c r="DF179" s="663"/>
      <c r="DG179" s="663"/>
      <c r="DH179" s="663"/>
      <c r="DI179" s="663">
        <f t="shared" si="392"/>
        <v>0</v>
      </c>
      <c r="DJ179" s="663"/>
      <c r="DK179" s="663"/>
      <c r="DL179" s="663"/>
      <c r="DM179" s="651" t="e">
        <f t="shared" si="349"/>
        <v>#DIV/0!</v>
      </c>
      <c r="DN179" s="20"/>
      <c r="DO179" s="69"/>
      <c r="DQ179" s="24"/>
    </row>
    <row r="180" spans="1:121" s="25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2" t="s">
        <v>382</v>
      </c>
      <c r="K180" s="196"/>
      <c r="L180" s="195"/>
      <c r="M180" s="184"/>
      <c r="N180" s="72"/>
      <c r="O180" s="19"/>
      <c r="P180" s="72"/>
      <c r="Q180" s="709">
        <f t="shared" si="393"/>
        <v>0</v>
      </c>
      <c r="R180" s="709">
        <f t="shared" si="404"/>
        <v>0</v>
      </c>
      <c r="S180" s="1414"/>
      <c r="T180" s="1253"/>
      <c r="U180" s="718"/>
      <c r="V180" s="718"/>
      <c r="W180" s="718"/>
      <c r="X180" s="661"/>
      <c r="Y180" s="337"/>
      <c r="Z180" s="176"/>
      <c r="AA180" s="334"/>
      <c r="AB180" s="18"/>
      <c r="AC180" s="11"/>
      <c r="AD180" s="11"/>
      <c r="AE180" s="11"/>
      <c r="AF180" s="11"/>
      <c r="AG180" s="75" t="e">
        <f t="shared" si="394"/>
        <v>#DIV/0!</v>
      </c>
      <c r="AH180" s="629"/>
      <c r="AI180" s="659"/>
      <c r="AJ180" s="659"/>
      <c r="AK180" s="629"/>
      <c r="AL180" s="629"/>
      <c r="AM180" s="629"/>
      <c r="AN180" s="629"/>
      <c r="AO180" s="629"/>
      <c r="AP180" s="629"/>
      <c r="AQ180" s="728"/>
      <c r="AR180" s="659">
        <f t="shared" si="395"/>
        <v>0</v>
      </c>
      <c r="AS180" s="634">
        <f t="shared" si="396"/>
        <v>0</v>
      </c>
      <c r="AT180" s="277"/>
      <c r="AU180" s="277"/>
      <c r="AV180" s="277"/>
      <c r="AW180" s="277"/>
      <c r="AX180" s="277"/>
      <c r="AY180" s="282"/>
      <c r="AZ180" s="57"/>
      <c r="BA180" s="28"/>
      <c r="BB180" s="28"/>
      <c r="BC180" s="277"/>
      <c r="BD180" s="277"/>
      <c r="BE180" s="277"/>
      <c r="BF180" s="277"/>
      <c r="BG180" s="277"/>
      <c r="BH180" s="28"/>
      <c r="BI180" s="28"/>
      <c r="BJ180" s="28"/>
      <c r="BK180" s="28"/>
      <c r="BL180" s="28"/>
      <c r="BM180" s="28"/>
      <c r="BN180" s="28"/>
      <c r="BO180" s="11"/>
      <c r="BP180" s="78"/>
      <c r="BQ180" s="375"/>
      <c r="BR180" s="488" t="e">
        <f>AI180/AA180/7.1931</f>
        <v>#DIV/0!</v>
      </c>
      <c r="BS180" s="489">
        <f t="shared" si="397"/>
        <v>0</v>
      </c>
      <c r="BT180" s="515">
        <f t="shared" si="398"/>
        <v>0</v>
      </c>
      <c r="BU180" s="515" t="e">
        <f t="shared" si="399"/>
        <v>#DIV/0!</v>
      </c>
      <c r="BV180" s="494" t="e">
        <f t="shared" si="400"/>
        <v>#DIV/0!</v>
      </c>
      <c r="BW180" s="28"/>
      <c r="BX180" s="28"/>
      <c r="BY180" s="28"/>
      <c r="BZ180" s="41"/>
      <c r="CA180" s="375"/>
      <c r="CB180" s="356"/>
      <c r="CC180" s="352"/>
      <c r="CD180" s="352"/>
      <c r="CE180" s="352"/>
      <c r="CF180" s="352"/>
      <c r="CG180" s="352"/>
      <c r="CH180" s="28"/>
      <c r="CI180" s="28"/>
      <c r="CJ180" s="28"/>
      <c r="CK180" s="28"/>
      <c r="CL180" s="41"/>
      <c r="CM180" s="57"/>
      <c r="CN180" s="16"/>
      <c r="CO180" s="28"/>
      <c r="CP180" s="41"/>
      <c r="CQ180" s="41"/>
      <c r="CR180" s="14"/>
      <c r="CS180" s="30"/>
      <c r="CT180" s="30"/>
      <c r="CU180" s="30"/>
      <c r="CV180" s="30"/>
      <c r="CW180" s="30"/>
      <c r="CX180" s="30"/>
      <c r="CY180" s="323"/>
      <c r="CZ180" s="314" t="e">
        <f t="shared" si="401"/>
        <v>#DIV/0!</v>
      </c>
      <c r="DA180" s="663" t="e">
        <f t="shared" si="402"/>
        <v>#DIV/0!</v>
      </c>
      <c r="DB180" s="773" t="e">
        <f t="shared" si="403"/>
        <v>#DIV/0!</v>
      </c>
      <c r="DC180" s="663"/>
      <c r="DD180" s="663"/>
      <c r="DE180" s="663"/>
      <c r="DF180" s="663"/>
      <c r="DG180" s="663"/>
      <c r="DH180" s="663"/>
      <c r="DI180" s="663">
        <f t="shared" si="392"/>
        <v>0</v>
      </c>
      <c r="DJ180" s="663"/>
      <c r="DK180" s="663"/>
      <c r="DL180" s="663"/>
      <c r="DM180" s="651" t="e">
        <f t="shared" si="349"/>
        <v>#DIV/0!</v>
      </c>
      <c r="DN180" s="20"/>
      <c r="DO180" s="69"/>
      <c r="DQ180" s="24"/>
    </row>
    <row r="181" spans="1:121" s="25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2" t="s">
        <v>384</v>
      </c>
      <c r="K181" s="196"/>
      <c r="L181" s="195"/>
      <c r="M181" s="184"/>
      <c r="N181" s="72"/>
      <c r="O181" s="19"/>
      <c r="P181" s="72"/>
      <c r="Q181" s="709">
        <f t="shared" si="393"/>
        <v>0</v>
      </c>
      <c r="R181" s="709">
        <f t="shared" si="404"/>
        <v>0</v>
      </c>
      <c r="S181" s="752"/>
      <c r="T181" s="709"/>
      <c r="U181" s="709"/>
      <c r="V181" s="710"/>
      <c r="W181" s="711"/>
      <c r="X181" s="661"/>
      <c r="Y181" s="337"/>
      <c r="Z181" s="176"/>
      <c r="AA181" s="334"/>
      <c r="AB181" s="18"/>
      <c r="AC181" s="11"/>
      <c r="AD181" s="11"/>
      <c r="AE181" s="11"/>
      <c r="AF181" s="11"/>
      <c r="AG181" s="75" t="e">
        <f t="shared" si="394"/>
        <v>#DIV/0!</v>
      </c>
      <c r="AH181" s="629"/>
      <c r="AI181" s="659"/>
      <c r="AJ181" s="659"/>
      <c r="AK181" s="629"/>
      <c r="AL181" s="629"/>
      <c r="AM181" s="629"/>
      <c r="AN181" s="629"/>
      <c r="AO181" s="629"/>
      <c r="AP181" s="629"/>
      <c r="AQ181" s="728"/>
      <c r="AR181" s="659">
        <f t="shared" si="395"/>
        <v>0</v>
      </c>
      <c r="AS181" s="634">
        <f t="shared" si="396"/>
        <v>0</v>
      </c>
      <c r="AT181" s="277"/>
      <c r="AU181" s="277"/>
      <c r="AV181" s="277"/>
      <c r="AW181" s="277"/>
      <c r="AX181" s="277"/>
      <c r="AY181" s="282"/>
      <c r="AZ181" s="57"/>
      <c r="BA181" s="28"/>
      <c r="BB181" s="28"/>
      <c r="BC181" s="277"/>
      <c r="BD181" s="277"/>
      <c r="BE181" s="277"/>
      <c r="BF181" s="277"/>
      <c r="BG181" s="277"/>
      <c r="BH181" s="28"/>
      <c r="BI181" s="28"/>
      <c r="BJ181" s="28"/>
      <c r="BK181" s="28"/>
      <c r="BL181" s="28"/>
      <c r="BM181" s="28"/>
      <c r="BN181" s="28"/>
      <c r="BO181" s="11"/>
      <c r="BP181" s="78"/>
      <c r="BQ181" s="375"/>
      <c r="BR181" s="488" t="e">
        <f>AI181/AA181/7.1937</f>
        <v>#DIV/0!</v>
      </c>
      <c r="BS181" s="489">
        <f t="shared" si="397"/>
        <v>0</v>
      </c>
      <c r="BT181" s="515">
        <f t="shared" si="398"/>
        <v>0</v>
      </c>
      <c r="BU181" s="515" t="e">
        <f t="shared" si="399"/>
        <v>#DIV/0!</v>
      </c>
      <c r="BV181" s="494" t="e">
        <f t="shared" si="400"/>
        <v>#DIV/0!</v>
      </c>
      <c r="BW181" s="28"/>
      <c r="BX181" s="28"/>
      <c r="BY181" s="28"/>
      <c r="BZ181" s="41"/>
      <c r="CA181" s="375"/>
      <c r="CB181" s="356"/>
      <c r="CC181" s="352"/>
      <c r="CD181" s="352"/>
      <c r="CE181" s="352"/>
      <c r="CF181" s="352"/>
      <c r="CG181" s="352"/>
      <c r="CH181" s="28"/>
      <c r="CI181" s="28"/>
      <c r="CJ181" s="28"/>
      <c r="CK181" s="28"/>
      <c r="CL181" s="41"/>
      <c r="CM181" s="57"/>
      <c r="CN181" s="16"/>
      <c r="CO181" s="28"/>
      <c r="CP181" s="41"/>
      <c r="CQ181" s="41"/>
      <c r="CR181" s="14"/>
      <c r="CS181" s="30"/>
      <c r="CT181" s="30"/>
      <c r="CU181" s="30"/>
      <c r="CV181" s="30"/>
      <c r="CW181" s="30"/>
      <c r="CX181" s="30"/>
      <c r="CY181" s="323"/>
      <c r="CZ181" s="314" t="e">
        <f t="shared" si="401"/>
        <v>#DIV/0!</v>
      </c>
      <c r="DA181" s="663" t="e">
        <f t="shared" si="402"/>
        <v>#DIV/0!</v>
      </c>
      <c r="DB181" s="773" t="e">
        <f t="shared" si="403"/>
        <v>#DIV/0!</v>
      </c>
      <c r="DC181" s="663"/>
      <c r="DD181" s="663"/>
      <c r="DE181" s="663"/>
      <c r="DF181" s="663"/>
      <c r="DG181" s="663"/>
      <c r="DH181" s="663"/>
      <c r="DI181" s="663">
        <f t="shared" si="392"/>
        <v>0</v>
      </c>
      <c r="DJ181" s="663"/>
      <c r="DK181" s="663"/>
      <c r="DL181" s="663"/>
      <c r="DM181" s="651" t="e">
        <f t="shared" si="349"/>
        <v>#DIV/0!</v>
      </c>
      <c r="DN181" s="20"/>
      <c r="DO181" s="69"/>
      <c r="DQ181" s="24"/>
    </row>
    <row r="182" spans="1:121" s="25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2" t="s">
        <v>384</v>
      </c>
      <c r="K182" s="196"/>
      <c r="L182" s="195"/>
      <c r="M182" s="184"/>
      <c r="N182" s="72"/>
      <c r="O182" s="19"/>
      <c r="P182" s="72"/>
      <c r="Q182" s="709">
        <f t="shared" si="393"/>
        <v>0</v>
      </c>
      <c r="R182" s="709">
        <f t="shared" si="404"/>
        <v>0</v>
      </c>
      <c r="S182" s="740"/>
      <c r="T182" s="717"/>
      <c r="U182" s="718"/>
      <c r="V182" s="718"/>
      <c r="W182" s="718"/>
      <c r="X182" s="661"/>
      <c r="Y182" s="337"/>
      <c r="Z182" s="176"/>
      <c r="AA182" s="334"/>
      <c r="AB182" s="18"/>
      <c r="AC182" s="11"/>
      <c r="AD182" s="11"/>
      <c r="AE182" s="11"/>
      <c r="AF182" s="11"/>
      <c r="AG182" s="75" t="e">
        <f t="shared" si="394"/>
        <v>#DIV/0!</v>
      </c>
      <c r="AH182" s="629"/>
      <c r="AI182" s="659"/>
      <c r="AJ182" s="659"/>
      <c r="AK182" s="629"/>
      <c r="AL182" s="629"/>
      <c r="AM182" s="629"/>
      <c r="AN182" s="629"/>
      <c r="AO182" s="629"/>
      <c r="AP182" s="629"/>
      <c r="AQ182" s="728"/>
      <c r="AR182" s="659">
        <f t="shared" si="395"/>
        <v>0</v>
      </c>
      <c r="AS182" s="634">
        <f t="shared" si="396"/>
        <v>0</v>
      </c>
      <c r="AT182" s="277"/>
      <c r="AU182" s="277"/>
      <c r="AV182" s="277"/>
      <c r="AW182" s="277"/>
      <c r="AX182" s="277"/>
      <c r="AY182" s="282"/>
      <c r="AZ182" s="57"/>
      <c r="BA182" s="28"/>
      <c r="BB182" s="28"/>
      <c r="BC182" s="277"/>
      <c r="BD182" s="277"/>
      <c r="BE182" s="277"/>
      <c r="BF182" s="277"/>
      <c r="BG182" s="277"/>
      <c r="BH182" s="28"/>
      <c r="BI182" s="28"/>
      <c r="BJ182" s="28"/>
      <c r="BK182" s="28"/>
      <c r="BL182" s="28"/>
      <c r="BM182" s="28"/>
      <c r="BN182" s="28"/>
      <c r="BO182" s="11"/>
      <c r="BP182" s="78"/>
      <c r="BQ182" s="375"/>
      <c r="BR182" s="488" t="e">
        <f>AI182/AA182/7.1806</f>
        <v>#DIV/0!</v>
      </c>
      <c r="BS182" s="489">
        <f t="shared" si="397"/>
        <v>0</v>
      </c>
      <c r="BT182" s="515">
        <f t="shared" si="398"/>
        <v>0</v>
      </c>
      <c r="BU182" s="515" t="e">
        <f t="shared" si="399"/>
        <v>#DIV/0!</v>
      </c>
      <c r="BV182" s="494" t="e">
        <f t="shared" si="400"/>
        <v>#DIV/0!</v>
      </c>
      <c r="BW182" s="28"/>
      <c r="BX182" s="28"/>
      <c r="BY182" s="28"/>
      <c r="BZ182" s="41"/>
      <c r="CA182" s="375"/>
      <c r="CB182" s="356"/>
      <c r="CC182" s="352"/>
      <c r="CD182" s="352"/>
      <c r="CE182" s="352"/>
      <c r="CF182" s="352"/>
      <c r="CG182" s="352"/>
      <c r="CH182" s="28"/>
      <c r="CI182" s="28"/>
      <c r="CJ182" s="28"/>
      <c r="CK182" s="28"/>
      <c r="CL182" s="41"/>
      <c r="CM182" s="57"/>
      <c r="CN182" s="16"/>
      <c r="CO182" s="28"/>
      <c r="CP182" s="41"/>
      <c r="CQ182" s="41"/>
      <c r="CR182" s="14"/>
      <c r="CS182" s="30"/>
      <c r="CT182" s="30"/>
      <c r="CU182" s="30"/>
      <c r="CV182" s="30"/>
      <c r="CW182" s="30"/>
      <c r="CX182" s="30"/>
      <c r="CY182" s="323"/>
      <c r="CZ182" s="314" t="e">
        <f t="shared" si="401"/>
        <v>#DIV/0!</v>
      </c>
      <c r="DA182" s="663" t="e">
        <f t="shared" si="402"/>
        <v>#DIV/0!</v>
      </c>
      <c r="DB182" s="773" t="e">
        <f t="shared" si="403"/>
        <v>#DIV/0!</v>
      </c>
      <c r="DC182" s="663"/>
      <c r="DD182" s="663"/>
      <c r="DE182" s="663"/>
      <c r="DF182" s="663"/>
      <c r="DG182" s="663"/>
      <c r="DH182" s="663"/>
      <c r="DI182" s="663">
        <f t="shared" si="392"/>
        <v>0</v>
      </c>
      <c r="DJ182" s="663"/>
      <c r="DK182" s="663"/>
      <c r="DL182" s="663"/>
      <c r="DM182" s="651" t="e">
        <f t="shared" si="349"/>
        <v>#DIV/0!</v>
      </c>
      <c r="DN182" s="20"/>
      <c r="DO182" s="69"/>
      <c r="DQ182" s="24"/>
    </row>
    <row r="183" spans="1:121" s="68" customFormat="1" ht="15.95" customHeight="1" x14ac:dyDescent="0.25">
      <c r="A183" s="1377"/>
      <c r="B183" s="1377"/>
      <c r="C183" s="1258"/>
      <c r="D183" s="1258"/>
      <c r="E183" s="1258"/>
      <c r="F183" s="489"/>
      <c r="G183" s="1234"/>
      <c r="H183" s="1258"/>
      <c r="I183" s="260"/>
      <c r="J183" s="1397" t="s">
        <v>385</v>
      </c>
      <c r="K183" s="1369"/>
      <c r="L183" s="1399"/>
      <c r="M183" s="1401"/>
      <c r="N183" s="22"/>
      <c r="O183" s="275"/>
      <c r="P183" s="22"/>
      <c r="Q183" s="709"/>
      <c r="R183" s="709">
        <f t="shared" si="404"/>
        <v>0</v>
      </c>
      <c r="S183" s="740"/>
      <c r="T183" s="717"/>
      <c r="U183" s="718"/>
      <c r="V183" s="718"/>
      <c r="W183" s="718"/>
      <c r="X183" s="1371"/>
      <c r="Y183" s="1393"/>
      <c r="Z183" s="288"/>
      <c r="AA183" s="1395"/>
      <c r="AB183" s="1377"/>
      <c r="AC183" s="1258"/>
      <c r="AD183" s="1258"/>
      <c r="AE183" s="1258"/>
      <c r="AF183" s="1258"/>
      <c r="AG183" s="1284" t="e">
        <f>(AI183+AI184)/AA183/CZ183</f>
        <v>#DIV/0!</v>
      </c>
      <c r="AH183" s="629"/>
      <c r="AI183" s="647"/>
      <c r="AJ183" s="1260"/>
      <c r="AK183" s="1260"/>
      <c r="AL183" s="1260"/>
      <c r="AM183" s="635"/>
      <c r="AN183" s="635"/>
      <c r="AO183" s="635"/>
      <c r="AP183" s="1260"/>
      <c r="AQ183" s="637"/>
      <c r="AR183" s="647">
        <f t="shared" si="395"/>
        <v>0</v>
      </c>
      <c r="AS183" s="639">
        <f t="shared" si="396"/>
        <v>0</v>
      </c>
      <c r="AT183" s="1260"/>
      <c r="AU183" s="1260"/>
      <c r="AV183" s="275"/>
      <c r="AW183" s="275"/>
      <c r="AX183" s="275"/>
      <c r="AY183" s="1371"/>
      <c r="AZ183" s="1369"/>
      <c r="BA183" s="276"/>
      <c r="BB183" s="276"/>
      <c r="BC183" s="264"/>
      <c r="BD183" s="264"/>
      <c r="BE183" s="1244"/>
      <c r="BF183" s="1244"/>
      <c r="BG183" s="1258"/>
      <c r="BH183" s="275"/>
      <c r="BI183" s="275"/>
      <c r="BJ183" s="1260"/>
      <c r="BK183" s="1260"/>
      <c r="BL183" s="1260"/>
      <c r="BM183" s="1260"/>
      <c r="BN183" s="1260"/>
      <c r="BO183" s="1258"/>
      <c r="BP183" s="78"/>
      <c r="BQ183" s="372"/>
      <c r="BR183" s="1377" t="e">
        <f>(AI183+AI184)/AA183/7.175</f>
        <v>#DIV/0!</v>
      </c>
      <c r="BS183" s="1258">
        <f t="shared" si="397"/>
        <v>0</v>
      </c>
      <c r="BT183" s="515">
        <f t="shared" si="398"/>
        <v>0</v>
      </c>
      <c r="BU183" s="1381" t="e">
        <f t="shared" si="399"/>
        <v>#DIV/0!</v>
      </c>
      <c r="BV183" s="494" t="e">
        <f t="shared" si="400"/>
        <v>#DIV/0!</v>
      </c>
      <c r="BW183" s="91"/>
      <c r="BX183" s="506"/>
      <c r="BY183" s="506"/>
      <c r="BZ183" s="508"/>
      <c r="CA183" s="372"/>
      <c r="CB183" s="1369"/>
      <c r="CC183" s="1260"/>
      <c r="CD183" s="1260"/>
      <c r="CE183" s="353"/>
      <c r="CF183" s="353"/>
      <c r="CG183" s="353"/>
      <c r="CH183" s="1367"/>
      <c r="CI183" s="28"/>
      <c r="CJ183" s="28"/>
      <c r="CK183" s="28"/>
      <c r="CL183" s="41"/>
      <c r="CM183" s="1246"/>
      <c r="CN183" s="1367"/>
      <c r="CO183" s="28"/>
      <c r="CP183" s="1385"/>
      <c r="CQ183" s="592"/>
      <c r="CR183" s="1234"/>
      <c r="CS183" s="275"/>
      <c r="CT183" s="1260"/>
      <c r="CU183" s="93"/>
      <c r="CV183" s="1260"/>
      <c r="CW183" s="1260"/>
      <c r="CX183" s="1260"/>
      <c r="CY183" s="1371"/>
      <c r="CZ183" s="1374" t="e">
        <f>(AI183+AI184)/AA183/BR183</f>
        <v>#DIV/0!</v>
      </c>
      <c r="DA183" s="1381" t="e">
        <f t="shared" si="402"/>
        <v>#DIV/0!</v>
      </c>
      <c r="DB183" s="772" t="e">
        <f t="shared" si="403"/>
        <v>#DIV/0!</v>
      </c>
      <c r="DC183" s="1381"/>
      <c r="DD183" s="662"/>
      <c r="DE183" s="662"/>
      <c r="DF183" s="662"/>
      <c r="DG183" s="662"/>
      <c r="DH183" s="662"/>
      <c r="DI183" s="1381">
        <f t="shared" si="392"/>
        <v>0</v>
      </c>
      <c r="DJ183" s="662"/>
      <c r="DK183" s="1381"/>
      <c r="DL183" s="662"/>
      <c r="DM183" s="1389" t="e">
        <f t="shared" si="349"/>
        <v>#DIV/0!</v>
      </c>
      <c r="DO183" s="69"/>
    </row>
    <row r="184" spans="1:121" s="68" customFormat="1" ht="15.95" customHeight="1" x14ac:dyDescent="0.25">
      <c r="A184" s="1391"/>
      <c r="B184" s="1391"/>
      <c r="C184" s="1259"/>
      <c r="D184" s="1259"/>
      <c r="E184" s="1259"/>
      <c r="F184" s="490"/>
      <c r="G184" s="1235"/>
      <c r="H184" s="1259"/>
      <c r="I184" s="261"/>
      <c r="J184" s="1398"/>
      <c r="K184" s="1370"/>
      <c r="L184" s="1400"/>
      <c r="M184" s="1402"/>
      <c r="N184" s="72"/>
      <c r="O184" s="91"/>
      <c r="P184" s="72"/>
      <c r="Q184" s="709">
        <f>P184-M183</f>
        <v>0</v>
      </c>
      <c r="R184" s="709">
        <f t="shared" si="404"/>
        <v>0</v>
      </c>
      <c r="S184" s="751"/>
      <c r="T184" s="721"/>
      <c r="U184" s="721"/>
      <c r="V184" s="720"/>
      <c r="W184" s="720"/>
      <c r="X184" s="1392"/>
      <c r="Y184" s="1394"/>
      <c r="Z184" s="289"/>
      <c r="AA184" s="1396"/>
      <c r="AB184" s="1391"/>
      <c r="AC184" s="1259"/>
      <c r="AD184" s="1259"/>
      <c r="AE184" s="1259"/>
      <c r="AF184" s="1259"/>
      <c r="AG184" s="1285" t="e">
        <f>AI184/AA184/CZ184</f>
        <v>#DIV/0!</v>
      </c>
      <c r="AH184" s="630"/>
      <c r="AI184" s="647"/>
      <c r="AJ184" s="1261"/>
      <c r="AK184" s="1261"/>
      <c r="AL184" s="1261"/>
      <c r="AM184" s="636"/>
      <c r="AN184" s="636"/>
      <c r="AO184" s="636"/>
      <c r="AP184" s="1261"/>
      <c r="AQ184" s="638"/>
      <c r="AR184" s="647">
        <f t="shared" si="395"/>
        <v>0</v>
      </c>
      <c r="AS184" s="639">
        <f t="shared" si="396"/>
        <v>0</v>
      </c>
      <c r="AT184" s="1261"/>
      <c r="AU184" s="1261"/>
      <c r="AV184" s="276"/>
      <c r="AW184" s="276"/>
      <c r="AX184" s="276"/>
      <c r="AY184" s="1372"/>
      <c r="AZ184" s="1370"/>
      <c r="BA184" s="276"/>
      <c r="BB184" s="276"/>
      <c r="BC184" s="265"/>
      <c r="BD184" s="265"/>
      <c r="BE184" s="1245"/>
      <c r="BF184" s="1245"/>
      <c r="BG184" s="1259"/>
      <c r="BH184" s="276"/>
      <c r="BI184" s="276"/>
      <c r="BJ184" s="1261"/>
      <c r="BK184" s="1261"/>
      <c r="BL184" s="1380"/>
      <c r="BM184" s="1380"/>
      <c r="BN184" s="1380"/>
      <c r="BO184" s="1379"/>
      <c r="BP184" s="78"/>
      <c r="BQ184" s="372"/>
      <c r="BR184" s="1378"/>
      <c r="BS184" s="1379">
        <f t="shared" si="397"/>
        <v>0</v>
      </c>
      <c r="BT184" s="516">
        <f t="shared" si="398"/>
        <v>0</v>
      </c>
      <c r="BU184" s="1419">
        <f t="shared" si="399"/>
        <v>0</v>
      </c>
      <c r="BV184" s="495">
        <f t="shared" si="400"/>
        <v>0</v>
      </c>
      <c r="BW184" s="91"/>
      <c r="BX184" s="506"/>
      <c r="BY184" s="506"/>
      <c r="BZ184" s="508"/>
      <c r="CA184" s="372"/>
      <c r="CB184" s="1370"/>
      <c r="CC184" s="1261"/>
      <c r="CD184" s="1261"/>
      <c r="CE184" s="354"/>
      <c r="CF184" s="354"/>
      <c r="CG184" s="354"/>
      <c r="CH184" s="1368"/>
      <c r="CI184" s="546"/>
      <c r="CJ184" s="546"/>
      <c r="CK184" s="546"/>
      <c r="CL184" s="550"/>
      <c r="CM184" s="1247"/>
      <c r="CN184" s="1373"/>
      <c r="CO184" s="546"/>
      <c r="CP184" s="1386"/>
      <c r="CQ184" s="592"/>
      <c r="CR184" s="1235"/>
      <c r="CS184" s="276"/>
      <c r="CT184" s="1261"/>
      <c r="CU184" s="60"/>
      <c r="CV184" s="1261"/>
      <c r="CW184" s="1261"/>
      <c r="CX184" s="1261"/>
      <c r="CY184" s="1372"/>
      <c r="CZ184" s="1374"/>
      <c r="DA184" s="1382">
        <f t="shared" si="402"/>
        <v>0</v>
      </c>
      <c r="DB184" s="773">
        <f t="shared" si="403"/>
        <v>0</v>
      </c>
      <c r="DC184" s="1382"/>
      <c r="DD184" s="663"/>
      <c r="DE184" s="663"/>
      <c r="DF184" s="663"/>
      <c r="DG184" s="663"/>
      <c r="DH184" s="663"/>
      <c r="DI184" s="1382">
        <f t="shared" si="392"/>
        <v>0</v>
      </c>
      <c r="DJ184" s="663"/>
      <c r="DK184" s="1382"/>
      <c r="DL184" s="663"/>
      <c r="DM184" s="1390">
        <f t="shared" si="349"/>
        <v>0</v>
      </c>
      <c r="DO184" s="69"/>
    </row>
    <row r="185" spans="1:121" s="68" customFormat="1" ht="15.95" customHeight="1" x14ac:dyDescent="0.25">
      <c r="A185" s="1377"/>
      <c r="B185" s="1377"/>
      <c r="C185" s="1258"/>
      <c r="D185" s="1258"/>
      <c r="E185" s="1258"/>
      <c r="F185" s="489"/>
      <c r="G185" s="1234"/>
      <c r="H185" s="1258"/>
      <c r="I185" s="260"/>
      <c r="J185" s="1397" t="s">
        <v>385</v>
      </c>
      <c r="K185" s="1369"/>
      <c r="L185" s="1399"/>
      <c r="M185" s="1401"/>
      <c r="N185" s="22"/>
      <c r="O185" s="275"/>
      <c r="P185" s="22"/>
      <c r="Q185" s="709">
        <f>P185-M185</f>
        <v>0</v>
      </c>
      <c r="R185" s="709">
        <f>P185-N185</f>
        <v>0</v>
      </c>
      <c r="S185" s="740"/>
      <c r="T185" s="717"/>
      <c r="U185" s="718"/>
      <c r="V185" s="718"/>
      <c r="W185" s="718"/>
      <c r="X185" s="1371"/>
      <c r="Y185" s="1393"/>
      <c r="Z185" s="288"/>
      <c r="AA185" s="1395"/>
      <c r="AB185" s="1377"/>
      <c r="AC185" s="1258"/>
      <c r="AD185" s="1258"/>
      <c r="AE185" s="1258"/>
      <c r="AF185" s="1258"/>
      <c r="AG185" s="1284" t="e">
        <f>(AI185+AI186)/AA185/CZ185</f>
        <v>#DIV/0!</v>
      </c>
      <c r="AH185" s="629"/>
      <c r="AI185" s="647"/>
      <c r="AJ185" s="1260"/>
      <c r="AK185" s="1260"/>
      <c r="AL185" s="1260"/>
      <c r="AM185" s="635"/>
      <c r="AN185" s="635"/>
      <c r="AO185" s="635"/>
      <c r="AP185" s="1260"/>
      <c r="AQ185" s="637"/>
      <c r="AR185" s="647">
        <f t="shared" si="395"/>
        <v>0</v>
      </c>
      <c r="AS185" s="639">
        <f t="shared" si="396"/>
        <v>0</v>
      </c>
      <c r="AT185" s="1260"/>
      <c r="AU185" s="1260"/>
      <c r="AV185" s="275"/>
      <c r="AW185" s="275"/>
      <c r="AX185" s="275"/>
      <c r="AY185" s="1371"/>
      <c r="AZ185" s="1369"/>
      <c r="BA185" s="276"/>
      <c r="BB185" s="276"/>
      <c r="BC185" s="264"/>
      <c r="BD185" s="264"/>
      <c r="BE185" s="1244"/>
      <c r="BF185" s="1244"/>
      <c r="BG185" s="1258"/>
      <c r="BH185" s="275"/>
      <c r="BI185" s="275"/>
      <c r="BJ185" s="1260"/>
      <c r="BK185" s="1260"/>
      <c r="BL185" s="1260"/>
      <c r="BM185" s="1260"/>
      <c r="BN185" s="1260"/>
      <c r="BO185" s="1258"/>
      <c r="BP185" s="78"/>
      <c r="BQ185" s="372"/>
      <c r="BR185" s="1377" t="e">
        <f>(AI185+AI186)/AA185/7.1846</f>
        <v>#DIV/0!</v>
      </c>
      <c r="BS185" s="1258">
        <f t="shared" si="397"/>
        <v>0</v>
      </c>
      <c r="BT185" s="515">
        <f t="shared" si="398"/>
        <v>0</v>
      </c>
      <c r="BU185" s="1381" t="e">
        <f t="shared" si="399"/>
        <v>#DIV/0!</v>
      </c>
      <c r="BV185" s="494" t="e">
        <f t="shared" si="400"/>
        <v>#DIV/0!</v>
      </c>
      <c r="BW185" s="91"/>
      <c r="BX185" s="506"/>
      <c r="BY185" s="506"/>
      <c r="BZ185" s="508"/>
      <c r="CA185" s="372"/>
      <c r="CB185" s="1369"/>
      <c r="CC185" s="1260"/>
      <c r="CD185" s="1260"/>
      <c r="CE185" s="353"/>
      <c r="CF185" s="353"/>
      <c r="CG185" s="353"/>
      <c r="CH185" s="1367"/>
      <c r="CI185" s="28"/>
      <c r="CJ185" s="28"/>
      <c r="CK185" s="28"/>
      <c r="CL185" s="41"/>
      <c r="CM185" s="1246"/>
      <c r="CN185" s="1367"/>
      <c r="CO185" s="28"/>
      <c r="CP185" s="1385"/>
      <c r="CQ185" s="592"/>
      <c r="CR185" s="1234"/>
      <c r="CS185" s="275"/>
      <c r="CT185" s="1260"/>
      <c r="CU185" s="93"/>
      <c r="CV185" s="1260"/>
      <c r="CW185" s="1260"/>
      <c r="CX185" s="1260"/>
      <c r="CY185" s="1371"/>
      <c r="CZ185" s="1374" t="e">
        <f>(AI185+AI186)/AA185/BR185</f>
        <v>#DIV/0!</v>
      </c>
      <c r="DA185" s="1381" t="e">
        <f t="shared" si="402"/>
        <v>#DIV/0!</v>
      </c>
      <c r="DB185" s="772" t="e">
        <f t="shared" si="403"/>
        <v>#DIV/0!</v>
      </c>
      <c r="DC185" s="1381"/>
      <c r="DD185" s="662"/>
      <c r="DE185" s="662"/>
      <c r="DF185" s="662"/>
      <c r="DG185" s="662"/>
      <c r="DH185" s="662"/>
      <c r="DI185" s="1381">
        <f t="shared" si="392"/>
        <v>0</v>
      </c>
      <c r="DJ185" s="662"/>
      <c r="DK185" s="1381"/>
      <c r="DL185" s="662"/>
      <c r="DM185" s="1389" t="e">
        <f t="shared" si="349"/>
        <v>#DIV/0!</v>
      </c>
      <c r="DO185" s="69"/>
    </row>
    <row r="186" spans="1:121" s="68" customFormat="1" ht="15.95" customHeight="1" x14ac:dyDescent="0.25">
      <c r="A186" s="1391"/>
      <c r="B186" s="1391"/>
      <c r="C186" s="1259"/>
      <c r="D186" s="1259"/>
      <c r="E186" s="1259"/>
      <c r="F186" s="490"/>
      <c r="G186" s="1235"/>
      <c r="H186" s="1259"/>
      <c r="I186" s="261"/>
      <c r="J186" s="1398"/>
      <c r="K186" s="1370"/>
      <c r="L186" s="1400"/>
      <c r="M186" s="1402"/>
      <c r="N186" s="72"/>
      <c r="O186" s="91"/>
      <c r="P186" s="72"/>
      <c r="Q186" s="709">
        <f>P186-M185</f>
        <v>0</v>
      </c>
      <c r="R186" s="709">
        <f t="shared" si="404"/>
        <v>0</v>
      </c>
      <c r="S186" s="740"/>
      <c r="T186" s="717"/>
      <c r="U186" s="718"/>
      <c r="V186" s="718"/>
      <c r="W186" s="718"/>
      <c r="X186" s="1392"/>
      <c r="Y186" s="1394"/>
      <c r="Z186" s="289"/>
      <c r="AA186" s="1396"/>
      <c r="AB186" s="1391"/>
      <c r="AC186" s="1259"/>
      <c r="AD186" s="1259"/>
      <c r="AE186" s="1259"/>
      <c r="AF186" s="1259"/>
      <c r="AG186" s="1285" t="e">
        <f>AI186/AA186/CZ186</f>
        <v>#DIV/0!</v>
      </c>
      <c r="AH186" s="630"/>
      <c r="AI186" s="647"/>
      <c r="AJ186" s="1261"/>
      <c r="AK186" s="1261"/>
      <c r="AL186" s="1261"/>
      <c r="AM186" s="636"/>
      <c r="AN186" s="636"/>
      <c r="AO186" s="636"/>
      <c r="AP186" s="1261"/>
      <c r="AQ186" s="638"/>
      <c r="AR186" s="647">
        <f t="shared" si="395"/>
        <v>0</v>
      </c>
      <c r="AS186" s="639">
        <f t="shared" si="396"/>
        <v>0</v>
      </c>
      <c r="AT186" s="1261"/>
      <c r="AU186" s="1261"/>
      <c r="AV186" s="276"/>
      <c r="AW186" s="276"/>
      <c r="AX186" s="276"/>
      <c r="AY186" s="1372"/>
      <c r="AZ186" s="1370"/>
      <c r="BA186" s="276"/>
      <c r="BB186" s="276"/>
      <c r="BC186" s="265"/>
      <c r="BD186" s="265"/>
      <c r="BE186" s="1245"/>
      <c r="BF186" s="1245"/>
      <c r="BG186" s="1259"/>
      <c r="BH186" s="276"/>
      <c r="BI186" s="276"/>
      <c r="BJ186" s="1261"/>
      <c r="BK186" s="1261"/>
      <c r="BL186" s="1380"/>
      <c r="BM186" s="1380"/>
      <c r="BN186" s="1380"/>
      <c r="BO186" s="1379"/>
      <c r="BP186" s="78"/>
      <c r="BQ186" s="372"/>
      <c r="BR186" s="1378"/>
      <c r="BS186" s="1379">
        <f t="shared" si="397"/>
        <v>0</v>
      </c>
      <c r="BT186" s="516">
        <f t="shared" si="398"/>
        <v>0</v>
      </c>
      <c r="BU186" s="1419">
        <f t="shared" si="399"/>
        <v>0</v>
      </c>
      <c r="BV186" s="495">
        <f t="shared" si="400"/>
        <v>0</v>
      </c>
      <c r="BW186" s="91"/>
      <c r="BX186" s="506"/>
      <c r="BY186" s="506"/>
      <c r="BZ186" s="508"/>
      <c r="CA186" s="372"/>
      <c r="CB186" s="1370"/>
      <c r="CC186" s="1261"/>
      <c r="CD186" s="1261"/>
      <c r="CE186" s="354"/>
      <c r="CF186" s="354"/>
      <c r="CG186" s="354"/>
      <c r="CH186" s="1368"/>
      <c r="CI186" s="546"/>
      <c r="CJ186" s="546"/>
      <c r="CK186" s="546"/>
      <c r="CL186" s="550"/>
      <c r="CM186" s="1247"/>
      <c r="CN186" s="1373"/>
      <c r="CO186" s="546"/>
      <c r="CP186" s="1386"/>
      <c r="CQ186" s="592"/>
      <c r="CR186" s="1235"/>
      <c r="CS186" s="276"/>
      <c r="CT186" s="1261"/>
      <c r="CU186" s="60"/>
      <c r="CV186" s="1261"/>
      <c r="CW186" s="1261"/>
      <c r="CX186" s="1261"/>
      <c r="CY186" s="1372"/>
      <c r="CZ186" s="1374"/>
      <c r="DA186" s="1382">
        <f t="shared" si="402"/>
        <v>0</v>
      </c>
      <c r="DB186" s="773">
        <f t="shared" si="403"/>
        <v>0</v>
      </c>
      <c r="DC186" s="1382"/>
      <c r="DD186" s="663"/>
      <c r="DE186" s="663"/>
      <c r="DF186" s="663"/>
      <c r="DG186" s="663"/>
      <c r="DH186" s="663"/>
      <c r="DI186" s="1382">
        <f t="shared" si="392"/>
        <v>0</v>
      </c>
      <c r="DJ186" s="663"/>
      <c r="DK186" s="1382"/>
      <c r="DL186" s="663"/>
      <c r="DM186" s="1390">
        <f t="shared" si="349"/>
        <v>0</v>
      </c>
      <c r="DO186" s="69"/>
    </row>
    <row r="187" spans="1:121" s="68" customFormat="1" ht="15.95" customHeight="1" x14ac:dyDescent="0.25">
      <c r="A187" s="1377"/>
      <c r="B187" s="1377"/>
      <c r="C187" s="1258"/>
      <c r="D187" s="1258"/>
      <c r="E187" s="1258"/>
      <c r="F187" s="489"/>
      <c r="G187" s="1234"/>
      <c r="H187" s="1258"/>
      <c r="I187" s="260"/>
      <c r="J187" s="1397" t="s">
        <v>388</v>
      </c>
      <c r="K187" s="1369"/>
      <c r="L187" s="1399"/>
      <c r="M187" s="1401"/>
      <c r="N187" s="22"/>
      <c r="O187" s="275"/>
      <c r="P187" s="22"/>
      <c r="Q187" s="709">
        <f>P187-M187</f>
        <v>0</v>
      </c>
      <c r="R187" s="709">
        <f t="shared" si="404"/>
        <v>0</v>
      </c>
      <c r="S187" s="740"/>
      <c r="T187" s="717"/>
      <c r="U187" s="718"/>
      <c r="V187" s="718"/>
      <c r="W187" s="718"/>
      <c r="X187" s="1371"/>
      <c r="Y187" s="1393"/>
      <c r="Z187" s="288"/>
      <c r="AA187" s="1395"/>
      <c r="AB187" s="1377"/>
      <c r="AC187" s="1258"/>
      <c r="AD187" s="1258"/>
      <c r="AE187" s="1258"/>
      <c r="AF187" s="1258"/>
      <c r="AG187" s="1284" t="e">
        <f>(AI187+AI188)/AA187/CZ187</f>
        <v>#DIV/0!</v>
      </c>
      <c r="AH187" s="629"/>
      <c r="AI187" s="647"/>
      <c r="AJ187" s="1260"/>
      <c r="AK187" s="1260"/>
      <c r="AL187" s="1260"/>
      <c r="AM187" s="635"/>
      <c r="AN187" s="635"/>
      <c r="AO187" s="635"/>
      <c r="AP187" s="1260"/>
      <c r="AQ187" s="637"/>
      <c r="AR187" s="647">
        <f t="shared" si="395"/>
        <v>0</v>
      </c>
      <c r="AS187" s="639">
        <f t="shared" si="396"/>
        <v>0</v>
      </c>
      <c r="AT187" s="1260"/>
      <c r="AU187" s="1260"/>
      <c r="AV187" s="275"/>
      <c r="AW187" s="275"/>
      <c r="AX187" s="275"/>
      <c r="AY187" s="1371"/>
      <c r="AZ187" s="1369"/>
      <c r="BA187" s="276"/>
      <c r="BB187" s="276"/>
      <c r="BC187" s="264"/>
      <c r="BD187" s="264"/>
      <c r="BE187" s="1244"/>
      <c r="BF187" s="1244"/>
      <c r="BG187" s="1258"/>
      <c r="BH187" s="275"/>
      <c r="BI187" s="275"/>
      <c r="BJ187" s="1260"/>
      <c r="BK187" s="1260"/>
      <c r="BL187" s="1260"/>
      <c r="BM187" s="1260"/>
      <c r="BN187" s="1260"/>
      <c r="BO187" s="1258"/>
      <c r="BP187" s="78"/>
      <c r="BQ187" s="372"/>
      <c r="BR187" s="1377" t="e">
        <f>(AI187+AI188)/AA187/7.1982</f>
        <v>#DIV/0!</v>
      </c>
      <c r="BS187" s="1258">
        <f t="shared" si="397"/>
        <v>0</v>
      </c>
      <c r="BT187" s="515">
        <f t="shared" si="398"/>
        <v>0</v>
      </c>
      <c r="BU187" s="1381" t="e">
        <f t="shared" si="399"/>
        <v>#DIV/0!</v>
      </c>
      <c r="BV187" s="494" t="e">
        <f t="shared" si="400"/>
        <v>#DIV/0!</v>
      </c>
      <c r="BW187" s="91"/>
      <c r="BX187" s="506"/>
      <c r="BY187" s="506"/>
      <c r="BZ187" s="508"/>
      <c r="CA187" s="372"/>
      <c r="CB187" s="1369"/>
      <c r="CC187" s="1260"/>
      <c r="CD187" s="1260"/>
      <c r="CE187" s="353"/>
      <c r="CF187" s="353"/>
      <c r="CG187" s="353"/>
      <c r="CH187" s="1367"/>
      <c r="CI187" s="28"/>
      <c r="CJ187" s="28"/>
      <c r="CK187" s="28"/>
      <c r="CL187" s="41"/>
      <c r="CM187" s="1246"/>
      <c r="CN187" s="1367"/>
      <c r="CO187" s="28"/>
      <c r="CP187" s="1385"/>
      <c r="CQ187" s="592"/>
      <c r="CR187" s="1234"/>
      <c r="CS187" s="275"/>
      <c r="CT187" s="1260"/>
      <c r="CU187" s="93"/>
      <c r="CV187" s="1260"/>
      <c r="CW187" s="1260"/>
      <c r="CX187" s="1260"/>
      <c r="CY187" s="1371"/>
      <c r="CZ187" s="1374" t="e">
        <f>(AI187+AI188)/AA187/BR187</f>
        <v>#DIV/0!</v>
      </c>
      <c r="DA187" s="1381" t="e">
        <f t="shared" si="402"/>
        <v>#DIV/0!</v>
      </c>
      <c r="DB187" s="772" t="e">
        <f t="shared" si="403"/>
        <v>#DIV/0!</v>
      </c>
      <c r="DC187" s="1381"/>
      <c r="DD187" s="662"/>
      <c r="DE187" s="662"/>
      <c r="DF187" s="662"/>
      <c r="DG187" s="662"/>
      <c r="DH187" s="662"/>
      <c r="DI187" s="1381">
        <f t="shared" si="392"/>
        <v>0</v>
      </c>
      <c r="DJ187" s="662"/>
      <c r="DK187" s="1381"/>
      <c r="DL187" s="662"/>
      <c r="DM187" s="1389" t="e">
        <f t="shared" si="349"/>
        <v>#DIV/0!</v>
      </c>
      <c r="DO187" s="69"/>
    </row>
    <row r="188" spans="1:121" s="68" customFormat="1" ht="15.95" customHeight="1" x14ac:dyDescent="0.25">
      <c r="A188" s="1391"/>
      <c r="B188" s="1391"/>
      <c r="C188" s="1259"/>
      <c r="D188" s="1259"/>
      <c r="E188" s="1259"/>
      <c r="F188" s="490"/>
      <c r="G188" s="1235"/>
      <c r="H188" s="1259"/>
      <c r="I188" s="261"/>
      <c r="J188" s="1398"/>
      <c r="K188" s="1370"/>
      <c r="L188" s="1400"/>
      <c r="M188" s="1402"/>
      <c r="N188" s="72"/>
      <c r="O188" s="91"/>
      <c r="P188" s="72"/>
      <c r="Q188" s="709">
        <f>P188-M187</f>
        <v>0</v>
      </c>
      <c r="R188" s="709">
        <f t="shared" si="404"/>
        <v>0</v>
      </c>
      <c r="S188" s="740"/>
      <c r="T188" s="717"/>
      <c r="U188" s="718"/>
      <c r="V188" s="718"/>
      <c r="W188" s="718"/>
      <c r="X188" s="1392"/>
      <c r="Y188" s="1394"/>
      <c r="Z188" s="289"/>
      <c r="AA188" s="1396"/>
      <c r="AB188" s="1391"/>
      <c r="AC188" s="1259"/>
      <c r="AD188" s="1259"/>
      <c r="AE188" s="1259"/>
      <c r="AF188" s="1259"/>
      <c r="AG188" s="1285" t="e">
        <f>AI188/AA188/CZ188</f>
        <v>#DIV/0!</v>
      </c>
      <c r="AH188" s="630"/>
      <c r="AI188" s="647"/>
      <c r="AJ188" s="1261"/>
      <c r="AK188" s="1261"/>
      <c r="AL188" s="1261"/>
      <c r="AM188" s="636"/>
      <c r="AN188" s="636"/>
      <c r="AO188" s="636"/>
      <c r="AP188" s="1261"/>
      <c r="AQ188" s="638"/>
      <c r="AR188" s="647">
        <f t="shared" si="395"/>
        <v>0</v>
      </c>
      <c r="AS188" s="639">
        <f t="shared" si="396"/>
        <v>0</v>
      </c>
      <c r="AT188" s="1261"/>
      <c r="AU188" s="1261"/>
      <c r="AV188" s="276"/>
      <c r="AW188" s="276"/>
      <c r="AX188" s="276"/>
      <c r="AY188" s="1372"/>
      <c r="AZ188" s="1370"/>
      <c r="BA188" s="276"/>
      <c r="BB188" s="276"/>
      <c r="BC188" s="265"/>
      <c r="BD188" s="265"/>
      <c r="BE188" s="1245"/>
      <c r="BF188" s="1245"/>
      <c r="BG188" s="1259"/>
      <c r="BH188" s="276"/>
      <c r="BI188" s="276"/>
      <c r="BJ188" s="1261"/>
      <c r="BK188" s="1261"/>
      <c r="BL188" s="1380"/>
      <c r="BM188" s="1380"/>
      <c r="BN188" s="1380"/>
      <c r="BO188" s="1379"/>
      <c r="BP188" s="78"/>
      <c r="BQ188" s="372"/>
      <c r="BR188" s="1378"/>
      <c r="BS188" s="1379">
        <f t="shared" si="397"/>
        <v>0</v>
      </c>
      <c r="BT188" s="516">
        <f t="shared" si="398"/>
        <v>0</v>
      </c>
      <c r="BU188" s="1419">
        <f t="shared" si="399"/>
        <v>0</v>
      </c>
      <c r="BV188" s="495">
        <f t="shared" si="400"/>
        <v>0</v>
      </c>
      <c r="BW188" s="91"/>
      <c r="BX188" s="506"/>
      <c r="BY188" s="506"/>
      <c r="BZ188" s="508"/>
      <c r="CA188" s="372"/>
      <c r="CB188" s="1370"/>
      <c r="CC188" s="1261"/>
      <c r="CD188" s="1261"/>
      <c r="CE188" s="354"/>
      <c r="CF188" s="354"/>
      <c r="CG188" s="354"/>
      <c r="CH188" s="1368"/>
      <c r="CI188" s="546"/>
      <c r="CJ188" s="546"/>
      <c r="CK188" s="546"/>
      <c r="CL188" s="550"/>
      <c r="CM188" s="1247"/>
      <c r="CN188" s="1373"/>
      <c r="CO188" s="546"/>
      <c r="CP188" s="1386"/>
      <c r="CQ188" s="592"/>
      <c r="CR188" s="1235"/>
      <c r="CS188" s="276"/>
      <c r="CT188" s="1261"/>
      <c r="CU188" s="60"/>
      <c r="CV188" s="1261"/>
      <c r="CW188" s="1261"/>
      <c r="CX188" s="1261"/>
      <c r="CY188" s="1372"/>
      <c r="CZ188" s="1374"/>
      <c r="DA188" s="1382">
        <f t="shared" si="402"/>
        <v>0</v>
      </c>
      <c r="DB188" s="773">
        <f t="shared" si="403"/>
        <v>0</v>
      </c>
      <c r="DC188" s="1382"/>
      <c r="DD188" s="663"/>
      <c r="DE188" s="663"/>
      <c r="DF188" s="663"/>
      <c r="DG188" s="663"/>
      <c r="DH188" s="663"/>
      <c r="DI188" s="1382">
        <f t="shared" si="392"/>
        <v>0</v>
      </c>
      <c r="DJ188" s="663"/>
      <c r="DK188" s="1382"/>
      <c r="DL188" s="663"/>
      <c r="DM188" s="1390">
        <f t="shared" si="349"/>
        <v>0</v>
      </c>
      <c r="DO188" s="69"/>
    </row>
    <row r="189" spans="1:121" s="25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2" t="s">
        <v>386</v>
      </c>
      <c r="K189" s="196"/>
      <c r="L189" s="195"/>
      <c r="M189" s="184"/>
      <c r="N189" s="72"/>
      <c r="O189" s="19"/>
      <c r="P189" s="72"/>
      <c r="Q189" s="709">
        <f>P189-M189</f>
        <v>0</v>
      </c>
      <c r="R189" s="679">
        <f t="shared" si="404"/>
        <v>0</v>
      </c>
      <c r="S189" s="753"/>
      <c r="T189" s="720"/>
      <c r="U189" s="720"/>
      <c r="V189" s="720"/>
      <c r="W189" s="720"/>
      <c r="X189" s="661"/>
      <c r="Y189" s="337"/>
      <c r="Z189" s="176"/>
      <c r="AA189" s="334"/>
      <c r="AB189" s="18"/>
      <c r="AC189" s="11"/>
      <c r="AD189" s="11"/>
      <c r="AE189" s="11"/>
      <c r="AF189" s="11"/>
      <c r="AG189" s="75" t="e">
        <f>AI189/AA189/CZ189</f>
        <v>#DIV/0!</v>
      </c>
      <c r="AH189" s="629"/>
      <c r="AI189" s="659"/>
      <c r="AJ189" s="659"/>
      <c r="AK189" s="629"/>
      <c r="AL189" s="629"/>
      <c r="AM189" s="629"/>
      <c r="AN189" s="629"/>
      <c r="AO189" s="629"/>
      <c r="AP189" s="629"/>
      <c r="AQ189" s="728"/>
      <c r="AR189" s="659">
        <f t="shared" si="395"/>
        <v>0</v>
      </c>
      <c r="AS189" s="634">
        <f t="shared" si="396"/>
        <v>0</v>
      </c>
      <c r="AT189" s="277"/>
      <c r="AU189" s="277"/>
      <c r="AV189" s="277"/>
      <c r="AW189" s="277"/>
      <c r="AX189" s="277"/>
      <c r="AY189" s="282"/>
      <c r="AZ189" s="57"/>
      <c r="BA189" s="28"/>
      <c r="BB189" s="28"/>
      <c r="BC189" s="277"/>
      <c r="BD189" s="277"/>
      <c r="BE189" s="277"/>
      <c r="BF189" s="277"/>
      <c r="BG189" s="277"/>
      <c r="BH189" s="28"/>
      <c r="BI189" s="28"/>
      <c r="BJ189" s="28"/>
      <c r="BK189" s="28"/>
      <c r="BL189" s="28"/>
      <c r="BM189" s="28"/>
      <c r="BN189" s="28"/>
      <c r="BO189" s="11"/>
      <c r="BP189" s="78"/>
      <c r="BQ189" s="375"/>
      <c r="BR189" s="488" t="e">
        <f>AI189/AA189/7.1734</f>
        <v>#DIV/0!</v>
      </c>
      <c r="BS189" s="489">
        <f t="shared" si="397"/>
        <v>0</v>
      </c>
      <c r="BT189" s="515">
        <f t="shared" si="398"/>
        <v>0</v>
      </c>
      <c r="BU189" s="515" t="e">
        <f t="shared" si="399"/>
        <v>#DIV/0!</v>
      </c>
      <c r="BV189" s="494" t="e">
        <f t="shared" si="400"/>
        <v>#DIV/0!</v>
      </c>
      <c r="BW189" s="28"/>
      <c r="BX189" s="28"/>
      <c r="BY189" s="28"/>
      <c r="BZ189" s="41"/>
      <c r="CA189" s="375"/>
      <c r="CB189" s="356"/>
      <c r="CC189" s="352"/>
      <c r="CD189" s="352"/>
      <c r="CE189" s="352"/>
      <c r="CF189" s="352"/>
      <c r="CG189" s="352"/>
      <c r="CH189" s="28"/>
      <c r="CI189" s="28"/>
      <c r="CJ189" s="28"/>
      <c r="CK189" s="28"/>
      <c r="CL189" s="41"/>
      <c r="CM189" s="57"/>
      <c r="CN189" s="16"/>
      <c r="CO189" s="28"/>
      <c r="CP189" s="41"/>
      <c r="CQ189" s="41"/>
      <c r="CR189" s="14"/>
      <c r="CS189" s="30"/>
      <c r="CT189" s="30"/>
      <c r="CU189" s="30"/>
      <c r="CV189" s="30"/>
      <c r="CW189" s="30"/>
      <c r="CX189" s="30"/>
      <c r="CY189" s="323"/>
      <c r="CZ189" s="314" t="e">
        <f>AI189/AA189/BR189</f>
        <v>#DIV/0!</v>
      </c>
      <c r="DA189" s="663" t="e">
        <f t="shared" si="402"/>
        <v>#DIV/0!</v>
      </c>
      <c r="DB189" s="773" t="e">
        <f t="shared" si="403"/>
        <v>#DIV/0!</v>
      </c>
      <c r="DC189" s="663"/>
      <c r="DD189" s="663"/>
      <c r="DE189" s="663"/>
      <c r="DF189" s="663"/>
      <c r="DG189" s="663"/>
      <c r="DH189" s="663"/>
      <c r="DI189" s="663">
        <f t="shared" si="392"/>
        <v>0</v>
      </c>
      <c r="DJ189" s="663"/>
      <c r="DK189" s="663"/>
      <c r="DL189" s="663"/>
      <c r="DM189" s="651" t="e">
        <f t="shared" si="349"/>
        <v>#DIV/0!</v>
      </c>
      <c r="DN189" s="20"/>
      <c r="DO189" s="69"/>
      <c r="DQ189" s="24"/>
    </row>
    <row r="190" spans="1:121" s="21" customFormat="1" ht="15.95" customHeight="1" x14ac:dyDescent="0.25">
      <c r="A190" s="33"/>
      <c r="B190" s="52"/>
      <c r="C190" s="33"/>
      <c r="D190" s="33"/>
      <c r="E190" s="33"/>
      <c r="F190" s="33"/>
      <c r="G190" s="49"/>
      <c r="H190" s="33"/>
      <c r="I190" s="33"/>
      <c r="J190" s="42" t="s">
        <v>389</v>
      </c>
      <c r="K190" s="194"/>
      <c r="L190" s="195"/>
      <c r="M190" s="184"/>
      <c r="N190" s="612"/>
      <c r="O190" s="613"/>
      <c r="P190" s="612"/>
      <c r="Q190" s="616">
        <f>P190-M190</f>
        <v>0</v>
      </c>
      <c r="R190" s="748">
        <f t="shared" si="404"/>
        <v>0</v>
      </c>
      <c r="S190" s="688"/>
      <c r="T190" s="616"/>
      <c r="U190" s="616"/>
      <c r="V190" s="616"/>
      <c r="W190" s="616"/>
      <c r="X190" s="758"/>
      <c r="Y190" s="337"/>
      <c r="Z190" s="615"/>
      <c r="AA190" s="334"/>
      <c r="AB190" s="52"/>
      <c r="AC190" s="33"/>
      <c r="AD190" s="33"/>
      <c r="AE190" s="33"/>
      <c r="AF190" s="33"/>
      <c r="AG190" s="671" t="e">
        <f>AI190/AA190/CZ190</f>
        <v>#DIV/0!</v>
      </c>
      <c r="AH190" s="33"/>
      <c r="AI190" s="616"/>
      <c r="AJ190" s="616"/>
      <c r="AK190" s="785"/>
      <c r="AL190" s="785"/>
      <c r="AM190" s="785"/>
      <c r="AN190" s="785"/>
      <c r="AO190" s="785"/>
      <c r="AP190" s="785"/>
      <c r="AQ190" s="804"/>
      <c r="AR190" s="616">
        <f>AI190*Z190</f>
        <v>0</v>
      </c>
      <c r="AS190" s="626">
        <f t="shared" si="396"/>
        <v>0</v>
      </c>
      <c r="AT190" s="270"/>
      <c r="AU190" s="270"/>
      <c r="AV190" s="270"/>
      <c r="AW190" s="270"/>
      <c r="AX190" s="270"/>
      <c r="AY190" s="271"/>
      <c r="AZ190" s="616"/>
      <c r="BA190" s="29"/>
      <c r="BB190" s="29"/>
      <c r="BC190" s="270"/>
      <c r="BD190" s="270"/>
      <c r="BE190" s="270"/>
      <c r="BF190" s="270"/>
      <c r="BG190" s="33"/>
      <c r="BH190" s="29"/>
      <c r="BI190" s="29"/>
      <c r="BJ190" s="23"/>
      <c r="BK190" s="23"/>
      <c r="BL190" s="23"/>
      <c r="BM190" s="23"/>
      <c r="BN190" s="34"/>
      <c r="BO190" s="33"/>
      <c r="BP190" s="270">
        <f>[181]Анализ!AI153</f>
        <v>0</v>
      </c>
      <c r="BQ190" s="375"/>
      <c r="BR190" s="52" t="e">
        <f>AI190/AA190/7.1614</f>
        <v>#DIV/0!</v>
      </c>
      <c r="BS190" s="33">
        <f t="shared" si="397"/>
        <v>0</v>
      </c>
      <c r="BT190" s="521">
        <f t="shared" si="398"/>
        <v>0</v>
      </c>
      <c r="BU190" s="521" t="e">
        <f t="shared" si="399"/>
        <v>#DIV/0!</v>
      </c>
      <c r="BV190" s="315" t="e">
        <f t="shared" si="400"/>
        <v>#DIV/0!</v>
      </c>
      <c r="BW190" s="23"/>
      <c r="BX190" s="23"/>
      <c r="BY190" s="23"/>
      <c r="BZ190" s="201"/>
      <c r="CA190" s="375"/>
      <c r="CB190" s="363"/>
      <c r="CC190" s="347"/>
      <c r="CD190" s="347"/>
      <c r="CE190" s="347"/>
      <c r="CF190" s="347"/>
      <c r="CG190" s="347"/>
      <c r="CH190" s="29"/>
      <c r="CI190" s="29"/>
      <c r="CJ190" s="29"/>
      <c r="CK190" s="29"/>
      <c r="CL190" s="300"/>
      <c r="CM190" s="434"/>
      <c r="CN190" s="23"/>
      <c r="CO190" s="29"/>
      <c r="CP190" s="300"/>
      <c r="CQ190" s="300"/>
      <c r="CR190" s="49"/>
      <c r="CS190" s="45"/>
      <c r="CT190" s="45"/>
      <c r="CU190" s="47"/>
      <c r="CV190" s="45"/>
      <c r="CW190" s="45"/>
      <c r="CX190" s="45"/>
      <c r="CY190" s="324"/>
      <c r="CZ190" s="315" t="e">
        <f>AI190/AA190/BR190</f>
        <v>#DIV/0!</v>
      </c>
      <c r="DA190" s="664" t="e">
        <f t="shared" si="402"/>
        <v>#DIV/0!</v>
      </c>
      <c r="DB190" s="774" t="e">
        <f t="shared" si="403"/>
        <v>#DIV/0!</v>
      </c>
      <c r="DC190" s="664"/>
      <c r="DD190" s="664"/>
      <c r="DE190" s="664"/>
      <c r="DF190" s="664"/>
      <c r="DG190" s="664"/>
      <c r="DH190" s="664"/>
      <c r="DI190" s="664">
        <f t="shared" si="392"/>
        <v>0</v>
      </c>
      <c r="DJ190" s="664"/>
      <c r="DK190" s="664"/>
      <c r="DL190" s="664"/>
      <c r="DM190" s="255" t="e">
        <f t="shared" si="349"/>
        <v>#DIV/0!</v>
      </c>
      <c r="DN190" s="20"/>
      <c r="DO190" s="69"/>
      <c r="DQ190" s="20"/>
    </row>
    <row r="191" spans="1:121" s="69" customFormat="1" ht="15.95" customHeight="1" x14ac:dyDescent="0.25">
      <c r="A191" s="1232"/>
      <c r="B191" s="1232"/>
      <c r="C191" s="1228"/>
      <c r="D191" s="1228"/>
      <c r="E191" s="1228"/>
      <c r="F191" s="601"/>
      <c r="G191" s="1228"/>
      <c r="H191" s="1232"/>
      <c r="I191" s="1230"/>
      <c r="J191" s="1363" t="s">
        <v>390</v>
      </c>
      <c r="K191" s="1315"/>
      <c r="L191" s="1317"/>
      <c r="M191" s="1365"/>
      <c r="N191" s="72"/>
      <c r="O191" s="19"/>
      <c r="P191" s="182"/>
      <c r="Q191" s="16">
        <f>P191-M191</f>
        <v>0</v>
      </c>
      <c r="R191" s="747">
        <f t="shared" si="404"/>
        <v>0</v>
      </c>
      <c r="S191" s="684"/>
      <c r="T191" s="745"/>
      <c r="U191" s="745"/>
      <c r="V191" s="745"/>
      <c r="W191" s="745"/>
      <c r="X191" s="1354"/>
      <c r="Y191" s="337"/>
      <c r="Z191" s="176"/>
      <c r="AA191" s="1367"/>
      <c r="AB191" s="1232"/>
      <c r="AC191" s="1228"/>
      <c r="AD191" s="1228"/>
      <c r="AE191" s="1228"/>
      <c r="AF191" s="1228"/>
      <c r="AG191" s="1347" t="e">
        <f>(AI191+AI192)/AA191/7.1638</f>
        <v>#DIV/0!</v>
      </c>
      <c r="AH191" s="654"/>
      <c r="AI191" s="16"/>
      <c r="AJ191" s="790"/>
      <c r="AK191" s="1264" t="e">
        <f t="shared" ref="AK191:AP191" si="405">AB191*$CZ191*$AA191*$Y191/1000/1000</f>
        <v>#DIV/0!</v>
      </c>
      <c r="AL191" s="1264" t="e">
        <f t="shared" si="405"/>
        <v>#DIV/0!</v>
      </c>
      <c r="AM191" s="1264" t="e">
        <f t="shared" si="405"/>
        <v>#DIV/0!</v>
      </c>
      <c r="AN191" s="1264" t="e">
        <f t="shared" si="405"/>
        <v>#DIV/0!</v>
      </c>
      <c r="AO191" s="1264" t="e">
        <f t="shared" si="405"/>
        <v>#DIV/0!</v>
      </c>
      <c r="AP191" s="1264" t="e">
        <f t="shared" si="405"/>
        <v>#DIV/0!</v>
      </c>
      <c r="AQ191" s="1297" t="e">
        <f t="shared" ref="AQ191" si="406">AJ191/1000/1000-AP191</f>
        <v>#DIV/0!</v>
      </c>
      <c r="AR191" s="790">
        <f t="shared" ref="AR191:AR192" si="407">AI191*Z191</f>
        <v>0</v>
      </c>
      <c r="AS191" s="792">
        <f t="shared" si="396"/>
        <v>0</v>
      </c>
      <c r="AT191" s="1311" t="e">
        <f>(AB191-B191)*$CZ191*$AA191*$Y191/1000/1000</f>
        <v>#DIV/0!</v>
      </c>
      <c r="AU191" s="1264" t="e">
        <f>(AC191-C191)*$CZ191*$AA191*$Y191/1000/1000</f>
        <v>#DIV/0!</v>
      </c>
      <c r="AV191" s="1264" t="e">
        <f>(AD191-D191)*$CZ191*$AA191*$Y191/1000/1000</f>
        <v>#DIV/0!</v>
      </c>
      <c r="AW191" s="1264" t="e">
        <f>(AE191-E191)*$CZ191*$AA191*$Y191/1000/1000</f>
        <v>#DIV/0!</v>
      </c>
      <c r="AX191" s="1264" t="e">
        <f>(AF191-F191)*$CZ191*$AA191*$Y191/1000/1000</f>
        <v>#DIV/0!</v>
      </c>
      <c r="AY191" s="1323" t="e">
        <f t="shared" ref="AY191" si="408">SUM(AT191:AX191)</f>
        <v>#DIV/0!</v>
      </c>
      <c r="AZ191" s="1286"/>
      <c r="BA191" s="1360" t="e">
        <f>(I191+D191)*AA191*CZ191*A191</f>
        <v>#DIV/0!</v>
      </c>
      <c r="BB191" s="1360"/>
      <c r="BC191" s="1361"/>
      <c r="BD191" s="1361"/>
      <c r="BE191" s="1361"/>
      <c r="BF191" s="1361"/>
      <c r="BG191" s="1240"/>
      <c r="BH191" s="1282">
        <f t="shared" ref="BH191" si="409">$H191*$A191*$AA191</f>
        <v>0</v>
      </c>
      <c r="BI191" s="1282">
        <f t="shared" ref="BI191" si="410">BG191*AA191*Y191</f>
        <v>0</v>
      </c>
      <c r="BJ191" s="1299" t="e">
        <f t="shared" ref="BJ191" si="411">AJ191/AA191-AZ191-BG191*Y191</f>
        <v>#DIV/0!</v>
      </c>
      <c r="BK191" s="1282" t="e">
        <f t="shared" ref="BK191" si="412">AR191/AA191-AZ191-BG191</f>
        <v>#DIV/0!</v>
      </c>
      <c r="BL191" s="1286"/>
      <c r="BM191" s="1282" t="e">
        <f t="shared" ref="BM191" si="413">BJ191-BL191</f>
        <v>#DIV/0!</v>
      </c>
      <c r="BN191" s="1282" t="e">
        <f t="shared" ref="BN191" si="414">BK191-BL191</f>
        <v>#DIV/0!</v>
      </c>
      <c r="BO191" s="1240"/>
      <c r="BP191" s="94"/>
      <c r="BQ191" s="604"/>
      <c r="BR191" s="1238" t="e">
        <f t="shared" ref="BR191" si="415">(AI191+AI192)/AA191/7.1806</f>
        <v>#DIV/0!</v>
      </c>
      <c r="BS191" s="1240">
        <f t="shared" ref="BS191" si="416">CN191-BO191</f>
        <v>0</v>
      </c>
      <c r="BT191" s="1242">
        <f t="shared" ref="BT191" si="417">CM191-BO191</f>
        <v>0</v>
      </c>
      <c r="BU191" s="1242" t="e">
        <f t="shared" ref="BU191" si="418">BR191-BS191</f>
        <v>#DIV/0!</v>
      </c>
      <c r="BV191" s="1280" t="e">
        <f t="shared" ref="BV191" si="419">BR191-BT191</f>
        <v>#DIV/0!</v>
      </c>
      <c r="BW191" s="598"/>
      <c r="BX191" s="598"/>
      <c r="BY191" s="598"/>
      <c r="BZ191" s="600"/>
      <c r="CA191" s="604"/>
      <c r="CB191" s="1311"/>
      <c r="CC191" s="1286"/>
      <c r="CD191" s="598"/>
      <c r="CE191" s="598"/>
      <c r="CF191" s="598"/>
      <c r="CG191" s="598"/>
      <c r="CH191" s="605"/>
      <c r="CI191" s="1252"/>
      <c r="CJ191" s="1252"/>
      <c r="CK191" s="1252"/>
      <c r="CL191" s="1252"/>
      <c r="CM191" s="1248"/>
      <c r="CN191" s="1252"/>
      <c r="CO191" s="605"/>
      <c r="CP191" s="607"/>
      <c r="CQ191" s="600"/>
      <c r="CR191" s="1347"/>
      <c r="CS191" s="1264"/>
      <c r="CT191" s="1264"/>
      <c r="CU191" s="1264"/>
      <c r="CV191" s="1252"/>
      <c r="CW191" s="1252"/>
      <c r="CX191" s="1264"/>
      <c r="CY191" s="1323"/>
      <c r="CZ191" s="1349" t="e">
        <f>(AI191+AI192)/AA191/(BR191+BP191)</f>
        <v>#DIV/0!</v>
      </c>
      <c r="DA191" s="1236" t="e">
        <f>CR191*AA191*BU191*CZ191/1000000</f>
        <v>#DIV/0!</v>
      </c>
      <c r="DB191" s="768" t="e">
        <f>CR191*AA191*BV191*CZ191/1000000</f>
        <v>#DIV/0!</v>
      </c>
      <c r="DC191" s="1236">
        <f>[182]Анализ!BE216</f>
        <v>0</v>
      </c>
      <c r="DD191" s="1236" t="e">
        <f>SUM(AT191,AW191,AX191)</f>
        <v>#DIV/0!</v>
      </c>
      <c r="DE191" s="1236" t="e">
        <f>AL191</f>
        <v>#DIV/0!</v>
      </c>
      <c r="DF191" s="1236" t="e">
        <f>AV191</f>
        <v>#DIV/0!</v>
      </c>
      <c r="DG191" s="1236" t="e">
        <f>(BA191-BB191)/1000/1000</f>
        <v>#DIV/0!</v>
      </c>
      <c r="DH191" s="1236">
        <f>(BH191-BI191)/1000/1000</f>
        <v>0</v>
      </c>
      <c r="DI191" s="1236">
        <f>AS191/1000000</f>
        <v>0</v>
      </c>
      <c r="DJ191" s="1236">
        <f>CI191/1000/1000</f>
        <v>0</v>
      </c>
      <c r="DK191" s="1236">
        <f t="shared" ref="DK191:DK192" si="420">CY191/1000/1000</f>
        <v>0</v>
      </c>
      <c r="DL191" s="1236">
        <f t="shared" ref="DL191:DL192" si="421">CP191/1000/1000</f>
        <v>0</v>
      </c>
      <c r="DM191" s="1329" t="e">
        <f t="shared" ref="DM191:DM192" si="422">SUM(DA191:DL191)</f>
        <v>#DIV/0!</v>
      </c>
      <c r="DN191" s="68"/>
    </row>
    <row r="192" spans="1:121" s="69" customFormat="1" ht="15.95" customHeight="1" x14ac:dyDescent="0.25">
      <c r="A192" s="1233"/>
      <c r="B192" s="1233"/>
      <c r="C192" s="1229"/>
      <c r="D192" s="1229"/>
      <c r="E192" s="1229"/>
      <c r="F192" s="602"/>
      <c r="G192" s="1229"/>
      <c r="H192" s="1233"/>
      <c r="I192" s="1231"/>
      <c r="J192" s="1364"/>
      <c r="K192" s="1316"/>
      <c r="L192" s="1318"/>
      <c r="M192" s="1366"/>
      <c r="N192" s="612"/>
      <c r="O192" s="613"/>
      <c r="P192" s="614"/>
      <c r="Q192" s="616">
        <f>P192-M191</f>
        <v>0</v>
      </c>
      <c r="R192" s="748">
        <f t="shared" si="404"/>
        <v>0</v>
      </c>
      <c r="S192" s="687"/>
      <c r="T192" s="746"/>
      <c r="U192" s="746"/>
      <c r="V192" s="746"/>
      <c r="W192" s="746"/>
      <c r="X192" s="1355"/>
      <c r="Y192" s="337"/>
      <c r="Z192" s="615"/>
      <c r="AA192" s="1368"/>
      <c r="AB192" s="1233"/>
      <c r="AC192" s="1229"/>
      <c r="AD192" s="1229"/>
      <c r="AE192" s="1229"/>
      <c r="AF192" s="1229"/>
      <c r="AG192" s="1348" t="e">
        <f t="shared" ref="AG192" si="423">K192/H192/7.16</f>
        <v>#DIV/0!</v>
      </c>
      <c r="AH192" s="656"/>
      <c r="AI192" s="616"/>
      <c r="AJ192" s="655"/>
      <c r="AK192" s="1251"/>
      <c r="AL192" s="1251"/>
      <c r="AM192" s="1251"/>
      <c r="AN192" s="1251"/>
      <c r="AO192" s="1251"/>
      <c r="AP192" s="1251"/>
      <c r="AQ192" s="1298"/>
      <c r="AR192" s="655">
        <f t="shared" si="407"/>
        <v>0</v>
      </c>
      <c r="AS192" s="618">
        <f t="shared" si="396"/>
        <v>0</v>
      </c>
      <c r="AT192" s="1312"/>
      <c r="AU192" s="1251"/>
      <c r="AV192" s="1251"/>
      <c r="AW192" s="1251"/>
      <c r="AX192" s="1251"/>
      <c r="AY192" s="1324"/>
      <c r="AZ192" s="1287"/>
      <c r="BA192" s="1283"/>
      <c r="BB192" s="1283"/>
      <c r="BC192" s="1362"/>
      <c r="BD192" s="1362"/>
      <c r="BE192" s="1362"/>
      <c r="BF192" s="1362"/>
      <c r="BG192" s="1241"/>
      <c r="BH192" s="1283"/>
      <c r="BI192" s="1283"/>
      <c r="BJ192" s="1300"/>
      <c r="BK192" s="1283"/>
      <c r="BL192" s="1287"/>
      <c r="BM192" s="1283"/>
      <c r="BN192" s="1283"/>
      <c r="BO192" s="1241"/>
      <c r="BP192" s="94"/>
      <c r="BQ192" s="604"/>
      <c r="BR192" s="1309"/>
      <c r="BS192" s="1310"/>
      <c r="BT192" s="1243"/>
      <c r="BU192" s="1279"/>
      <c r="BV192" s="1281"/>
      <c r="BW192" s="598"/>
      <c r="BX192" s="598"/>
      <c r="BY192" s="598"/>
      <c r="BZ192" s="600"/>
      <c r="CA192" s="604"/>
      <c r="CB192" s="1312"/>
      <c r="CC192" s="1287"/>
      <c r="CD192" s="598"/>
      <c r="CE192" s="598"/>
      <c r="CF192" s="598"/>
      <c r="CG192" s="598"/>
      <c r="CH192" s="605"/>
      <c r="CI192" s="1253"/>
      <c r="CJ192" s="1253"/>
      <c r="CK192" s="1253"/>
      <c r="CL192" s="1253"/>
      <c r="CM192" s="1249"/>
      <c r="CN192" s="1253"/>
      <c r="CO192" s="605"/>
      <c r="CP192" s="607"/>
      <c r="CQ192" s="600"/>
      <c r="CR192" s="1348"/>
      <c r="CS192" s="1251"/>
      <c r="CT192" s="1251"/>
      <c r="CU192" s="1251"/>
      <c r="CV192" s="1253"/>
      <c r="CW192" s="1253"/>
      <c r="CX192" s="1251"/>
      <c r="CY192" s="1324"/>
      <c r="CZ192" s="1349"/>
      <c r="DA192" s="1237"/>
      <c r="DB192" s="769"/>
      <c r="DC192" s="1237">
        <f>[182]Анализ!BE217</f>
        <v>0</v>
      </c>
      <c r="DD192" s="1237">
        <f>SUM(AT192,AW192,AX192)</f>
        <v>0</v>
      </c>
      <c r="DE192" s="1237">
        <f>AL192</f>
        <v>0</v>
      </c>
      <c r="DF192" s="1237">
        <f>AV192</f>
        <v>0</v>
      </c>
      <c r="DG192" s="1237">
        <f>(BA192-BB192)/1000/1000</f>
        <v>0</v>
      </c>
      <c r="DH192" s="1237">
        <f>(BH192-BI192)/1000/1000</f>
        <v>0</v>
      </c>
      <c r="DI192" s="1237"/>
      <c r="DJ192" s="1237">
        <f>CI192/1000/1000</f>
        <v>0</v>
      </c>
      <c r="DK192" s="1237">
        <f t="shared" si="420"/>
        <v>0</v>
      </c>
      <c r="DL192" s="1237">
        <f t="shared" si="421"/>
        <v>0</v>
      </c>
      <c r="DM192" s="1330">
        <f t="shared" si="422"/>
        <v>0</v>
      </c>
      <c r="DN192" s="68"/>
    </row>
    <row r="193" spans="1:121" s="69" customFormat="1" ht="15.95" customHeight="1" outlineLevel="1" x14ac:dyDescent="0.25">
      <c r="A193" s="1232"/>
      <c r="B193" s="1232"/>
      <c r="C193" s="1228"/>
      <c r="D193" s="1228"/>
      <c r="E193" s="1228"/>
      <c r="F193" s="601"/>
      <c r="G193" s="1228"/>
      <c r="H193" s="1232"/>
      <c r="I193" s="1230"/>
      <c r="J193" s="1350"/>
      <c r="K193" s="1352"/>
      <c r="L193" s="1354"/>
      <c r="M193" s="1356"/>
      <c r="N193" s="612"/>
      <c r="O193" s="613"/>
      <c r="P193" s="614"/>
      <c r="Q193" s="616"/>
      <c r="R193" s="742"/>
      <c r="S193" s="687"/>
      <c r="T193" s="746"/>
      <c r="U193" s="746"/>
      <c r="V193" s="746"/>
      <c r="W193" s="746"/>
      <c r="X193" s="1354"/>
      <c r="Y193" s="1358"/>
      <c r="Z193" s="615"/>
      <c r="AA193" s="1286"/>
      <c r="AB193" s="1232"/>
      <c r="AC193" s="1228"/>
      <c r="AD193" s="1228"/>
      <c r="AE193" s="1228"/>
      <c r="AF193" s="1228"/>
      <c r="AG193" s="1347"/>
      <c r="AH193" s="654"/>
      <c r="AI193" s="616"/>
      <c r="AJ193" s="655"/>
      <c r="AK193" s="1264"/>
      <c r="AL193" s="1264"/>
      <c r="AM193" s="1264"/>
      <c r="AN193" s="1264"/>
      <c r="AO193" s="1264"/>
      <c r="AP193" s="1264"/>
      <c r="AQ193" s="1297"/>
      <c r="AR193" s="655"/>
      <c r="AS193" s="618"/>
      <c r="AT193" s="1311"/>
      <c r="AU193" s="1264"/>
      <c r="AV193" s="1264"/>
      <c r="AW193" s="1264"/>
      <c r="AX193" s="1264"/>
      <c r="AY193" s="1323"/>
      <c r="AZ193" s="1286"/>
      <c r="BA193" s="1360"/>
      <c r="BB193" s="1360"/>
      <c r="BC193" s="1361"/>
      <c r="BD193" s="1361"/>
      <c r="BE193" s="1361"/>
      <c r="BF193" s="1361"/>
      <c r="BG193" s="1240"/>
      <c r="BH193" s="1282"/>
      <c r="BI193" s="1282"/>
      <c r="BJ193" s="1299"/>
      <c r="BK193" s="1282"/>
      <c r="BL193" s="1286"/>
      <c r="BM193" s="1282"/>
      <c r="BN193" s="1282"/>
      <c r="BO193" s="1240"/>
      <c r="BP193" s="94"/>
      <c r="BQ193" s="604"/>
      <c r="BR193" s="1238"/>
      <c r="BS193" s="1240"/>
      <c r="BT193" s="1242"/>
      <c r="BU193" s="1242"/>
      <c r="BV193" s="1280"/>
      <c r="BW193" s="598"/>
      <c r="BX193" s="598"/>
      <c r="BY193" s="598"/>
      <c r="BZ193" s="600"/>
      <c r="CA193" s="604"/>
      <c r="CB193" s="1311"/>
      <c r="CC193" s="1286"/>
      <c r="CD193" s="598"/>
      <c r="CE193" s="598"/>
      <c r="CF193" s="598"/>
      <c r="CG193" s="598"/>
      <c r="CH193" s="605"/>
      <c r="CI193" s="1252"/>
      <c r="CJ193" s="1252"/>
      <c r="CK193" s="1252"/>
      <c r="CL193" s="1252"/>
      <c r="CM193" s="609"/>
      <c r="CN193" s="605"/>
      <c r="CO193" s="605"/>
      <c r="CP193" s="607"/>
      <c r="CQ193" s="600"/>
      <c r="CR193" s="1347"/>
      <c r="CS193" s="1264"/>
      <c r="CT193" s="1264"/>
      <c r="CU193" s="1264"/>
      <c r="CV193" s="1252"/>
      <c r="CW193" s="1252"/>
      <c r="CX193" s="1264"/>
      <c r="CY193" s="1323"/>
      <c r="CZ193" s="1349"/>
      <c r="DA193" s="1236"/>
      <c r="DB193" s="768"/>
      <c r="DC193" s="1236"/>
      <c r="DD193" s="1236"/>
      <c r="DE193" s="1236"/>
      <c r="DF193" s="1236"/>
      <c r="DG193" s="1236"/>
      <c r="DH193" s="1236"/>
      <c r="DI193" s="1236"/>
      <c r="DJ193" s="1236"/>
      <c r="DK193" s="1236"/>
      <c r="DL193" s="1236"/>
      <c r="DM193" s="1329"/>
      <c r="DN193" s="68"/>
    </row>
    <row r="194" spans="1:121" s="69" customFormat="1" ht="15.95" customHeight="1" outlineLevel="1" x14ac:dyDescent="0.25">
      <c r="A194" s="1233"/>
      <c r="B194" s="1233"/>
      <c r="C194" s="1229"/>
      <c r="D194" s="1229"/>
      <c r="E194" s="1229"/>
      <c r="F194" s="602"/>
      <c r="G194" s="1229"/>
      <c r="H194" s="1233"/>
      <c r="I194" s="1231"/>
      <c r="J194" s="1351"/>
      <c r="K194" s="1353"/>
      <c r="L194" s="1355"/>
      <c r="M194" s="1357"/>
      <c r="N194" s="612"/>
      <c r="O194" s="613"/>
      <c r="P194" s="614"/>
      <c r="Q194" s="616"/>
      <c r="R194" s="748"/>
      <c r="S194" s="687"/>
      <c r="T194" s="746"/>
      <c r="U194" s="746"/>
      <c r="V194" s="746"/>
      <c r="W194" s="746"/>
      <c r="X194" s="1355"/>
      <c r="Y194" s="1359"/>
      <c r="Z194" s="615"/>
      <c r="AA194" s="1287"/>
      <c r="AB194" s="1233"/>
      <c r="AC194" s="1229"/>
      <c r="AD194" s="1229"/>
      <c r="AE194" s="1229"/>
      <c r="AF194" s="1229"/>
      <c r="AG194" s="1348"/>
      <c r="AH194" s="656"/>
      <c r="AI194" s="616"/>
      <c r="AJ194" s="623"/>
      <c r="AK194" s="1251"/>
      <c r="AL194" s="1251"/>
      <c r="AM194" s="1251"/>
      <c r="AN194" s="1251"/>
      <c r="AO194" s="1251"/>
      <c r="AP194" s="1251"/>
      <c r="AQ194" s="1298"/>
      <c r="AR194" s="623"/>
      <c r="AS194" s="626"/>
      <c r="AT194" s="1312"/>
      <c r="AU194" s="1251"/>
      <c r="AV194" s="1251"/>
      <c r="AW194" s="1251"/>
      <c r="AX194" s="1251"/>
      <c r="AY194" s="1324"/>
      <c r="AZ194" s="1287"/>
      <c r="BA194" s="1283"/>
      <c r="BB194" s="1283"/>
      <c r="BC194" s="1362"/>
      <c r="BD194" s="1362"/>
      <c r="BE194" s="1362"/>
      <c r="BF194" s="1362"/>
      <c r="BG194" s="1241"/>
      <c r="BH194" s="1283"/>
      <c r="BI194" s="1283"/>
      <c r="BJ194" s="1300"/>
      <c r="BK194" s="1283"/>
      <c r="BL194" s="1287"/>
      <c r="BM194" s="1283"/>
      <c r="BN194" s="1283"/>
      <c r="BO194" s="1241"/>
      <c r="BP194" s="94"/>
      <c r="BQ194" s="604"/>
      <c r="BR194" s="1309"/>
      <c r="BS194" s="1310"/>
      <c r="BT194" s="1243"/>
      <c r="BU194" s="1279"/>
      <c r="BV194" s="1281"/>
      <c r="BW194" s="598"/>
      <c r="BX194" s="598"/>
      <c r="BY194" s="598"/>
      <c r="BZ194" s="600"/>
      <c r="CA194" s="604"/>
      <c r="CB194" s="1312"/>
      <c r="CC194" s="1287"/>
      <c r="CD194" s="598"/>
      <c r="CE194" s="598"/>
      <c r="CF194" s="598"/>
      <c r="CG194" s="598"/>
      <c r="CH194" s="605"/>
      <c r="CI194" s="1253"/>
      <c r="CJ194" s="1253"/>
      <c r="CK194" s="1253"/>
      <c r="CL194" s="1253"/>
      <c r="CM194" s="609"/>
      <c r="CN194" s="605"/>
      <c r="CO194" s="605"/>
      <c r="CP194" s="607"/>
      <c r="CQ194" s="600"/>
      <c r="CR194" s="1348"/>
      <c r="CS194" s="1251"/>
      <c r="CT194" s="1251"/>
      <c r="CU194" s="1251"/>
      <c r="CV194" s="1253"/>
      <c r="CW194" s="1253"/>
      <c r="CX194" s="1251"/>
      <c r="CY194" s="1324"/>
      <c r="CZ194" s="1349"/>
      <c r="DA194" s="1237"/>
      <c r="DB194" s="769"/>
      <c r="DC194" s="1237"/>
      <c r="DD194" s="1237"/>
      <c r="DE194" s="1237"/>
      <c r="DF194" s="1237"/>
      <c r="DG194" s="1237"/>
      <c r="DH194" s="1237"/>
      <c r="DI194" s="1237"/>
      <c r="DJ194" s="1237"/>
      <c r="DK194" s="1237"/>
      <c r="DL194" s="1237"/>
      <c r="DM194" s="1330"/>
      <c r="DN194" s="68"/>
    </row>
    <row r="195" spans="1:121" s="21" customFormat="1" ht="15.95" customHeight="1" outlineLevel="1" x14ac:dyDescent="0.25">
      <c r="A195" s="33"/>
      <c r="B195" s="52"/>
      <c r="C195" s="33"/>
      <c r="D195" s="33"/>
      <c r="E195" s="33"/>
      <c r="F195" s="33"/>
      <c r="G195" s="49"/>
      <c r="H195" s="33"/>
      <c r="I195" s="33"/>
      <c r="J195" s="46"/>
      <c r="K195" s="198"/>
      <c r="L195" s="199"/>
      <c r="M195" s="185"/>
      <c r="N195" s="35"/>
      <c r="O195" s="32"/>
      <c r="P195" s="35"/>
      <c r="Q195" s="616">
        <f>P195-M194</f>
        <v>0</v>
      </c>
      <c r="R195" s="748">
        <f t="shared" ref="R195" si="424">P195-N195</f>
        <v>0</v>
      </c>
      <c r="S195" s="687"/>
      <c r="T195" s="746"/>
      <c r="U195" s="746"/>
      <c r="V195" s="746"/>
      <c r="W195" s="746"/>
      <c r="X195" s="199"/>
      <c r="Y195" s="52"/>
      <c r="Z195" s="76"/>
      <c r="AA195" s="335"/>
      <c r="AB195" s="52"/>
      <c r="AC195" s="33"/>
      <c r="AD195" s="33"/>
      <c r="AE195" s="33"/>
      <c r="AF195" s="33"/>
      <c r="AG195" s="76"/>
      <c r="AH195" s="33"/>
      <c r="AI195" s="135"/>
      <c r="AJ195" s="23"/>
      <c r="AK195" s="575"/>
      <c r="AL195" s="576"/>
      <c r="AM195" s="576"/>
      <c r="AN195" s="576"/>
      <c r="AO195" s="576"/>
      <c r="AP195" s="590"/>
      <c r="AQ195" s="136"/>
      <c r="AR195" s="23"/>
      <c r="AS195" s="63"/>
      <c r="AT195" s="576"/>
      <c r="AU195" s="576"/>
      <c r="AV195" s="576"/>
      <c r="AW195" s="576"/>
      <c r="AX195" s="576"/>
      <c r="AY195" s="590"/>
      <c r="AZ195" s="135"/>
      <c r="BA195" s="594"/>
      <c r="BB195" s="594"/>
      <c r="BC195" s="576"/>
      <c r="BD195" s="576"/>
      <c r="BE195" s="576"/>
      <c r="BF195" s="576"/>
      <c r="BG195" s="33"/>
      <c r="BH195" s="594"/>
      <c r="BI195" s="594"/>
      <c r="BJ195" s="23"/>
      <c r="BK195" s="23"/>
      <c r="BL195" s="23"/>
      <c r="BM195" s="23"/>
      <c r="BN195" s="34"/>
      <c r="BO195" s="33"/>
      <c r="BP195" s="576"/>
      <c r="BQ195" s="375"/>
      <c r="BR195" s="52"/>
      <c r="BS195" s="33"/>
      <c r="BT195" s="521"/>
      <c r="BU195" s="521"/>
      <c r="BV195" s="315"/>
      <c r="BW195" s="23"/>
      <c r="BX195" s="23"/>
      <c r="BY195" s="23"/>
      <c r="BZ195" s="201"/>
      <c r="CA195" s="375"/>
      <c r="CB195" s="584"/>
      <c r="CC195" s="576"/>
      <c r="CD195" s="576"/>
      <c r="CE195" s="576"/>
      <c r="CF195" s="576"/>
      <c r="CG195" s="576"/>
      <c r="CH195" s="594"/>
      <c r="CI195" s="594"/>
      <c r="CJ195" s="594"/>
      <c r="CK195" s="594"/>
      <c r="CL195" s="596"/>
      <c r="CM195" s="595"/>
      <c r="CN195" s="23"/>
      <c r="CO195" s="594"/>
      <c r="CP195" s="596"/>
      <c r="CQ195" s="596"/>
      <c r="CR195" s="49"/>
      <c r="CS195" s="45"/>
      <c r="CT195" s="45"/>
      <c r="CU195" s="47"/>
      <c r="CV195" s="45"/>
      <c r="CW195" s="45"/>
      <c r="CX195" s="45"/>
      <c r="CY195" s="324"/>
      <c r="CZ195" s="315"/>
      <c r="DA195" s="664"/>
      <c r="DB195" s="774"/>
      <c r="DC195" s="664"/>
      <c r="DD195" s="664"/>
      <c r="DE195" s="664"/>
      <c r="DF195" s="664"/>
      <c r="DG195" s="664"/>
      <c r="DH195" s="664"/>
      <c r="DI195" s="664"/>
      <c r="DJ195" s="664"/>
      <c r="DK195" s="664"/>
      <c r="DL195" s="664"/>
      <c r="DM195" s="255"/>
      <c r="DN195" s="20"/>
      <c r="DO195" s="69"/>
      <c r="DQ195" s="20"/>
    </row>
    <row r="196" spans="1:121" s="21" customFormat="1" ht="15.95" customHeight="1" outlineLevel="1" x14ac:dyDescent="0.25">
      <c r="A196" s="33"/>
      <c r="B196" s="52"/>
      <c r="C196" s="33"/>
      <c r="D196" s="33"/>
      <c r="E196" s="33"/>
      <c r="F196" s="33"/>
      <c r="G196" s="49"/>
      <c r="H196" s="33"/>
      <c r="I196" s="33"/>
      <c r="J196" s="46"/>
      <c r="K196" s="198"/>
      <c r="L196" s="199"/>
      <c r="M196" s="185"/>
      <c r="N196" s="35"/>
      <c r="O196" s="32"/>
      <c r="P196" s="35"/>
      <c r="Q196" s="23"/>
      <c r="R196" s="35"/>
      <c r="S196" s="35"/>
      <c r="T196" s="23"/>
      <c r="U196" s="23"/>
      <c r="V196" s="23"/>
      <c r="W196" s="23"/>
      <c r="X196" s="199"/>
      <c r="Y196" s="52"/>
      <c r="Z196" s="76"/>
      <c r="AA196" s="335"/>
      <c r="AB196" s="52"/>
      <c r="AC196" s="33"/>
      <c r="AD196" s="33"/>
      <c r="AE196" s="33"/>
      <c r="AF196" s="33"/>
      <c r="AG196" s="76"/>
      <c r="AH196" s="33"/>
      <c r="AI196" s="135"/>
      <c r="AJ196" s="23"/>
      <c r="AK196" s="263"/>
      <c r="AL196" s="270"/>
      <c r="AM196" s="270"/>
      <c r="AN196" s="270"/>
      <c r="AO196" s="270"/>
      <c r="AP196" s="271"/>
      <c r="AQ196" s="136"/>
      <c r="AR196" s="23"/>
      <c r="AS196" s="63"/>
      <c r="AT196" s="270"/>
      <c r="AU196" s="270"/>
      <c r="AV196" s="270"/>
      <c r="AW196" s="270"/>
      <c r="AX196" s="270"/>
      <c r="AY196" s="271"/>
      <c r="AZ196" s="135">
        <f>[181]Анализ!AA154</f>
        <v>0</v>
      </c>
      <c r="BA196" s="29"/>
      <c r="BB196" s="29"/>
      <c r="BC196" s="270"/>
      <c r="BD196" s="270"/>
      <c r="BE196" s="270"/>
      <c r="BF196" s="270"/>
      <c r="BG196" s="33"/>
      <c r="BH196" s="29"/>
      <c r="BI196" s="29"/>
      <c r="BJ196" s="23"/>
      <c r="BK196" s="23"/>
      <c r="BL196" s="23"/>
      <c r="BM196" s="23"/>
      <c r="BN196" s="34"/>
      <c r="BO196" s="33"/>
      <c r="BP196" s="270"/>
      <c r="BQ196" s="375"/>
      <c r="BR196" s="52"/>
      <c r="BS196" s="33"/>
      <c r="BT196" s="521"/>
      <c r="BU196" s="521"/>
      <c r="BV196" s="315"/>
      <c r="BW196" s="23"/>
      <c r="BX196" s="23"/>
      <c r="BY196" s="23"/>
      <c r="BZ196" s="201"/>
      <c r="CA196" s="375"/>
      <c r="CB196" s="363"/>
      <c r="CC196" s="347"/>
      <c r="CD196" s="347"/>
      <c r="CE196" s="347"/>
      <c r="CF196" s="347"/>
      <c r="CG196" s="347"/>
      <c r="CH196" s="29"/>
      <c r="CI196" s="29"/>
      <c r="CJ196" s="29"/>
      <c r="CK196" s="29"/>
      <c r="CL196" s="300"/>
      <c r="CM196" s="434"/>
      <c r="CN196" s="566"/>
      <c r="CO196" s="29"/>
      <c r="CP196" s="300"/>
      <c r="CQ196" s="300"/>
      <c r="CR196" s="49"/>
      <c r="CS196" s="45"/>
      <c r="CT196" s="45"/>
      <c r="CU196" s="47"/>
      <c r="CV196" s="45"/>
      <c r="CW196" s="45"/>
      <c r="CX196" s="45"/>
      <c r="CY196" s="324"/>
      <c r="CZ196" s="315"/>
      <c r="DA196" s="664">
        <f>BU196*CZ196*AA196*CR196/1000/1000</f>
        <v>0</v>
      </c>
      <c r="DB196" s="774">
        <f>BV196*CZ196*AA196*CR196/1000/1000</f>
        <v>0</v>
      </c>
      <c r="DC196" s="664"/>
      <c r="DD196" s="664"/>
      <c r="DE196" s="664"/>
      <c r="DF196" s="664"/>
      <c r="DG196" s="664"/>
      <c r="DH196" s="664"/>
      <c r="DI196" s="664">
        <f>AS196/1000/1000</f>
        <v>0</v>
      </c>
      <c r="DJ196" s="664"/>
      <c r="DK196" s="664"/>
      <c r="DL196" s="664"/>
      <c r="DM196" s="255">
        <f t="shared" si="349"/>
        <v>0</v>
      </c>
      <c r="DN196" s="20"/>
      <c r="DO196" s="69"/>
      <c r="DQ196" s="20"/>
    </row>
    <row r="197" spans="1:121" s="21" customFormat="1" ht="15.95" customHeight="1" outlineLevel="1" x14ac:dyDescent="0.25">
      <c r="A197" s="33"/>
      <c r="B197" s="52"/>
      <c r="C197" s="33"/>
      <c r="D197" s="33"/>
      <c r="E197" s="33"/>
      <c r="F197" s="33"/>
      <c r="G197" s="49"/>
      <c r="H197" s="33"/>
      <c r="I197" s="33"/>
      <c r="J197" s="429"/>
      <c r="K197" s="430"/>
      <c r="L197" s="730"/>
      <c r="M197" s="357"/>
      <c r="N197" s="432"/>
      <c r="O197" s="431"/>
      <c r="P197" s="432"/>
      <c r="Q197" s="652"/>
      <c r="R197" s="432"/>
      <c r="S197" s="432"/>
      <c r="T197" s="652"/>
      <c r="U197" s="652"/>
      <c r="V197" s="652"/>
      <c r="W197" s="652"/>
      <c r="X197" s="730"/>
      <c r="Y197" s="343"/>
      <c r="Z197" s="358"/>
      <c r="AA197" s="433"/>
      <c r="AB197" s="453"/>
      <c r="AC197" s="454"/>
      <c r="AD197" s="454"/>
      <c r="AE197" s="454"/>
      <c r="AF197" s="454"/>
      <c r="AG197" s="645"/>
      <c r="AH197" s="640"/>
      <c r="AI197" s="434">
        <v>0</v>
      </c>
      <c r="AJ197" s="29"/>
      <c r="AK197" s="263"/>
      <c r="AL197" s="270"/>
      <c r="AM197" s="270"/>
      <c r="AN197" s="270"/>
      <c r="AO197" s="270"/>
      <c r="AP197" s="271"/>
      <c r="AQ197" s="136"/>
      <c r="AR197" s="29"/>
      <c r="AS197" s="350"/>
      <c r="AT197" s="270"/>
      <c r="AU197" s="270"/>
      <c r="AV197" s="270"/>
      <c r="AW197" s="270"/>
      <c r="AX197" s="270"/>
      <c r="AY197" s="271"/>
      <c r="AZ197" s="434"/>
      <c r="BA197" s="29"/>
      <c r="BB197" s="29"/>
      <c r="BC197" s="270"/>
      <c r="BD197" s="270"/>
      <c r="BE197" s="270"/>
      <c r="BF197" s="270"/>
      <c r="BG197" s="347"/>
      <c r="BH197" s="29"/>
      <c r="BI197" s="29"/>
      <c r="BJ197" s="29"/>
      <c r="BK197" s="29"/>
      <c r="BL197" s="29"/>
      <c r="BM197" s="29"/>
      <c r="BN197" s="344"/>
      <c r="BO197" s="347"/>
      <c r="BP197" s="270"/>
      <c r="BQ197" s="375"/>
      <c r="BR197" s="496"/>
      <c r="BS197" s="497"/>
      <c r="BT197" s="519"/>
      <c r="BU197" s="519"/>
      <c r="BV197" s="498"/>
      <c r="BW197" s="29"/>
      <c r="BX197" s="29"/>
      <c r="BY197" s="29"/>
      <c r="BZ197" s="300"/>
      <c r="CA197" s="375"/>
      <c r="CB197" s="363"/>
      <c r="CC197" s="347"/>
      <c r="CD197" s="347"/>
      <c r="CE197" s="347"/>
      <c r="CF197" s="347"/>
      <c r="CG197" s="347"/>
      <c r="CH197" s="29"/>
      <c r="CI197" s="29"/>
      <c r="CJ197" s="29"/>
      <c r="CK197" s="29"/>
      <c r="CL197" s="300"/>
      <c r="CM197" s="434"/>
      <c r="CN197" s="567"/>
      <c r="CO197" s="29"/>
      <c r="CP197" s="300"/>
      <c r="CQ197" s="300"/>
      <c r="CR197" s="348"/>
      <c r="CS197" s="436"/>
      <c r="CT197" s="436"/>
      <c r="CU197" s="349"/>
      <c r="CV197" s="436"/>
      <c r="CW197" s="436"/>
      <c r="CX197" s="436"/>
      <c r="CY197" s="437">
        <f>CZ197-[181]Анализ!BC124</f>
        <v>0</v>
      </c>
      <c r="CZ197" s="435"/>
      <c r="DA197" s="544"/>
      <c r="DB197" s="544"/>
      <c r="DC197" s="544"/>
      <c r="DD197" s="544"/>
      <c r="DE197" s="544"/>
      <c r="DF197" s="544"/>
      <c r="DG197" s="544"/>
      <c r="DH197" s="544"/>
      <c r="DI197" s="544">
        <f>AS197/1000/1000</f>
        <v>0</v>
      </c>
      <c r="DJ197" s="544"/>
      <c r="DK197" s="544"/>
      <c r="DL197" s="544"/>
      <c r="DM197" s="438">
        <f t="shared" si="349"/>
        <v>0</v>
      </c>
      <c r="DN197" s="20"/>
      <c r="DO197" s="69"/>
      <c r="DQ197" s="20"/>
    </row>
    <row r="198" spans="1:121" ht="20.100000000000001" customHeight="1" x14ac:dyDescent="0.25">
      <c r="A198" s="392"/>
      <c r="B198" s="393"/>
      <c r="C198" s="393"/>
      <c r="D198" s="393"/>
      <c r="E198" s="393"/>
      <c r="F198" s="393"/>
      <c r="G198" s="393"/>
      <c r="H198" s="393"/>
      <c r="I198" s="393"/>
      <c r="J198" s="414" t="s">
        <v>395</v>
      </c>
      <c r="K198" s="462"/>
      <c r="L198" s="415"/>
      <c r="M198" s="415"/>
      <c r="N198" s="415"/>
      <c r="O198" s="415"/>
      <c r="P198" s="415"/>
      <c r="Q198" s="418"/>
      <c r="R198" s="415"/>
      <c r="S198" s="415"/>
      <c r="T198" s="562">
        <f>SUM(T167:T197)</f>
        <v>0</v>
      </c>
      <c r="U198" s="562">
        <f>SUM(U167:U197)</f>
        <v>0</v>
      </c>
      <c r="V198" s="418"/>
      <c r="W198" s="418"/>
      <c r="X198" s="463"/>
      <c r="Y198" s="394" t="e">
        <f>AJ198/AI198</f>
        <v>#DIV/0!</v>
      </c>
      <c r="Z198" s="394" t="e">
        <f>AR198/AI198</f>
        <v>#DIV/0!</v>
      </c>
      <c r="AA198" s="417">
        <f>SUM(AA167:AA197)</f>
        <v>0</v>
      </c>
      <c r="AB198" s="465"/>
      <c r="AC198" s="465"/>
      <c r="AD198" s="465"/>
      <c r="AE198" s="465"/>
      <c r="AF198" s="465"/>
      <c r="AG198" s="417"/>
      <c r="AH198" s="418"/>
      <c r="AI198" s="418">
        <f>SUM(AI167:AI197)</f>
        <v>0</v>
      </c>
      <c r="AJ198" s="418">
        <f>SUM(AJ167:AJ197)</f>
        <v>0</v>
      </c>
      <c r="AK198" s="465"/>
      <c r="AL198" s="480"/>
      <c r="AM198" s="480"/>
      <c r="AN198" s="480"/>
      <c r="AO198" s="480"/>
      <c r="AP198" s="480"/>
      <c r="AQ198" s="465"/>
      <c r="AR198" s="418">
        <f>SUM(AR167:AR197)</f>
        <v>0</v>
      </c>
      <c r="AS198" s="419">
        <f>SUM(AS167:AS197)</f>
        <v>0</v>
      </c>
      <c r="AT198" s="465"/>
      <c r="AU198" s="480"/>
      <c r="AV198" s="480"/>
      <c r="AW198" s="480"/>
      <c r="AX198" s="480"/>
      <c r="AY198" s="480"/>
      <c r="AZ198" s="418"/>
      <c r="BA198" s="418"/>
      <c r="BB198" s="418"/>
      <c r="BC198" s="418"/>
      <c r="BD198" s="418"/>
      <c r="BE198" s="418"/>
      <c r="BF198" s="418"/>
      <c r="BG198" s="418"/>
      <c r="BH198" s="418"/>
      <c r="BI198" s="418"/>
      <c r="BJ198" s="418" t="e">
        <f>SUMPRODUCT(AA167:AA197,BJ167:BJ197)/AA198</f>
        <v>#DIV/0!</v>
      </c>
      <c r="BK198" s="418" t="e">
        <f>SUMPRODUCT(AA167:AA197,BK167:BK197)/AA198</f>
        <v>#DIV/0!</v>
      </c>
      <c r="BL198" s="418" t="e">
        <f>SUMPRODUCT(AA167:AA197,BL167:BL197)/AA198</f>
        <v>#DIV/0!</v>
      </c>
      <c r="BM198" s="418" t="e">
        <f>SUMPRODUCT(AA167:AA197,BM167:BM197)/AA198</f>
        <v>#DIV/0!</v>
      </c>
      <c r="BN198" s="418" t="e">
        <f>BK198-BL198</f>
        <v>#DIV/0!</v>
      </c>
      <c r="BO198" s="421" t="e">
        <f>AVERAGE(BO167:BO197)</f>
        <v>#DIV/0!</v>
      </c>
      <c r="BP198" s="418"/>
      <c r="BQ198" s="485"/>
      <c r="BR198" s="422" t="e">
        <f>SUMPRODUCT(AA167:AA197,BR167:BR197)/AA198</f>
        <v>#DIV/0!</v>
      </c>
      <c r="BS198" s="421" t="e">
        <f>SUMPRODUCT($AA167:$AA197,BS167:BS197)/$AA198</f>
        <v>#DIV/0!</v>
      </c>
      <c r="BT198" s="524" t="e">
        <f>SUMPRODUCT($AA167:$AA197,BT167:BT197)/$AA198</f>
        <v>#DIV/0!</v>
      </c>
      <c r="BU198" s="517" t="e">
        <f>BR198-BS198</f>
        <v>#DIV/0!</v>
      </c>
      <c r="BV198" s="424" t="e">
        <f>BR198-BT198</f>
        <v>#DIV/0!</v>
      </c>
      <c r="BW198" s="446" t="e">
        <f>BU198*AA198*CZ198</f>
        <v>#DIV/0!</v>
      </c>
      <c r="BX198" s="446" t="e">
        <f>SUMPRODUCT(AA167:AA197,BU167:BU197,CZ167:CZ197,CR167:CR197)</f>
        <v>#DIV/0!</v>
      </c>
      <c r="BY198" s="446" t="e">
        <f>BV198*AA198*CZ198</f>
        <v>#DIV/0!</v>
      </c>
      <c r="BZ198" s="448" t="e">
        <f>SUMPRODUCT(AA167:AA197,BV167:BV197,CZ167:CZ197,CR167:CR197)</f>
        <v>#DIV/0!</v>
      </c>
      <c r="CA198" s="485"/>
      <c r="CB198" s="416"/>
      <c r="CC198" s="425"/>
      <c r="CD198" s="425"/>
      <c r="CE198" s="425"/>
      <c r="CF198" s="425"/>
      <c r="CG198" s="425"/>
      <c r="CH198" s="418"/>
      <c r="CI198" s="418"/>
      <c r="CJ198" s="418"/>
      <c r="CK198" s="418"/>
      <c r="CL198" s="547"/>
      <c r="CM198" s="392" t="e">
        <f>SUMPRODUCT($AA$167:$AA$197,CM167:CM197)/$AA$198</f>
        <v>#DIV/0!</v>
      </c>
      <c r="CN198" s="393" t="e">
        <f>SUMPRODUCT($AA$167:$AA$197,CN167:CN197)/$AA$198</f>
        <v>#DIV/0!</v>
      </c>
      <c r="CO198" s="418"/>
      <c r="CP198" s="547"/>
      <c r="CQ198" s="425"/>
      <c r="CR198" s="394" t="e">
        <f>SUMPRODUCT(AA167:AA197,CR167:CR197)/AA198</f>
        <v>#DIV/0!</v>
      </c>
      <c r="CS198" s="425"/>
      <c r="CT198" s="425"/>
      <c r="CU198" s="425"/>
      <c r="CV198" s="425"/>
      <c r="CW198" s="425"/>
      <c r="CX198" s="425"/>
      <c r="CY198" s="426"/>
      <c r="CZ198" s="399" t="e">
        <f>AI198/AA198/BR198</f>
        <v>#DIV/0!</v>
      </c>
      <c r="DA198" s="755" t="e">
        <f t="shared" ref="DA198:DL198" si="425">SUM(DA167:DA197)</f>
        <v>#DIV/0!</v>
      </c>
      <c r="DB198" s="755" t="e">
        <f t="shared" ref="DB198" si="426">SUM(DB167:DB197)</f>
        <v>#DIV/0!</v>
      </c>
      <c r="DC198" s="755">
        <f t="shared" si="425"/>
        <v>0</v>
      </c>
      <c r="DD198" s="755" t="e">
        <f t="shared" si="425"/>
        <v>#DIV/0!</v>
      </c>
      <c r="DE198" s="755" t="e">
        <f t="shared" si="425"/>
        <v>#DIV/0!</v>
      </c>
      <c r="DF198" s="755" t="e">
        <f t="shared" si="425"/>
        <v>#DIV/0!</v>
      </c>
      <c r="DG198" s="755" t="e">
        <f t="shared" si="425"/>
        <v>#DIV/0!</v>
      </c>
      <c r="DH198" s="755">
        <f t="shared" si="425"/>
        <v>0</v>
      </c>
      <c r="DI198" s="755">
        <f t="shared" si="425"/>
        <v>0</v>
      </c>
      <c r="DJ198" s="755">
        <f t="shared" si="425"/>
        <v>0</v>
      </c>
      <c r="DK198" s="755">
        <f t="shared" si="425"/>
        <v>0</v>
      </c>
      <c r="DL198" s="755">
        <f t="shared" si="425"/>
        <v>0</v>
      </c>
      <c r="DM198" s="439" t="e">
        <f>SUM(DA198:DL198)</f>
        <v>#DIV/0!</v>
      </c>
      <c r="DO198" s="69"/>
    </row>
    <row r="199" spans="1:121" ht="14.25" customHeight="1" outlineLevel="1" x14ac:dyDescent="0.25">
      <c r="A199" s="240"/>
      <c r="B199" s="241"/>
      <c r="C199" s="241"/>
      <c r="D199" s="241"/>
      <c r="E199" s="241"/>
      <c r="F199" s="241"/>
      <c r="G199" s="241"/>
      <c r="H199" s="241"/>
      <c r="I199" s="241"/>
      <c r="J199" s="242" t="s">
        <v>29</v>
      </c>
      <c r="K199" s="243"/>
      <c r="L199" s="244"/>
      <c r="M199" s="244"/>
      <c r="N199" s="244"/>
      <c r="O199" s="244"/>
      <c r="P199" s="244"/>
      <c r="Q199" s="246"/>
      <c r="R199" s="244"/>
      <c r="S199" s="244"/>
      <c r="T199" s="246"/>
      <c r="U199" s="246"/>
      <c r="V199" s="246"/>
      <c r="W199" s="246"/>
      <c r="X199" s="244"/>
      <c r="Y199" s="245"/>
      <c r="Z199" s="245"/>
      <c r="AA199" s="246"/>
      <c r="AB199" s="466"/>
      <c r="AC199" s="466"/>
      <c r="AD199" s="466"/>
      <c r="AE199" s="466"/>
      <c r="AF199" s="466"/>
      <c r="AG199" s="246"/>
      <c r="AH199" s="246"/>
      <c r="AI199" s="246"/>
      <c r="AJ199" s="246"/>
      <c r="AK199" s="466"/>
      <c r="AL199" s="481"/>
      <c r="AM199" s="481"/>
      <c r="AN199" s="481"/>
      <c r="AO199" s="481"/>
      <c r="AP199" s="481"/>
      <c r="AQ199" s="466"/>
      <c r="AR199" s="246"/>
      <c r="AS199" s="298">
        <f>AS198</f>
        <v>0</v>
      </c>
      <c r="AT199" s="466"/>
      <c r="AU199" s="481"/>
      <c r="AV199" s="481"/>
      <c r="AW199" s="481"/>
      <c r="AX199" s="481"/>
      <c r="AY199" s="481"/>
      <c r="AZ199" s="246"/>
      <c r="BA199" s="246"/>
      <c r="BB199" s="246"/>
      <c r="BC199" s="246"/>
      <c r="BD199" s="246"/>
      <c r="BE199" s="246"/>
      <c r="BF199" s="246"/>
      <c r="BG199" s="246"/>
      <c r="BH199" s="246"/>
      <c r="BI199" s="246"/>
      <c r="BJ199" s="246"/>
      <c r="BK199" s="246"/>
      <c r="BL199" s="246"/>
      <c r="BM199" s="246"/>
      <c r="BN199" s="246"/>
      <c r="BO199" s="246"/>
      <c r="BP199" s="246"/>
      <c r="BQ199" s="486"/>
      <c r="BR199" s="247" t="e">
        <f>BR198*$AA198*$CZ198</f>
        <v>#DIV/0!</v>
      </c>
      <c r="BS199" s="246" t="e">
        <f>BS198*$AA198*$CZ198</f>
        <v>#DIV/0!</v>
      </c>
      <c r="BT199" s="246" t="e">
        <f>BT198*$AA198*$CZ198</f>
        <v>#DIV/0!</v>
      </c>
      <c r="BU199" s="256"/>
      <c r="BV199" s="316"/>
      <c r="BW199" s="302"/>
      <c r="BX199" s="245"/>
      <c r="BY199" s="245"/>
      <c r="BZ199" s="249"/>
      <c r="CA199" s="486"/>
      <c r="CB199" s="245"/>
      <c r="CC199" s="245"/>
      <c r="CD199" s="245"/>
      <c r="CE199" s="245"/>
      <c r="CF199" s="245"/>
      <c r="CG199" s="245"/>
      <c r="CH199" s="246"/>
      <c r="CI199" s="246"/>
      <c r="CJ199" s="246"/>
      <c r="CK199" s="246"/>
      <c r="CL199" s="246"/>
      <c r="CM199" s="247" t="e">
        <f>CM198*$AA198*$CZ198</f>
        <v>#DIV/0!</v>
      </c>
      <c r="CN199" s="246" t="e">
        <f>CN198*$AA198*$CZ198</f>
        <v>#DIV/0!</v>
      </c>
      <c r="CO199" s="246"/>
      <c r="CP199" s="248"/>
      <c r="CQ199" s="245"/>
      <c r="CR199" s="249"/>
      <c r="CS199" s="245"/>
      <c r="CT199" s="245"/>
      <c r="CU199" s="245"/>
      <c r="CV199" s="245"/>
      <c r="CW199" s="245"/>
      <c r="CX199" s="245"/>
      <c r="CY199" s="249"/>
      <c r="CZ199" s="316"/>
      <c r="DA199" s="256" t="e">
        <f>DA198</f>
        <v>#DIV/0!</v>
      </c>
      <c r="DB199" s="256" t="e">
        <f>DB198</f>
        <v>#DIV/0!</v>
      </c>
      <c r="DC199" s="256">
        <f>DC198</f>
        <v>0</v>
      </c>
      <c r="DD199" s="256"/>
      <c r="DE199" s="256"/>
      <c r="DF199" s="256"/>
      <c r="DG199" s="256"/>
      <c r="DH199" s="256"/>
      <c r="DI199" s="256">
        <f>DI198</f>
        <v>0</v>
      </c>
      <c r="DJ199" s="256"/>
      <c r="DK199" s="256"/>
      <c r="DL199" s="256"/>
      <c r="DM199" s="257" t="e">
        <f t="shared" si="349"/>
        <v>#DIV/0!</v>
      </c>
      <c r="DO199" s="69"/>
    </row>
    <row r="200" spans="1:121" ht="14.25" customHeight="1" outlineLevel="1" x14ac:dyDescent="0.25">
      <c r="A200" s="226"/>
      <c r="B200" s="227"/>
      <c r="C200" s="227"/>
      <c r="D200" s="227"/>
      <c r="E200" s="227"/>
      <c r="F200" s="227"/>
      <c r="G200" s="227"/>
      <c r="H200" s="227"/>
      <c r="I200" s="227"/>
      <c r="J200" s="250" t="s">
        <v>86</v>
      </c>
      <c r="K200" s="251"/>
      <c r="L200" s="252"/>
      <c r="M200" s="252"/>
      <c r="N200" s="252"/>
      <c r="O200" s="252"/>
      <c r="P200" s="252"/>
      <c r="Q200" s="229"/>
      <c r="R200" s="252"/>
      <c r="S200" s="252"/>
      <c r="T200" s="229"/>
      <c r="U200" s="229"/>
      <c r="V200" s="229"/>
      <c r="W200" s="229"/>
      <c r="X200" s="252"/>
      <c r="Y200" s="253"/>
      <c r="Z200" s="253"/>
      <c r="AA200" s="229"/>
      <c r="AB200" s="467"/>
      <c r="AC200" s="467"/>
      <c r="AD200" s="467"/>
      <c r="AE200" s="467"/>
      <c r="AF200" s="467"/>
      <c r="AG200" s="229"/>
      <c r="AH200" s="229"/>
      <c r="AI200" s="229"/>
      <c r="AJ200" s="229"/>
      <c r="AK200" s="467"/>
      <c r="AL200" s="482"/>
      <c r="AM200" s="482"/>
      <c r="AN200" s="482"/>
      <c r="AO200" s="482"/>
      <c r="AP200" s="482"/>
      <c r="AQ200" s="467"/>
      <c r="AR200" s="229"/>
      <c r="AS200" s="299"/>
      <c r="AT200" s="467"/>
      <c r="AU200" s="482"/>
      <c r="AV200" s="482"/>
      <c r="AW200" s="482"/>
      <c r="AX200" s="482"/>
      <c r="AY200" s="482"/>
      <c r="AZ200" s="229"/>
      <c r="BA200" s="229"/>
      <c r="BB200" s="229"/>
      <c r="BC200" s="229"/>
      <c r="BD200" s="229"/>
      <c r="BE200" s="229"/>
      <c r="BF200" s="229"/>
      <c r="BG200" s="229"/>
      <c r="BH200" s="229"/>
      <c r="BI200" s="229"/>
      <c r="BJ200" s="229"/>
      <c r="BK200" s="229"/>
      <c r="BL200" s="229"/>
      <c r="BM200" s="229"/>
      <c r="BN200" s="229"/>
      <c r="BO200" s="229"/>
      <c r="BP200" s="229"/>
      <c r="BQ200" s="486"/>
      <c r="BR200" s="228"/>
      <c r="BS200" s="229"/>
      <c r="BT200" s="258"/>
      <c r="BU200" s="258"/>
      <c r="BV200" s="317"/>
      <c r="BW200" s="303"/>
      <c r="BX200" s="253"/>
      <c r="BY200" s="253"/>
      <c r="BZ200" s="234"/>
      <c r="CA200" s="486"/>
      <c r="CB200" s="253"/>
      <c r="CC200" s="253"/>
      <c r="CD200" s="253"/>
      <c r="CE200" s="253"/>
      <c r="CF200" s="253"/>
      <c r="CG200" s="253"/>
      <c r="CH200" s="229"/>
      <c r="CI200" s="229"/>
      <c r="CJ200" s="229"/>
      <c r="CK200" s="229"/>
      <c r="CL200" s="229"/>
      <c r="CM200" s="228"/>
      <c r="CN200" s="229"/>
      <c r="CO200" s="229"/>
      <c r="CP200" s="230"/>
      <c r="CQ200" s="253"/>
      <c r="CR200" s="234"/>
      <c r="CS200" s="253"/>
      <c r="CT200" s="253"/>
      <c r="CU200" s="253"/>
      <c r="CV200" s="253"/>
      <c r="CW200" s="253"/>
      <c r="CX200" s="253"/>
      <c r="CY200" s="234"/>
      <c r="CZ200" s="317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9">
        <f t="shared" si="349"/>
        <v>0</v>
      </c>
      <c r="DO200" s="69"/>
    </row>
    <row r="201" spans="1:121" ht="14.25" customHeight="1" outlineLevel="1" x14ac:dyDescent="0.25">
      <c r="BT201" s="383"/>
      <c r="BX201" s="295"/>
      <c r="BY201" s="295"/>
      <c r="BZ201" s="295"/>
      <c r="CM201" s="2"/>
      <c r="CN201" s="2"/>
      <c r="CO201" s="2"/>
      <c r="CQ201" s="461"/>
      <c r="CR201" s="241"/>
    </row>
    <row r="202" spans="1:121" ht="14.25" customHeight="1" x14ac:dyDescent="0.25">
      <c r="BT202" s="383"/>
      <c r="BX202" s="295"/>
      <c r="BY202" s="295"/>
      <c r="BZ202" s="295"/>
      <c r="CB202" s="328"/>
      <c r="CC202" s="295"/>
      <c r="CD202" s="295"/>
      <c r="CE202" s="295"/>
      <c r="CF202" s="295"/>
      <c r="CG202" s="295"/>
      <c r="CH202" s="295"/>
      <c r="CI202" s="295"/>
      <c r="CJ202" s="295"/>
      <c r="CK202" s="295"/>
      <c r="CL202" s="295"/>
      <c r="CM202" s="203"/>
      <c r="CN202" s="203"/>
      <c r="CO202" s="203"/>
      <c r="CP202" s="203"/>
      <c r="CQ202" s="203"/>
      <c r="CR202" s="340"/>
      <c r="CS202" s="204"/>
      <c r="CT202" s="204"/>
      <c r="CU202" s="204"/>
      <c r="CV202" s="204"/>
      <c r="CW202" s="204"/>
      <c r="CX202" s="341"/>
      <c r="CY202" s="341"/>
    </row>
    <row r="203" spans="1:121" ht="20.100000000000001" customHeight="1" x14ac:dyDescent="0.25">
      <c r="J203" s="414" t="s">
        <v>77</v>
      </c>
      <c r="K203" s="462"/>
      <c r="L203" s="415"/>
      <c r="M203" s="415"/>
      <c r="N203" s="415"/>
      <c r="O203" s="415"/>
      <c r="P203" s="415"/>
      <c r="Q203" s="418"/>
      <c r="R203" s="415"/>
      <c r="S203" s="415"/>
      <c r="T203" s="418">
        <f>T54+T93+T121+T162+T198</f>
        <v>0</v>
      </c>
      <c r="U203" s="418">
        <f>U54+U93+U121+U162+U198</f>
        <v>0</v>
      </c>
      <c r="V203" s="418"/>
      <c r="W203" s="418"/>
      <c r="X203" s="463"/>
      <c r="Y203" s="394" t="e">
        <f ca="1">AJ203/AI203</f>
        <v>#DIV/0!</v>
      </c>
      <c r="Z203" s="394" t="e">
        <f ca="1">AR203/AI203</f>
        <v>#DIV/0!</v>
      </c>
      <c r="AA203" s="417">
        <f ca="1">AA54+AA93+AA121+AA162+AA198</f>
        <v>1194380</v>
      </c>
      <c r="AB203" s="464"/>
      <c r="AC203" s="464"/>
      <c r="AD203" s="464"/>
      <c r="AE203" s="464"/>
      <c r="AF203" s="464"/>
      <c r="AG203" s="418"/>
      <c r="AH203" s="418"/>
      <c r="AI203" s="420">
        <f t="shared" ref="AI203:AS203" ca="1" si="427">AI54+AI93+AI121+AI162+AI198</f>
        <v>42090439.002932556</v>
      </c>
      <c r="AJ203" s="420" t="e">
        <f t="shared" ca="1" si="427"/>
        <v>#DIV/0!</v>
      </c>
      <c r="AK203" s="420" t="e">
        <f t="shared" si="427"/>
        <v>#DIV/0!</v>
      </c>
      <c r="AL203" s="420" t="e">
        <f t="shared" si="427"/>
        <v>#DIV/0!</v>
      </c>
      <c r="AM203" s="420" t="e">
        <f t="shared" si="427"/>
        <v>#DIV/0!</v>
      </c>
      <c r="AN203" s="420" t="e">
        <f t="shared" si="427"/>
        <v>#DIV/0!</v>
      </c>
      <c r="AO203" s="420" t="e">
        <f t="shared" si="427"/>
        <v>#DIV/0!</v>
      </c>
      <c r="AP203" s="420" t="e">
        <f t="shared" si="427"/>
        <v>#DIV/0!</v>
      </c>
      <c r="AQ203" s="420">
        <f t="shared" si="427"/>
        <v>0</v>
      </c>
      <c r="AR203" s="420" t="e">
        <f t="shared" ca="1" si="427"/>
        <v>#DIV/0!</v>
      </c>
      <c r="AS203" s="419" t="e">
        <f t="shared" ca="1" si="427"/>
        <v>#DIV/0!</v>
      </c>
      <c r="AT203" s="418"/>
      <c r="AU203" s="418"/>
      <c r="AV203" s="418"/>
      <c r="AW203" s="418"/>
      <c r="AX203" s="418"/>
      <c r="AY203" s="418"/>
      <c r="AZ203" s="418"/>
      <c r="BA203" s="418"/>
      <c r="BB203" s="418"/>
      <c r="BC203" s="418"/>
      <c r="BD203" s="418"/>
      <c r="BE203" s="418"/>
      <c r="BF203" s="418"/>
      <c r="BG203" s="418"/>
      <c r="BH203" s="418"/>
      <c r="BI203" s="418"/>
      <c r="BJ203" s="418"/>
      <c r="BK203" s="418"/>
      <c r="BL203" s="418"/>
      <c r="BM203" s="418"/>
      <c r="BN203" s="418"/>
      <c r="BO203" s="421"/>
      <c r="BP203" s="418"/>
      <c r="BQ203" s="485"/>
      <c r="BR203" s="422" t="e">
        <f ca="1">SUM(BR199,BR163,BR122,BR94,BR55)/$AA$203/$CZ$203</f>
        <v>#DIV/0!</v>
      </c>
      <c r="BS203" s="421" t="e">
        <f ca="1">SUM(BS199,BS163,BS122,BS94,BS55)/$AA$203/$CZ$203</f>
        <v>#DIV/0!</v>
      </c>
      <c r="BT203" s="524" t="e">
        <f ca="1">SUM(BT199,BT163,BT122,BT94,BT55)/$AA$203/$CZ$203</f>
        <v>#DIV/0!</v>
      </c>
      <c r="BU203" s="517" t="e">
        <f ca="1">BR203-BS203</f>
        <v>#DIV/0!</v>
      </c>
      <c r="BV203" s="517" t="e">
        <f ca="1">BR203-BT203</f>
        <v>#DIV/0!</v>
      </c>
      <c r="BW203" s="528" t="e">
        <f ca="1">BW54+BW93+BW121+BW162+BW198</f>
        <v>#DIV/0!</v>
      </c>
      <c r="BX203" s="446" t="e">
        <f ca="1">BX54+BX93+BX121+BX162+BX198</f>
        <v>#DIV/0!</v>
      </c>
      <c r="BY203" s="446" t="e">
        <f ca="1">BY54+BY93+BY121+BY162+BY198</f>
        <v>#DIV/0!</v>
      </c>
      <c r="BZ203" s="448" t="e">
        <f ca="1">BZ54+BZ93+BZ121+BZ162+BZ198</f>
        <v>#DIV/0!</v>
      </c>
      <c r="CA203" s="485"/>
      <c r="CB203" s="416"/>
      <c r="CC203" s="425"/>
      <c r="CD203" s="425"/>
      <c r="CE203" s="425"/>
      <c r="CF203" s="425"/>
      <c r="CG203" s="425"/>
      <c r="CH203" s="418" t="e">
        <f ca="1">CH54+CH93+CH121+CH162+CH198</f>
        <v>#DIV/0!</v>
      </c>
      <c r="CI203" s="418"/>
      <c r="CJ203" s="418"/>
      <c r="CK203" s="418"/>
      <c r="CL203" s="547"/>
      <c r="CM203" s="422" t="e">
        <f ca="1">SUM(CM199,CM163,CM122,CM94,CM55)/$AA$203/$CZ$203</f>
        <v>#DIV/0!</v>
      </c>
      <c r="CN203" s="393" t="e">
        <f ca="1">SUM(CN199,CN163,CN122,CN94,CN55)/$AA$203/$CZ$203</f>
        <v>#DIV/0!</v>
      </c>
      <c r="CO203" s="418" t="e">
        <f ca="1">CO54+CO93+CO121+CO162+CO198</f>
        <v>#VALUE!</v>
      </c>
      <c r="CP203" s="410" t="e">
        <f ca="1">CP54+CP93+CP121+CP162+CP198</f>
        <v>#VALUE!</v>
      </c>
      <c r="CQ203" s="425"/>
      <c r="CR203" s="427"/>
      <c r="CS203" s="425"/>
      <c r="CT203" s="425"/>
      <c r="CU203" s="425"/>
      <c r="CV203" s="418" t="e">
        <f ca="1">CV54+CV93+CV121+CV162+CV198</f>
        <v>#DIV/0!</v>
      </c>
      <c r="CW203" s="418" t="e">
        <f ca="1">CW54+CW93+CW121+CW162+CW198</f>
        <v>#DIV/0!</v>
      </c>
      <c r="CX203" s="425"/>
      <c r="CY203" s="410" t="e">
        <f ca="1">CY54+CY93+CY121+CY162+CY198</f>
        <v>#DIV/0!</v>
      </c>
      <c r="CZ203" s="399" t="e">
        <f ca="1">(CZ54*AA54+CZ93*AA93+CZ121*AA121+CZ162*AA162+CZ198*AA198)/SUM(AA54,AA93,AA121,AA162,AA198)</f>
        <v>#DIV/0!</v>
      </c>
      <c r="DA203" s="420" t="e">
        <f t="shared" ref="DA203:DM203" ca="1" si="428">DA54+DA93+DA121+DA162+DA198</f>
        <v>#DIV/0!</v>
      </c>
      <c r="DB203" s="420" t="e">
        <f t="shared" ca="1" si="428"/>
        <v>#DIV/0!</v>
      </c>
      <c r="DC203" s="420">
        <f t="shared" si="428"/>
        <v>0</v>
      </c>
      <c r="DD203" s="420" t="e">
        <f t="shared" ca="1" si="428"/>
        <v>#DIV/0!</v>
      </c>
      <c r="DE203" s="420" t="e">
        <f t="shared" ca="1" si="428"/>
        <v>#DIV/0!</v>
      </c>
      <c r="DF203" s="420" t="e">
        <f t="shared" ca="1" si="428"/>
        <v>#DIV/0!</v>
      </c>
      <c r="DG203" s="420" t="e">
        <f t="shared" ca="1" si="428"/>
        <v>#DIV/0!</v>
      </c>
      <c r="DH203" s="420">
        <f t="shared" ca="1" si="428"/>
        <v>37.215638575199989</v>
      </c>
      <c r="DI203" s="420">
        <f t="shared" ca="1" si="428"/>
        <v>-20.498265200963974</v>
      </c>
      <c r="DJ203" s="420" t="e">
        <f t="shared" ca="1" si="428"/>
        <v>#DIV/0!</v>
      </c>
      <c r="DK203" s="420" t="e">
        <f t="shared" ca="1" si="428"/>
        <v>#DIV/0!</v>
      </c>
      <c r="DL203" s="420" t="e">
        <f t="shared" ca="1" si="428"/>
        <v>#VALUE!</v>
      </c>
      <c r="DM203" s="756" t="e">
        <f t="shared" ca="1" si="428"/>
        <v>#DIV/0!</v>
      </c>
    </row>
    <row r="204" spans="1:121" ht="20.25" customHeight="1" x14ac:dyDescent="0.25">
      <c r="J204" s="414" t="s">
        <v>97</v>
      </c>
      <c r="K204" s="462"/>
      <c r="L204" s="415"/>
      <c r="M204" s="415"/>
      <c r="N204" s="415"/>
      <c r="O204" s="415"/>
      <c r="P204" s="415"/>
      <c r="Q204" s="418"/>
      <c r="R204" s="415"/>
      <c r="S204" s="415"/>
      <c r="T204" s="418"/>
      <c r="U204" s="418"/>
      <c r="V204" s="418"/>
      <c r="W204" s="418"/>
      <c r="X204" s="415"/>
      <c r="Y204" s="425"/>
      <c r="Z204" s="411"/>
      <c r="AA204" s="417">
        <f ca="1">AA54*0.51+AA93+AA121+AA162+AA198</f>
        <v>609133.80000000005</v>
      </c>
      <c r="AB204" s="464"/>
      <c r="AC204" s="464"/>
      <c r="AD204" s="464"/>
      <c r="AE204" s="464"/>
      <c r="AF204" s="464"/>
      <c r="AG204" s="418"/>
      <c r="AH204" s="418"/>
      <c r="AI204" s="420">
        <f t="shared" ref="AI204:AS204" ca="1" si="429">AI54*0.51+AI93+AI121+AI162+AI198</f>
        <v>21466123.891495604</v>
      </c>
      <c r="AJ204" s="420" t="e">
        <f t="shared" ca="1" si="429"/>
        <v>#DIV/0!</v>
      </c>
      <c r="AK204" s="420" t="e">
        <f t="shared" si="429"/>
        <v>#DIV/0!</v>
      </c>
      <c r="AL204" s="420" t="e">
        <f t="shared" si="429"/>
        <v>#DIV/0!</v>
      </c>
      <c r="AM204" s="420" t="e">
        <f t="shared" si="429"/>
        <v>#DIV/0!</v>
      </c>
      <c r="AN204" s="420" t="e">
        <f t="shared" si="429"/>
        <v>#DIV/0!</v>
      </c>
      <c r="AO204" s="420" t="e">
        <f t="shared" si="429"/>
        <v>#DIV/0!</v>
      </c>
      <c r="AP204" s="420" t="e">
        <f t="shared" si="429"/>
        <v>#DIV/0!</v>
      </c>
      <c r="AQ204" s="420">
        <f t="shared" si="429"/>
        <v>0</v>
      </c>
      <c r="AR204" s="420" t="e">
        <f t="shared" ca="1" si="429"/>
        <v>#DIV/0!</v>
      </c>
      <c r="AS204" s="419" t="e">
        <f t="shared" ca="1" si="429"/>
        <v>#DIV/0!</v>
      </c>
      <c r="AT204" s="418"/>
      <c r="AU204" s="418"/>
      <c r="AV204" s="418"/>
      <c r="AW204" s="418"/>
      <c r="AX204" s="418"/>
      <c r="AY204" s="418"/>
      <c r="AZ204" s="418"/>
      <c r="BA204" s="418"/>
      <c r="BB204" s="418"/>
      <c r="BC204" s="418"/>
      <c r="BD204" s="418"/>
      <c r="BE204" s="418"/>
      <c r="BF204" s="418"/>
      <c r="BG204" s="418"/>
      <c r="BH204" s="418"/>
      <c r="BI204" s="418"/>
      <c r="BJ204" s="418"/>
      <c r="BK204" s="418"/>
      <c r="BL204" s="418"/>
      <c r="BM204" s="418"/>
      <c r="BN204" s="418"/>
      <c r="BO204" s="421"/>
      <c r="BP204" s="418"/>
      <c r="BQ204" s="485"/>
      <c r="BR204" s="422"/>
      <c r="BS204" s="421"/>
      <c r="BT204" s="517"/>
      <c r="BU204" s="517"/>
      <c r="BV204" s="517"/>
      <c r="BW204" s="528" t="e">
        <f ca="1">BW54*0.51+BW93+BW121+BW162+BW198</f>
        <v>#DIV/0!</v>
      </c>
      <c r="BX204" s="446" t="e">
        <f ca="1">BX54*0.51+BX93+BX121+BX162+BX198</f>
        <v>#DIV/0!</v>
      </c>
      <c r="BY204" s="446" t="e">
        <f ca="1">BY54*0.51+BY93+BY121+BY162+BY198</f>
        <v>#DIV/0!</v>
      </c>
      <c r="BZ204" s="448" t="e">
        <f ca="1">BZ54*0.51+BZ93+BZ121+BZ162+BZ198</f>
        <v>#DIV/0!</v>
      </c>
      <c r="CA204" s="485"/>
      <c r="CB204" s="416"/>
      <c r="CC204" s="425"/>
      <c r="CD204" s="425"/>
      <c r="CE204" s="425"/>
      <c r="CF204" s="425"/>
      <c r="CG204" s="425"/>
      <c r="CH204" s="418" t="e">
        <f ca="1">CH54*0.51+CH93+CH121+CH162+CH198</f>
        <v>#DIV/0!</v>
      </c>
      <c r="CI204" s="418"/>
      <c r="CJ204" s="418"/>
      <c r="CK204" s="418"/>
      <c r="CL204" s="547"/>
      <c r="CM204" s="548"/>
      <c r="CN204" s="549"/>
      <c r="CO204" s="418" t="e">
        <f ca="1">CO54*0.51+CO93+CO121+CO162+CO198</f>
        <v>#VALUE!</v>
      </c>
      <c r="CP204" s="410" t="e">
        <f ca="1">CP54*0.51+CP93+CP121+CP162+CP198</f>
        <v>#VALUE!</v>
      </c>
      <c r="CQ204" s="425"/>
      <c r="CR204" s="427"/>
      <c r="CS204" s="425"/>
      <c r="CT204" s="425"/>
      <c r="CU204" s="425"/>
      <c r="CV204" s="418" t="e">
        <f ca="1">CV54*0.51+CV93+CV121+CV162+CV198</f>
        <v>#DIV/0!</v>
      </c>
      <c r="CW204" s="418" t="e">
        <f ca="1">CW54*0.51+CW93+CW121+CW162+CW198</f>
        <v>#DIV/0!</v>
      </c>
      <c r="CX204" s="425"/>
      <c r="CY204" s="410" t="e">
        <f ca="1">CY54*0.51+CY93+CY121+CY162+CY198</f>
        <v>#DIV/0!</v>
      </c>
      <c r="CZ204" s="399" t="e">
        <f ca="1">(CZ54*AA54+CZ93*AA93+CZ121*AA121+CZ162*AA162+CZ198*AA198)/SUM(AA54,AA93,AA121,AA162,AA198)</f>
        <v>#DIV/0!</v>
      </c>
      <c r="DA204" s="420" t="e">
        <f t="shared" ref="DA204:DM204" ca="1" si="430">DA54*0.51+DA93+DA121+DA162+DA198</f>
        <v>#DIV/0!</v>
      </c>
      <c r="DB204" s="420" t="e">
        <f t="shared" ca="1" si="430"/>
        <v>#DIV/0!</v>
      </c>
      <c r="DC204" s="420">
        <f t="shared" si="430"/>
        <v>0</v>
      </c>
      <c r="DD204" s="420" t="e">
        <f t="shared" ca="1" si="430"/>
        <v>#DIV/0!</v>
      </c>
      <c r="DE204" s="420" t="e">
        <f t="shared" ca="1" si="430"/>
        <v>#DIV/0!</v>
      </c>
      <c r="DF204" s="420" t="e">
        <f t="shared" ca="1" si="430"/>
        <v>#DIV/0!</v>
      </c>
      <c r="DG204" s="420" t="e">
        <f t="shared" ca="1" si="430"/>
        <v>#DIV/0!</v>
      </c>
      <c r="DH204" s="420">
        <f t="shared" ca="1" si="430"/>
        <v>18.979975673351994</v>
      </c>
      <c r="DI204" s="420">
        <f t="shared" ca="1" si="430"/>
        <v>-10.454115252491627</v>
      </c>
      <c r="DJ204" s="420" t="e">
        <f t="shared" ca="1" si="430"/>
        <v>#DIV/0!</v>
      </c>
      <c r="DK204" s="420" t="e">
        <f t="shared" ca="1" si="430"/>
        <v>#DIV/0!</v>
      </c>
      <c r="DL204" s="420" t="e">
        <f t="shared" ca="1" si="430"/>
        <v>#VALUE!</v>
      </c>
      <c r="DM204" s="756" t="e">
        <f t="shared" ca="1" si="430"/>
        <v>#DIV/0!</v>
      </c>
    </row>
    <row r="205" spans="1:121" ht="9" customHeight="1" x14ac:dyDescent="0.25">
      <c r="BT205" s="383"/>
      <c r="CB205" s="328"/>
      <c r="CC205" s="295"/>
      <c r="CD205" s="295"/>
      <c r="CE205" s="295"/>
      <c r="CF205" s="295"/>
      <c r="CG205" s="295"/>
      <c r="CH205" s="295"/>
      <c r="CI205" s="295"/>
      <c r="CJ205" s="295"/>
      <c r="CK205" s="295"/>
      <c r="CL205" s="295"/>
      <c r="CM205" s="340"/>
      <c r="CN205" s="340"/>
      <c r="CO205" s="340"/>
      <c r="CP205" s="203"/>
      <c r="CQ205" s="203"/>
      <c r="CR205" s="340"/>
      <c r="CS205" s="204"/>
      <c r="CT205" s="204"/>
      <c r="CU205" s="204"/>
      <c r="CV205" s="204"/>
      <c r="CW205" s="204"/>
      <c r="CX205" s="341"/>
      <c r="CY205" s="341"/>
    </row>
    <row r="206" spans="1:121" ht="24" customHeight="1" x14ac:dyDescent="0.25">
      <c r="BR206" s="568" t="s">
        <v>136</v>
      </c>
      <c r="BS206" s="421"/>
      <c r="BT206" s="421"/>
      <c r="BU206" s="421"/>
      <c r="BV206" s="775" t="e">
        <f ca="1">BT203-BS203</f>
        <v>#DIV/0!</v>
      </c>
    </row>
    <row r="208" spans="1:121" ht="12" customHeight="1" x14ac:dyDescent="0.25"/>
  </sheetData>
  <mergeCells count="1885"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DC30:DC31"/>
    <mergeCell ref="DD30:DD31"/>
    <mergeCell ref="DE30:DE31"/>
    <mergeCell ref="CM30:CM31"/>
    <mergeCell ref="CN30:CN31"/>
    <mergeCell ref="CO30:CO31"/>
    <mergeCell ref="CX44:CX45"/>
    <mergeCell ref="CY44:CY45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E38:E39"/>
    <mergeCell ref="AT38:AT39"/>
    <mergeCell ref="AU38:AU39"/>
    <mergeCell ref="AV38:AV39"/>
    <mergeCell ref="AW38:AW39"/>
    <mergeCell ref="AX40:AX41"/>
    <mergeCell ref="AY40:AY41"/>
    <mergeCell ref="AU40:AU41"/>
    <mergeCell ref="AV40:AV41"/>
    <mergeCell ref="AC40:AC41"/>
    <mergeCell ref="AD40:AD41"/>
    <mergeCell ref="AE40:AE41"/>
    <mergeCell ref="AL46:AL47"/>
    <mergeCell ref="AM46:AM47"/>
    <mergeCell ref="AN46:AN47"/>
    <mergeCell ref="AX44:AX45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B40:B41"/>
    <mergeCell ref="C40:C41"/>
    <mergeCell ref="D40:D41"/>
    <mergeCell ref="E40:E41"/>
    <mergeCell ref="G40:G41"/>
    <mergeCell ref="H40:H41"/>
    <mergeCell ref="I40:I41"/>
    <mergeCell ref="K40:K41"/>
    <mergeCell ref="J40:J41"/>
    <mergeCell ref="AA44:AA45"/>
    <mergeCell ref="DJ46:DJ47"/>
    <mergeCell ref="DK46:DK47"/>
    <mergeCell ref="DL46:DL47"/>
    <mergeCell ref="DM46:DM47"/>
    <mergeCell ref="B34:B35"/>
    <mergeCell ref="C34:C35"/>
    <mergeCell ref="D34:D35"/>
    <mergeCell ref="E34:E35"/>
    <mergeCell ref="G34:G35"/>
    <mergeCell ref="H34:H35"/>
    <mergeCell ref="I34:I35"/>
    <mergeCell ref="B36:B37"/>
    <mergeCell ref="C36:C37"/>
    <mergeCell ref="D36:D37"/>
    <mergeCell ref="E36:E37"/>
    <mergeCell ref="G36:G37"/>
    <mergeCell ref="H36:H37"/>
    <mergeCell ref="I36:I37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DM40:DM41"/>
    <mergeCell ref="B38:B39"/>
    <mergeCell ref="C38:C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CS44:CS45"/>
    <mergeCell ref="CT44:CT45"/>
    <mergeCell ref="CU44:CU45"/>
    <mergeCell ref="DM38:DM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DF38:DF39"/>
    <mergeCell ref="DG38:DG39"/>
    <mergeCell ref="DH38:DH39"/>
    <mergeCell ref="DK38:DK39"/>
    <mergeCell ref="DE28:DE29"/>
    <mergeCell ref="DF28:DF29"/>
    <mergeCell ref="DL28:DL29"/>
    <mergeCell ref="DG28:DG29"/>
    <mergeCell ref="DH28:DH29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BG30:BG31"/>
    <mergeCell ref="BH30:BH31"/>
    <mergeCell ref="BI30:BI31"/>
    <mergeCell ref="BJ30:BJ31"/>
    <mergeCell ref="BK30:BK31"/>
    <mergeCell ref="BL30:BL31"/>
    <mergeCell ref="BM30:BM31"/>
    <mergeCell ref="BO30:BO31"/>
    <mergeCell ref="BA30:BA31"/>
    <mergeCell ref="BB30:BB31"/>
    <mergeCell ref="BE30:BE31"/>
    <mergeCell ref="BF30:BF31"/>
    <mergeCell ref="BO28:BO29"/>
    <mergeCell ref="DH34:DH35"/>
    <mergeCell ref="DI34:DI35"/>
    <mergeCell ref="DJ34:DJ35"/>
    <mergeCell ref="DK34:DK35"/>
    <mergeCell ref="DB34:DB35"/>
    <mergeCell ref="DL34:DL35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DA46:DA47"/>
    <mergeCell ref="DC46:DC47"/>
    <mergeCell ref="DD46:DD47"/>
    <mergeCell ref="DE46:DE47"/>
    <mergeCell ref="DF46:DF47"/>
    <mergeCell ref="DG46:DG47"/>
    <mergeCell ref="DH46:DH47"/>
    <mergeCell ref="DI46:DI47"/>
    <mergeCell ref="DB38:DB39"/>
    <mergeCell ref="DB40:DB41"/>
    <mergeCell ref="CY36:CY37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CI44:CI45"/>
    <mergeCell ref="CJ44:CJ45"/>
    <mergeCell ref="CK44:CK45"/>
    <mergeCell ref="CL44:CL45"/>
    <mergeCell ref="CI46:CI47"/>
    <mergeCell ref="CP46:CP47"/>
    <mergeCell ref="CM42:CM43"/>
    <mergeCell ref="CN42:CN43"/>
    <mergeCell ref="CR36:CR37"/>
    <mergeCell ref="CR46:CR47"/>
    <mergeCell ref="CI42:CI43"/>
    <mergeCell ref="CJ42:CJ43"/>
    <mergeCell ref="CR34:CR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CM46:CM47"/>
    <mergeCell ref="CN46:CN47"/>
    <mergeCell ref="CO46:CO47"/>
    <mergeCell ref="BG38:BG39"/>
    <mergeCell ref="BH38:BH39"/>
    <mergeCell ref="BI38:BI39"/>
    <mergeCell ref="BJ38:BJ39"/>
    <mergeCell ref="BK38:BK39"/>
    <mergeCell ref="BF34:BF35"/>
    <mergeCell ref="BI34:BI35"/>
    <mergeCell ref="CB34:CB35"/>
    <mergeCell ref="CB36:CB37"/>
    <mergeCell ref="CB38:CB39"/>
    <mergeCell ref="CS42:CS43"/>
    <mergeCell ref="CT42:CT43"/>
    <mergeCell ref="CU42:CU43"/>
    <mergeCell ref="CV42:CV43"/>
    <mergeCell ref="CU36:CU37"/>
    <mergeCell ref="CV36:CV37"/>
    <mergeCell ref="CO44:CO45"/>
    <mergeCell ref="CP44:CP45"/>
    <mergeCell ref="CS46:CS47"/>
    <mergeCell ref="CT46:CT47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M42:BM43"/>
    <mergeCell ref="BI36:BI37"/>
    <mergeCell ref="BJ36:BJ37"/>
    <mergeCell ref="BK36:BK37"/>
    <mergeCell ref="BM36:BM37"/>
    <mergeCell ref="BO36:BO37"/>
    <mergeCell ref="BD38:BD39"/>
    <mergeCell ref="BE38:BE39"/>
    <mergeCell ref="CB42:CB43"/>
    <mergeCell ref="CB44:CB45"/>
    <mergeCell ref="BF38:BF39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A42:BA43"/>
    <mergeCell ref="BB42:BB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AZ46:AZ47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O44:AO45"/>
    <mergeCell ref="AP44:AP45"/>
    <mergeCell ref="AF40:AF41"/>
    <mergeCell ref="AO46:AO47"/>
    <mergeCell ref="AP36:AP37"/>
    <mergeCell ref="AB46:AB47"/>
    <mergeCell ref="AC46:AC47"/>
    <mergeCell ref="AD46:AD47"/>
    <mergeCell ref="AE46:AE47"/>
    <mergeCell ref="AF46:AF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P42:AP43"/>
    <mergeCell ref="AE38:AE39"/>
    <mergeCell ref="AG40:AG41"/>
    <mergeCell ref="AG42:AG43"/>
    <mergeCell ref="AG44:AG45"/>
    <mergeCell ref="AG46:AG47"/>
    <mergeCell ref="AB34:AB35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AC44:AC45"/>
    <mergeCell ref="AD44:AD45"/>
    <mergeCell ref="AE44:AE45"/>
    <mergeCell ref="AF44:AF45"/>
    <mergeCell ref="AD42:AD43"/>
    <mergeCell ref="AE42:AE43"/>
    <mergeCell ref="AF42:AF43"/>
    <mergeCell ref="AB44:AB45"/>
    <mergeCell ref="X46:X47"/>
    <mergeCell ref="Y42:Y43"/>
    <mergeCell ref="Y44:Y45"/>
    <mergeCell ref="Y46:Y47"/>
    <mergeCell ref="J42:J43"/>
    <mergeCell ref="K42:K43"/>
    <mergeCell ref="L42:L43"/>
    <mergeCell ref="M42:M43"/>
    <mergeCell ref="J44:J45"/>
    <mergeCell ref="K44:K45"/>
    <mergeCell ref="L44:L45"/>
    <mergeCell ref="M44:M45"/>
    <mergeCell ref="J46:J47"/>
    <mergeCell ref="BM28:BM29"/>
    <mergeCell ref="K46:K47"/>
    <mergeCell ref="AP28:AP29"/>
    <mergeCell ref="J34:J35"/>
    <mergeCell ref="K34:K35"/>
    <mergeCell ref="AE30:AE31"/>
    <mergeCell ref="AF30:AF31"/>
    <mergeCell ref="AG30:AG31"/>
    <mergeCell ref="AT34:AT35"/>
    <mergeCell ref="AU34:AU35"/>
    <mergeCell ref="AV34:AV35"/>
    <mergeCell ref="J36:J37"/>
    <mergeCell ref="K36:K37"/>
    <mergeCell ref="J38:J39"/>
    <mergeCell ref="K38:K39"/>
    <mergeCell ref="AA46:AA47"/>
    <mergeCell ref="AG34:AG35"/>
    <mergeCell ref="AG36:AG37"/>
    <mergeCell ref="AG38:AG39"/>
    <mergeCell ref="B25:B26"/>
    <mergeCell ref="C25:C26"/>
    <mergeCell ref="AM30:AM31"/>
    <mergeCell ref="AN30:AN31"/>
    <mergeCell ref="AO30:AO31"/>
    <mergeCell ref="L46:L47"/>
    <mergeCell ref="M46:M47"/>
    <mergeCell ref="A1:I1"/>
    <mergeCell ref="BE25:BE26"/>
    <mergeCell ref="BE28:BE29"/>
    <mergeCell ref="CW28:CW29"/>
    <mergeCell ref="CX28:CX29"/>
    <mergeCell ref="CP28:CP29"/>
    <mergeCell ref="CS28:CS29"/>
    <mergeCell ref="CT28:CT29"/>
    <mergeCell ref="AC28:AC29"/>
    <mergeCell ref="CV28:CV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X44:X45"/>
    <mergeCell ref="J25:J26"/>
    <mergeCell ref="AB25:AB26"/>
    <mergeCell ref="AC25:AC26"/>
    <mergeCell ref="AD25:AD26"/>
    <mergeCell ref="AO28:AO29"/>
    <mergeCell ref="AF38:AF39"/>
    <mergeCell ref="AS28:AS29"/>
    <mergeCell ref="AK25:AK26"/>
    <mergeCell ref="AL25:AL26"/>
    <mergeCell ref="AP25:AP26"/>
    <mergeCell ref="AS25:AS26"/>
    <mergeCell ref="AB30:AB31"/>
    <mergeCell ref="AB28:AB29"/>
    <mergeCell ref="AK30:AK31"/>
    <mergeCell ref="AL30:AL31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CS34:CS35"/>
    <mergeCell ref="CT34:CT35"/>
    <mergeCell ref="CU34:CU35"/>
    <mergeCell ref="CV34:CV35"/>
    <mergeCell ref="DB25:DB26"/>
    <mergeCell ref="BM34:BM35"/>
    <mergeCell ref="BO34:BO35"/>
    <mergeCell ref="CH34:CH35"/>
    <mergeCell ref="CW30:CW31"/>
    <mergeCell ref="CX30:CX31"/>
    <mergeCell ref="CY30:CY31"/>
    <mergeCell ref="CZ30:CZ31"/>
    <mergeCell ref="DA30:DA31"/>
    <mergeCell ref="CB30:CB31"/>
    <mergeCell ref="CC30:CC31"/>
    <mergeCell ref="CD30:CD31"/>
    <mergeCell ref="CE30:CE31"/>
    <mergeCell ref="CF30:CF31"/>
    <mergeCell ref="CH30:CH31"/>
    <mergeCell ref="BO25:BO26"/>
    <mergeCell ref="BP25:BP26"/>
    <mergeCell ref="DA28:DA29"/>
    <mergeCell ref="AX34:AX35"/>
    <mergeCell ref="AY34:AY35"/>
    <mergeCell ref="AE28:AE29"/>
    <mergeCell ref="AF28:AF29"/>
    <mergeCell ref="AG28:AG29"/>
    <mergeCell ref="AC30:AC31"/>
    <mergeCell ref="J30:J31"/>
    <mergeCell ref="K30:K31"/>
    <mergeCell ref="Q30:Q31"/>
    <mergeCell ref="S30:S31"/>
    <mergeCell ref="AU28:AU29"/>
    <mergeCell ref="AY28:AY29"/>
    <mergeCell ref="J28:J29"/>
    <mergeCell ref="K28:K29"/>
    <mergeCell ref="AD30:AD31"/>
    <mergeCell ref="CH28:CH29"/>
    <mergeCell ref="CB28:CB29"/>
    <mergeCell ref="CC28:CC29"/>
    <mergeCell ref="BF28:BF29"/>
    <mergeCell ref="BC34:BC35"/>
    <mergeCell ref="BG28:BG29"/>
    <mergeCell ref="BJ28:BJ29"/>
    <mergeCell ref="BK28:BK29"/>
    <mergeCell ref="AZ30:AZ31"/>
    <mergeCell ref="BA28:BA29"/>
    <mergeCell ref="BB28:BB29"/>
    <mergeCell ref="BL28:BL29"/>
    <mergeCell ref="K25:K26"/>
    <mergeCell ref="CX25:CX26"/>
    <mergeCell ref="CB25:CB26"/>
    <mergeCell ref="CC25:CC26"/>
    <mergeCell ref="CP25:CP26"/>
    <mergeCell ref="CD25:CD26"/>
    <mergeCell ref="CN25:CN26"/>
    <mergeCell ref="BC25:BC26"/>
    <mergeCell ref="BD25:BD26"/>
    <mergeCell ref="CI25:CI26"/>
    <mergeCell ref="CJ25:CJ26"/>
    <mergeCell ref="CK25:CK26"/>
    <mergeCell ref="CL25:CL26"/>
    <mergeCell ref="CO25:CO26"/>
    <mergeCell ref="AF25:AF26"/>
    <mergeCell ref="AG25:AG26"/>
    <mergeCell ref="CF25:CF26"/>
    <mergeCell ref="CM25:CM26"/>
    <mergeCell ref="AE25:AE26"/>
    <mergeCell ref="S25:S26"/>
    <mergeCell ref="AZ25:AZ26"/>
    <mergeCell ref="BF25:BF26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DK25:DK26"/>
    <mergeCell ref="CS25:CS26"/>
    <mergeCell ref="CT25:CT26"/>
    <mergeCell ref="CU25:CU26"/>
    <mergeCell ref="CV25:CV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DE25:DE26"/>
    <mergeCell ref="DF25:DF26"/>
    <mergeCell ref="DG25:DG26"/>
    <mergeCell ref="DH25:DH26"/>
    <mergeCell ref="DJ25:DJ26"/>
    <mergeCell ref="AW34:AW35"/>
    <mergeCell ref="CB1:CP1"/>
    <mergeCell ref="BG25:BG26"/>
    <mergeCell ref="BJ25:BJ26"/>
    <mergeCell ref="BK25:BK26"/>
    <mergeCell ref="BL25:BL26"/>
    <mergeCell ref="BM25:BM26"/>
    <mergeCell ref="CH25:CH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BN183:BN184"/>
    <mergeCell ref="BO183:BO184"/>
    <mergeCell ref="BR183:BR184"/>
    <mergeCell ref="BL154:BL155"/>
    <mergeCell ref="BM154:BM155"/>
    <mergeCell ref="BN154:BN155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CB144:CB145"/>
    <mergeCell ref="CZ136:CZ137"/>
    <mergeCell ref="CV141:CV142"/>
    <mergeCell ref="CW141:CW142"/>
    <mergeCell ref="CV138:CV139"/>
    <mergeCell ref="CN136:CN137"/>
    <mergeCell ref="CN141:CN142"/>
    <mergeCell ref="CM141:CM142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CC141:CC142"/>
    <mergeCell ref="CD141:CD142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M152:AM153"/>
    <mergeCell ref="AN152:AN153"/>
    <mergeCell ref="AO152:AO153"/>
    <mergeCell ref="AV154:AV155"/>
    <mergeCell ref="AY156:AY157"/>
    <mergeCell ref="AZ156:AZ157"/>
    <mergeCell ref="BA156:BA157"/>
    <mergeCell ref="BB156:BB157"/>
    <mergeCell ref="AQ152:AQ153"/>
    <mergeCell ref="AT152:AT153"/>
    <mergeCell ref="AU152:AU153"/>
    <mergeCell ref="BM152:BM153"/>
    <mergeCell ref="BN152:BN153"/>
    <mergeCell ref="AT154:AT155"/>
    <mergeCell ref="BG183:BG184"/>
    <mergeCell ref="BG158:BG159"/>
    <mergeCell ref="BH158:BH159"/>
    <mergeCell ref="BI158:BI159"/>
    <mergeCell ref="BS152:BS153"/>
    <mergeCell ref="BK152:BK153"/>
    <mergeCell ref="BL152:BL153"/>
    <mergeCell ref="BT152:BT153"/>
    <mergeCell ref="BU152:BU153"/>
    <mergeCell ref="BV152:BV153"/>
    <mergeCell ref="BR185:BR186"/>
    <mergeCell ref="BS185:BS186"/>
    <mergeCell ref="BL185:BL186"/>
    <mergeCell ref="BM185:BM186"/>
    <mergeCell ref="AA152:AA153"/>
    <mergeCell ref="AB152:AB153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BL183:BL184"/>
    <mergeCell ref="AV152:AV153"/>
    <mergeCell ref="BC156:BC157"/>
    <mergeCell ref="BM183:BM184"/>
    <mergeCell ref="BA150:BA151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CC152:CC153"/>
    <mergeCell ref="CR154:CR155"/>
    <mergeCell ref="CS154:CS155"/>
    <mergeCell ref="CT154:CT155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AU183:AU184"/>
    <mergeCell ref="AY183:AY184"/>
    <mergeCell ref="BE183:BE184"/>
    <mergeCell ref="BF183:BF184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T144:CT145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U154:CU155"/>
    <mergeCell ref="DD156:DD157"/>
    <mergeCell ref="DE156:DE157"/>
    <mergeCell ref="DF156:DF157"/>
    <mergeCell ref="DG156:DG157"/>
    <mergeCell ref="DH156:DH157"/>
    <mergeCell ref="DI156:DI157"/>
    <mergeCell ref="CV158:CV159"/>
    <mergeCell ref="CW158:CW159"/>
    <mergeCell ref="CX158:CX159"/>
    <mergeCell ref="CY158:CY159"/>
    <mergeCell ref="DK136:DK137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CU152:CU153"/>
    <mergeCell ref="DE152:DE153"/>
    <mergeCell ref="DF152:DF153"/>
    <mergeCell ref="DG152:DG153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DK150:DK151"/>
    <mergeCell ref="CX138:CX139"/>
    <mergeCell ref="CY138:CY139"/>
    <mergeCell ref="CN138:CN139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BS144:BS145"/>
    <mergeCell ref="BS138:BS139"/>
    <mergeCell ref="BS141:BS142"/>
    <mergeCell ref="BU141:BU142"/>
    <mergeCell ref="BU138:BU139"/>
    <mergeCell ref="BU144:BU145"/>
    <mergeCell ref="BU136:BU137"/>
    <mergeCell ref="BN136:BN137"/>
    <mergeCell ref="BO136:BO137"/>
    <mergeCell ref="BM144:BM145"/>
    <mergeCell ref="BN144:BN145"/>
    <mergeCell ref="BO144:BO145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CD152:CD153"/>
    <mergeCell ref="CE152:CE153"/>
    <mergeCell ref="CH152:CH153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CS86:CS87"/>
    <mergeCell ref="CT86:CT87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</mergeCells>
  <conditionalFormatting sqref="DA5:DB16 DA22:DB24 DA27:DB28 DI152:DI159 DK152:DK159 DM152:DM159 DI191:DI194 DK191:DK194 DM191:DM194 DA32:DB32 DA152:DB159 DA191:DB194 DA29">
    <cfRule type="cellIs" dxfId="380" priority="565" operator="greaterThanOrEqual">
      <formula>0</formula>
    </cfRule>
    <cfRule type="cellIs" dxfId="379" priority="566" operator="lessThan">
      <formula>0</formula>
    </cfRule>
  </conditionalFormatting>
  <conditionalFormatting sqref="DI5:DK16 DI22:DK24 DI27:DK27 DI32:DK32 DI28:DI29 DK28:DK29">
    <cfRule type="cellIs" dxfId="378" priority="563" operator="greaterThanOrEqual">
      <formula>0</formula>
    </cfRule>
    <cfRule type="cellIs" dxfId="377" priority="564" operator="lessThan">
      <formula>0</formula>
    </cfRule>
  </conditionalFormatting>
  <conditionalFormatting sqref="DA62:DB62">
    <cfRule type="cellIs" dxfId="376" priority="561" operator="greaterThanOrEqual">
      <formula>0</formula>
    </cfRule>
    <cfRule type="cellIs" dxfId="375" priority="562" operator="lessThan">
      <formula>0</formula>
    </cfRule>
  </conditionalFormatting>
  <conditionalFormatting sqref="DI62:DK62">
    <cfRule type="cellIs" dxfId="374" priority="559" operator="greaterThanOrEqual">
      <formula>0</formula>
    </cfRule>
    <cfRule type="cellIs" dxfId="373" priority="560" operator="lessThan">
      <formula>0</formula>
    </cfRule>
  </conditionalFormatting>
  <conditionalFormatting sqref="DA63:DB81">
    <cfRule type="cellIs" dxfId="372" priority="557" operator="greaterThanOrEqual">
      <formula>0</formula>
    </cfRule>
    <cfRule type="cellIs" dxfId="371" priority="558" operator="lessThan">
      <formula>0</formula>
    </cfRule>
  </conditionalFormatting>
  <conditionalFormatting sqref="DI63:DK81">
    <cfRule type="cellIs" dxfId="370" priority="555" operator="greaterThanOrEqual">
      <formula>0</formula>
    </cfRule>
    <cfRule type="cellIs" dxfId="369" priority="556" operator="lessThan">
      <formula>0</formula>
    </cfRule>
  </conditionalFormatting>
  <conditionalFormatting sqref="DA82:DB83">
    <cfRule type="cellIs" dxfId="368" priority="547" operator="greaterThanOrEqual">
      <formula>0</formula>
    </cfRule>
    <cfRule type="cellIs" dxfId="367" priority="548" operator="lessThan">
      <formula>0</formula>
    </cfRule>
  </conditionalFormatting>
  <conditionalFormatting sqref="DI82:DK83">
    <cfRule type="cellIs" dxfId="366" priority="545" operator="greaterThanOrEqual">
      <formula>0</formula>
    </cfRule>
    <cfRule type="cellIs" dxfId="365" priority="546" operator="lessThan">
      <formula>0</formula>
    </cfRule>
  </conditionalFormatting>
  <conditionalFormatting sqref="DM5:DM16 DM22:DM24 DM27:DM32">
    <cfRule type="cellIs" dxfId="364" priority="543" operator="greaterThanOrEqual">
      <formula>0</formula>
    </cfRule>
    <cfRule type="cellIs" dxfId="363" priority="544" operator="lessThan">
      <formula>0</formula>
    </cfRule>
  </conditionalFormatting>
  <conditionalFormatting sqref="DM62">
    <cfRule type="cellIs" dxfId="362" priority="541" operator="greaterThanOrEqual">
      <formula>0</formula>
    </cfRule>
    <cfRule type="cellIs" dxfId="361" priority="542" operator="lessThan">
      <formula>0</formula>
    </cfRule>
  </conditionalFormatting>
  <conditionalFormatting sqref="DM63:DM81">
    <cfRule type="cellIs" dxfId="360" priority="539" operator="greaterThanOrEqual">
      <formula>0</formula>
    </cfRule>
    <cfRule type="cellIs" dxfId="359" priority="540" operator="lessThan">
      <formula>0</formula>
    </cfRule>
  </conditionalFormatting>
  <conditionalFormatting sqref="DI86:DK86">
    <cfRule type="cellIs" dxfId="358" priority="519" operator="greaterThanOrEqual">
      <formula>0</formula>
    </cfRule>
    <cfRule type="cellIs" dxfId="357" priority="520" operator="lessThan">
      <formula>0</formula>
    </cfRule>
  </conditionalFormatting>
  <conditionalFormatting sqref="DM82:DM83">
    <cfRule type="cellIs" dxfId="356" priority="535" operator="greaterThanOrEqual">
      <formula>0</formula>
    </cfRule>
    <cfRule type="cellIs" dxfId="355" priority="536" operator="lessThan">
      <formula>0</formula>
    </cfRule>
  </conditionalFormatting>
  <conditionalFormatting sqref="DA33:DB33">
    <cfRule type="cellIs" dxfId="354" priority="533" operator="greaterThanOrEqual">
      <formula>0</formula>
    </cfRule>
    <cfRule type="cellIs" dxfId="353" priority="534" operator="lessThan">
      <formula>0</formula>
    </cfRule>
  </conditionalFormatting>
  <conditionalFormatting sqref="DI33:DK33">
    <cfRule type="cellIs" dxfId="352" priority="531" operator="greaterThanOrEqual">
      <formula>0</formula>
    </cfRule>
    <cfRule type="cellIs" dxfId="351" priority="532" operator="lessThan">
      <formula>0</formula>
    </cfRule>
  </conditionalFormatting>
  <conditionalFormatting sqref="DM33">
    <cfRule type="cellIs" dxfId="350" priority="529" operator="greaterThanOrEqual">
      <formula>0</formula>
    </cfRule>
    <cfRule type="cellIs" dxfId="349" priority="530" operator="lessThan">
      <formula>0</formula>
    </cfRule>
  </conditionalFormatting>
  <conditionalFormatting sqref="DA86:DB86">
    <cfRule type="cellIs" dxfId="348" priority="521" operator="greaterThanOrEqual">
      <formula>0</formula>
    </cfRule>
    <cfRule type="cellIs" dxfId="347" priority="522" operator="lessThan">
      <formula>0</formula>
    </cfRule>
  </conditionalFormatting>
  <conditionalFormatting sqref="DM86">
    <cfRule type="cellIs" dxfId="346" priority="517" operator="greaterThanOrEqual">
      <formula>0</formula>
    </cfRule>
    <cfRule type="cellIs" dxfId="345" priority="518" operator="lessThan">
      <formula>0</formula>
    </cfRule>
  </conditionalFormatting>
  <conditionalFormatting sqref="AL22:AP25 DL60 BA2:BB2 DL98:DL99 DL127:DL128 CC5:CL25 CD121:CL121 CC62:CL83 CC101:CL113 DL101:DL114 DL163:DL165 CC163:CL165 BC163:BF165 CC59:CL60 AU59:AY60 AL59:AP60 BC59:BF60 AL98:AP99 AU98:AY99 CC98:CL99 BC98:BF99 CC127:CL128 CC27:CL28 CC26:CD26 CC32:CL33 CC29:CD29 AU162:AY165 AL162:AP165 AL198:AP202 DL201:DL202 CC201:CL202 BC201:BF202 AU198:AY202 AL93:AP93 AU93:AY93 DL93 CC93:CL93 DL121 DL22:DL24 DL27 DL32:DL33 AL62:AP83 AU62:AY83 DL62:DL83 CC116:CL116 CD114:CL114 CD191:CH194 AL27:AP28 AL26 AP26 AL32:AP33 AL30:AP30 AL29 AP29 CG30:CG31 CP26 DL205:DL1048576 CC205:CL1048576 BC205:BF1048576 AU205:AY1048576 AL205:AP1048576 CI86 CP29 DL86 AL86:AP87 AU86:AY88 CO27:CP28 CO32:CP33 CO201:CP202 CO205:CP1048576 CO3:CP3 CO150:CO151 CO163:CP197 CO152:CP161 CO90:CP149 CO30:CP30 CO48:CP86 CO5:CP25">
    <cfRule type="cellIs" dxfId="344" priority="516" operator="lessThan">
      <formula>0</formula>
    </cfRule>
  </conditionalFormatting>
  <conditionalFormatting sqref="DL3 DL5:DL16">
    <cfRule type="cellIs" dxfId="343" priority="515" operator="lessThan">
      <formula>0</formula>
    </cfRule>
  </conditionalFormatting>
  <conditionalFormatting sqref="DA17:DB21">
    <cfRule type="cellIs" dxfId="342" priority="512" operator="greaterThanOrEqual">
      <formula>0</formula>
    </cfRule>
    <cfRule type="cellIs" dxfId="341" priority="513" operator="lessThan">
      <formula>0</formula>
    </cfRule>
  </conditionalFormatting>
  <conditionalFormatting sqref="DI17:DK21">
    <cfRule type="cellIs" dxfId="340" priority="510" operator="greaterThanOrEqual">
      <formula>0</formula>
    </cfRule>
    <cfRule type="cellIs" dxfId="339" priority="511" operator="lessThan">
      <formula>0</formula>
    </cfRule>
  </conditionalFormatting>
  <conditionalFormatting sqref="DM17:DM21">
    <cfRule type="cellIs" dxfId="338" priority="508" operator="greaterThanOrEqual">
      <formula>0</formula>
    </cfRule>
    <cfRule type="cellIs" dxfId="337" priority="509" operator="lessThan">
      <formula>0</formula>
    </cfRule>
  </conditionalFormatting>
  <conditionalFormatting sqref="DL17:DL21">
    <cfRule type="cellIs" dxfId="336" priority="506" operator="lessThan">
      <formula>0</formula>
    </cfRule>
  </conditionalFormatting>
  <conditionalFormatting sqref="DA101:DB114">
    <cfRule type="cellIs" dxfId="335" priority="502" operator="greaterThanOrEqual">
      <formula>0</formula>
    </cfRule>
    <cfRule type="cellIs" dxfId="334" priority="503" operator="lessThan">
      <formula>0</formula>
    </cfRule>
  </conditionalFormatting>
  <conditionalFormatting sqref="DI101:DK114">
    <cfRule type="cellIs" dxfId="333" priority="500" operator="greaterThanOrEqual">
      <formula>0</formula>
    </cfRule>
    <cfRule type="cellIs" dxfId="332" priority="501" operator="lessThan">
      <formula>0</formula>
    </cfRule>
  </conditionalFormatting>
  <conditionalFormatting sqref="DM101:DM114">
    <cfRule type="cellIs" dxfId="331" priority="488" operator="greaterThanOrEqual">
      <formula>0</formula>
    </cfRule>
    <cfRule type="cellIs" dxfId="330" priority="489" operator="lessThan">
      <formula>0</formula>
    </cfRule>
  </conditionalFormatting>
  <conditionalFormatting sqref="CP2">
    <cfRule type="cellIs" dxfId="329" priority="478" operator="lessThan">
      <formula>0</formula>
    </cfRule>
  </conditionalFormatting>
  <conditionalFormatting sqref="DL2">
    <cfRule type="cellIs" dxfId="328" priority="477" operator="lessThan">
      <formula>0</formula>
    </cfRule>
  </conditionalFormatting>
  <conditionalFormatting sqref="AL2:AP2">
    <cfRule type="cellIs" dxfId="327" priority="472" operator="lessThan">
      <formula>0</formula>
    </cfRule>
  </conditionalFormatting>
  <conditionalFormatting sqref="AL127:AP128 AL101:AP114 AL3:AP3 AL116:AP116 AL5:AP16">
    <cfRule type="cellIs" dxfId="326" priority="475" operator="lessThan">
      <formula>0</formula>
    </cfRule>
  </conditionalFormatting>
  <conditionalFormatting sqref="AL17:AP21">
    <cfRule type="cellIs" dxfId="325" priority="474" operator="lessThan">
      <formula>0</formula>
    </cfRule>
  </conditionalFormatting>
  <conditionalFormatting sqref="AU127:AY128 AU101:AY114 AU3:AY3 AU121:AY121 AU116:AY116 AU22:AY29 AU32:AY33 AU30 AU5:AY16">
    <cfRule type="cellIs" dxfId="324" priority="471" operator="lessThan">
      <formula>0</formula>
    </cfRule>
  </conditionalFormatting>
  <conditionalFormatting sqref="AU17:AY21">
    <cfRule type="cellIs" dxfId="323" priority="470" operator="lessThan">
      <formula>0</formula>
    </cfRule>
  </conditionalFormatting>
  <conditionalFormatting sqref="AU2:AY2">
    <cfRule type="cellIs" dxfId="322" priority="468" operator="lessThan">
      <formula>0</formula>
    </cfRule>
  </conditionalFormatting>
  <conditionalFormatting sqref="BC62:BF83 BC93:BF93">
    <cfRule type="cellIs" dxfId="321" priority="467" operator="lessThan">
      <formula>0</formula>
    </cfRule>
  </conditionalFormatting>
  <conditionalFormatting sqref="BC127:BF128 BC3:BF3 BF5:BF16 BF22:BF29 BC22:BD25 BC5:BD16 BC101:BF114 BC121:BF121 BC116:BF116 BC27:BD29 BC32:BD33 BF32:BF33">
    <cfRule type="cellIs" dxfId="320" priority="466" operator="lessThan">
      <formula>0</formula>
    </cfRule>
  </conditionalFormatting>
  <conditionalFormatting sqref="BF17:BF21 BC17:BD21">
    <cfRule type="cellIs" dxfId="319" priority="465" operator="lessThan">
      <formula>0</formula>
    </cfRule>
  </conditionalFormatting>
  <conditionalFormatting sqref="BH2:BI2">
    <cfRule type="cellIs" dxfId="318" priority="462" operator="lessThan">
      <formula>0</formula>
    </cfRule>
  </conditionalFormatting>
  <conditionalFormatting sqref="BE5:BE16 BE22:BE29 BE32:BE33">
    <cfRule type="cellIs" dxfId="317" priority="460" operator="lessThan">
      <formula>0</formula>
    </cfRule>
  </conditionalFormatting>
  <conditionalFormatting sqref="BE17:BE21">
    <cfRule type="cellIs" dxfId="316" priority="459" operator="lessThan">
      <formula>0</formula>
    </cfRule>
  </conditionalFormatting>
  <conditionalFormatting sqref="CC3:CG3 CI3:CL3">
    <cfRule type="cellIs" dxfId="315" priority="458" operator="lessThan">
      <formula>0</formula>
    </cfRule>
  </conditionalFormatting>
  <conditionalFormatting sqref="CC2">
    <cfRule type="cellIs" dxfId="314" priority="455" operator="lessThan">
      <formula>0</formula>
    </cfRule>
  </conditionalFormatting>
  <conditionalFormatting sqref="CC121">
    <cfRule type="cellIs" dxfId="313" priority="452" operator="lessThan">
      <formula>0</formula>
    </cfRule>
  </conditionalFormatting>
  <conditionalFormatting sqref="DL61">
    <cfRule type="cellIs" dxfId="312" priority="450" operator="lessThan">
      <formula>0</formula>
    </cfRule>
  </conditionalFormatting>
  <conditionalFormatting sqref="AL61:AP61">
    <cfRule type="cellIs" dxfId="311" priority="449" operator="lessThan">
      <formula>0</formula>
    </cfRule>
  </conditionalFormatting>
  <conditionalFormatting sqref="AU61:AY61">
    <cfRule type="cellIs" dxfId="310" priority="448" operator="lessThan">
      <formula>0</formula>
    </cfRule>
  </conditionalFormatting>
  <conditionalFormatting sqref="BC61:BF61">
    <cfRule type="cellIs" dxfId="309" priority="447" operator="lessThan">
      <formula>0</formula>
    </cfRule>
  </conditionalFormatting>
  <conditionalFormatting sqref="CC61:CG61 CI61:CL61">
    <cfRule type="cellIs" dxfId="308" priority="446" operator="lessThan">
      <formula>0</formula>
    </cfRule>
  </conditionalFormatting>
  <conditionalFormatting sqref="DL100">
    <cfRule type="cellIs" dxfId="307" priority="444" operator="lessThan">
      <formula>0</formula>
    </cfRule>
  </conditionalFormatting>
  <conditionalFormatting sqref="AL100:AP100">
    <cfRule type="cellIs" dxfId="306" priority="443" operator="lessThan">
      <formula>0</formula>
    </cfRule>
  </conditionalFormatting>
  <conditionalFormatting sqref="AU100:AY100">
    <cfRule type="cellIs" dxfId="305" priority="442" operator="lessThan">
      <formula>0</formula>
    </cfRule>
  </conditionalFormatting>
  <conditionalFormatting sqref="BC100:BF100">
    <cfRule type="cellIs" dxfId="304" priority="441" operator="lessThan">
      <formula>0</formula>
    </cfRule>
  </conditionalFormatting>
  <conditionalFormatting sqref="CC100:CL100">
    <cfRule type="cellIs" dxfId="303" priority="440" operator="lessThan">
      <formula>0</formula>
    </cfRule>
  </conditionalFormatting>
  <conditionalFormatting sqref="AL129:AP129">
    <cfRule type="cellIs" dxfId="302" priority="437" operator="lessThan">
      <formula>0</formula>
    </cfRule>
  </conditionalFormatting>
  <conditionalFormatting sqref="AU129:AY129">
    <cfRule type="cellIs" dxfId="301" priority="436" operator="lessThan">
      <formula>0</formula>
    </cfRule>
  </conditionalFormatting>
  <conditionalFormatting sqref="BC129:BF129">
    <cfRule type="cellIs" dxfId="300" priority="435" operator="lessThan">
      <formula>0</formula>
    </cfRule>
  </conditionalFormatting>
  <conditionalFormatting sqref="CC129:CL129">
    <cfRule type="cellIs" dxfId="299" priority="434" operator="lessThan">
      <formula>0</formula>
    </cfRule>
  </conditionalFormatting>
  <conditionalFormatting sqref="BE150">
    <cfRule type="cellIs" dxfId="298" priority="296" operator="lessThan">
      <formula>0</formula>
    </cfRule>
  </conditionalFormatting>
  <conditionalFormatting sqref="CC130:CL135 DL130:DL135">
    <cfRule type="cellIs" dxfId="297" priority="433" operator="lessThan">
      <formula>0</formula>
    </cfRule>
  </conditionalFormatting>
  <conditionalFormatting sqref="DA130:DB135">
    <cfRule type="cellIs" dxfId="296" priority="431" operator="greaterThanOrEqual">
      <formula>0</formula>
    </cfRule>
    <cfRule type="cellIs" dxfId="295" priority="432" operator="lessThan">
      <formula>0</formula>
    </cfRule>
  </conditionalFormatting>
  <conditionalFormatting sqref="DI130:DK135">
    <cfRule type="cellIs" dxfId="294" priority="429" operator="greaterThanOrEqual">
      <formula>0</formula>
    </cfRule>
    <cfRule type="cellIs" dxfId="293" priority="430" operator="lessThan">
      <formula>0</formula>
    </cfRule>
  </conditionalFormatting>
  <conditionalFormatting sqref="DM130:DM135">
    <cfRule type="cellIs" dxfId="292" priority="427" operator="greaterThanOrEqual">
      <formula>0</formula>
    </cfRule>
    <cfRule type="cellIs" dxfId="291" priority="428" operator="lessThan">
      <formula>0</formula>
    </cfRule>
  </conditionalFormatting>
  <conditionalFormatting sqref="AL130:AP135">
    <cfRule type="cellIs" dxfId="290" priority="426" operator="lessThan">
      <formula>0</formula>
    </cfRule>
  </conditionalFormatting>
  <conditionalFormatting sqref="AU130:AY135">
    <cfRule type="cellIs" dxfId="289" priority="425" operator="lessThan">
      <formula>0</formula>
    </cfRule>
  </conditionalFormatting>
  <conditionalFormatting sqref="BC130:BF135">
    <cfRule type="cellIs" dxfId="288" priority="424" operator="lessThan">
      <formula>0</formula>
    </cfRule>
  </conditionalFormatting>
  <conditionalFormatting sqref="CC140:CL140 DL140">
    <cfRule type="cellIs" dxfId="287" priority="423" operator="lessThan">
      <formula>0</formula>
    </cfRule>
  </conditionalFormatting>
  <conditionalFormatting sqref="DA140:DB140">
    <cfRule type="cellIs" dxfId="286" priority="421" operator="greaterThanOrEqual">
      <formula>0</formula>
    </cfRule>
    <cfRule type="cellIs" dxfId="285" priority="422" operator="lessThan">
      <formula>0</formula>
    </cfRule>
  </conditionalFormatting>
  <conditionalFormatting sqref="DI140:DK140">
    <cfRule type="cellIs" dxfId="284" priority="419" operator="greaterThanOrEqual">
      <formula>0</formula>
    </cfRule>
    <cfRule type="cellIs" dxfId="283" priority="420" operator="lessThan">
      <formula>0</formula>
    </cfRule>
  </conditionalFormatting>
  <conditionalFormatting sqref="DM140">
    <cfRule type="cellIs" dxfId="282" priority="417" operator="greaterThanOrEqual">
      <formula>0</formula>
    </cfRule>
    <cfRule type="cellIs" dxfId="281" priority="418" operator="lessThan">
      <formula>0</formula>
    </cfRule>
  </conditionalFormatting>
  <conditionalFormatting sqref="AL140:AP140">
    <cfRule type="cellIs" dxfId="280" priority="416" operator="lessThan">
      <formula>0</formula>
    </cfRule>
  </conditionalFormatting>
  <conditionalFormatting sqref="AU140:AY140">
    <cfRule type="cellIs" dxfId="279" priority="415" operator="lessThan">
      <formula>0</formula>
    </cfRule>
  </conditionalFormatting>
  <conditionalFormatting sqref="BC140:BF140">
    <cfRule type="cellIs" dxfId="278" priority="414" operator="lessThan">
      <formula>0</formula>
    </cfRule>
  </conditionalFormatting>
  <conditionalFormatting sqref="CC143:CL143 DL143">
    <cfRule type="cellIs" dxfId="277" priority="413" operator="lessThan">
      <formula>0</formula>
    </cfRule>
  </conditionalFormatting>
  <conditionalFormatting sqref="DA143:DB143">
    <cfRule type="cellIs" dxfId="276" priority="411" operator="greaterThanOrEqual">
      <formula>0</formula>
    </cfRule>
    <cfRule type="cellIs" dxfId="275" priority="412" operator="lessThan">
      <formula>0</formula>
    </cfRule>
  </conditionalFormatting>
  <conditionalFormatting sqref="DI143:DK143">
    <cfRule type="cellIs" dxfId="274" priority="409" operator="greaterThanOrEqual">
      <formula>0</formula>
    </cfRule>
    <cfRule type="cellIs" dxfId="273" priority="410" operator="lessThan">
      <formula>0</formula>
    </cfRule>
  </conditionalFormatting>
  <conditionalFormatting sqref="DM143">
    <cfRule type="cellIs" dxfId="272" priority="407" operator="greaterThanOrEqual">
      <formula>0</formula>
    </cfRule>
    <cfRule type="cellIs" dxfId="271" priority="408" operator="lessThan">
      <formula>0</formula>
    </cfRule>
  </conditionalFormatting>
  <conditionalFormatting sqref="AL143:AP143">
    <cfRule type="cellIs" dxfId="270" priority="406" operator="lessThan">
      <formula>0</formula>
    </cfRule>
  </conditionalFormatting>
  <conditionalFormatting sqref="AU143:AY143">
    <cfRule type="cellIs" dxfId="269" priority="405" operator="lessThan">
      <formula>0</formula>
    </cfRule>
  </conditionalFormatting>
  <conditionalFormatting sqref="BC143:BF143">
    <cfRule type="cellIs" dxfId="268" priority="404" operator="lessThan">
      <formula>0</formula>
    </cfRule>
  </conditionalFormatting>
  <conditionalFormatting sqref="CC146:CL148 DL146:DL148">
    <cfRule type="cellIs" dxfId="267" priority="403" operator="lessThan">
      <formula>0</formula>
    </cfRule>
  </conditionalFormatting>
  <conditionalFormatting sqref="DA146:DB148">
    <cfRule type="cellIs" dxfId="266" priority="401" operator="greaterThanOrEqual">
      <formula>0</formula>
    </cfRule>
    <cfRule type="cellIs" dxfId="265" priority="402" operator="lessThan">
      <formula>0</formula>
    </cfRule>
  </conditionalFormatting>
  <conditionalFormatting sqref="DI146:DK148">
    <cfRule type="cellIs" dxfId="264" priority="399" operator="greaterThanOrEqual">
      <formula>0</formula>
    </cfRule>
    <cfRule type="cellIs" dxfId="263" priority="400" operator="lessThan">
      <formula>0</formula>
    </cfRule>
  </conditionalFormatting>
  <conditionalFormatting sqref="DM146:DM148">
    <cfRule type="cellIs" dxfId="262" priority="397" operator="greaterThanOrEqual">
      <formula>0</formula>
    </cfRule>
    <cfRule type="cellIs" dxfId="261" priority="398" operator="lessThan">
      <formula>0</formula>
    </cfRule>
  </conditionalFormatting>
  <conditionalFormatting sqref="AL146:AP148">
    <cfRule type="cellIs" dxfId="260" priority="396" operator="lessThan">
      <formula>0</formula>
    </cfRule>
  </conditionalFormatting>
  <conditionalFormatting sqref="AU146:AY148">
    <cfRule type="cellIs" dxfId="259" priority="395" operator="lessThan">
      <formula>0</formula>
    </cfRule>
  </conditionalFormatting>
  <conditionalFormatting sqref="BC146:BF148">
    <cfRule type="cellIs" dxfId="258" priority="394" operator="lessThan">
      <formula>0</formula>
    </cfRule>
  </conditionalFormatting>
  <conditionalFormatting sqref="CC167:CL182 DL167:DL182">
    <cfRule type="cellIs" dxfId="257" priority="393" operator="lessThan">
      <formula>0</formula>
    </cfRule>
  </conditionalFormatting>
  <conditionalFormatting sqref="DA167:DB182">
    <cfRule type="cellIs" dxfId="256" priority="391" operator="greaterThanOrEqual">
      <formula>0</formula>
    </cfRule>
    <cfRule type="cellIs" dxfId="255" priority="392" operator="lessThan">
      <formula>0</formula>
    </cfRule>
  </conditionalFormatting>
  <conditionalFormatting sqref="DI167:DK182">
    <cfRule type="cellIs" dxfId="254" priority="389" operator="greaterThanOrEqual">
      <formula>0</formula>
    </cfRule>
    <cfRule type="cellIs" dxfId="253" priority="390" operator="lessThan">
      <formula>0</formula>
    </cfRule>
  </conditionalFormatting>
  <conditionalFormatting sqref="DM167:DM182">
    <cfRule type="cellIs" dxfId="252" priority="387" operator="greaterThanOrEqual">
      <formula>0</formula>
    </cfRule>
    <cfRule type="cellIs" dxfId="251" priority="388" operator="lessThan">
      <formula>0</formula>
    </cfRule>
  </conditionalFormatting>
  <conditionalFormatting sqref="AL167:AP182">
    <cfRule type="cellIs" dxfId="250" priority="386" operator="lessThan">
      <formula>0</formula>
    </cfRule>
  </conditionalFormatting>
  <conditionalFormatting sqref="AU167:AY182">
    <cfRule type="cellIs" dxfId="249" priority="385" operator="lessThan">
      <formula>0</formula>
    </cfRule>
  </conditionalFormatting>
  <conditionalFormatting sqref="BC167:BF182">
    <cfRule type="cellIs" dxfId="248" priority="384" operator="lessThan">
      <formula>0</formula>
    </cfRule>
  </conditionalFormatting>
  <conditionalFormatting sqref="CC189:CL189 DL189">
    <cfRule type="cellIs" dxfId="247" priority="383" operator="lessThan">
      <formula>0</formula>
    </cfRule>
  </conditionalFormatting>
  <conditionalFormatting sqref="DA189:DB189">
    <cfRule type="cellIs" dxfId="246" priority="381" operator="greaterThanOrEqual">
      <formula>0</formula>
    </cfRule>
    <cfRule type="cellIs" dxfId="245" priority="382" operator="lessThan">
      <formula>0</formula>
    </cfRule>
  </conditionalFormatting>
  <conditionalFormatting sqref="DI189:DK189">
    <cfRule type="cellIs" dxfId="244" priority="379" operator="greaterThanOrEqual">
      <formula>0</formula>
    </cfRule>
    <cfRule type="cellIs" dxfId="243" priority="380" operator="lessThan">
      <formula>0</formula>
    </cfRule>
  </conditionalFormatting>
  <conditionalFormatting sqref="DM189">
    <cfRule type="cellIs" dxfId="242" priority="377" operator="greaterThanOrEqual">
      <formula>0</formula>
    </cfRule>
    <cfRule type="cellIs" dxfId="241" priority="378" operator="lessThan">
      <formula>0</formula>
    </cfRule>
  </conditionalFormatting>
  <conditionalFormatting sqref="AL189:AP189">
    <cfRule type="cellIs" dxfId="240" priority="376" operator="lessThan">
      <formula>0</formula>
    </cfRule>
  </conditionalFormatting>
  <conditionalFormatting sqref="AU189:AY189">
    <cfRule type="cellIs" dxfId="239" priority="375" operator="lessThan">
      <formula>0</formula>
    </cfRule>
  </conditionalFormatting>
  <conditionalFormatting sqref="BC189:BF189">
    <cfRule type="cellIs" dxfId="238" priority="374" operator="lessThan">
      <formula>0</formula>
    </cfRule>
  </conditionalFormatting>
  <conditionalFormatting sqref="DA136:DB137">
    <cfRule type="cellIs" dxfId="237" priority="372" operator="greaterThanOrEqual">
      <formula>0</formula>
    </cfRule>
    <cfRule type="cellIs" dxfId="236" priority="373" operator="lessThan">
      <formula>0</formula>
    </cfRule>
  </conditionalFormatting>
  <conditionalFormatting sqref="DI136:DK137">
    <cfRule type="cellIs" dxfId="235" priority="370" operator="greaterThanOrEqual">
      <formula>0</formula>
    </cfRule>
    <cfRule type="cellIs" dxfId="234" priority="371" operator="lessThan">
      <formula>0</formula>
    </cfRule>
  </conditionalFormatting>
  <conditionalFormatting sqref="DM136:DM137">
    <cfRule type="cellIs" dxfId="233" priority="368" operator="greaterThanOrEqual">
      <formula>0</formula>
    </cfRule>
    <cfRule type="cellIs" dxfId="232" priority="369" operator="lessThan">
      <formula>0</formula>
    </cfRule>
  </conditionalFormatting>
  <conditionalFormatting sqref="DL136:DL137 AL136:AP137 CC136:CL136 CC137:CG137 CI137:CL137">
    <cfRule type="cellIs" dxfId="231" priority="367" operator="lessThan">
      <formula>0</formula>
    </cfRule>
  </conditionalFormatting>
  <conditionalFormatting sqref="AU136:AY137">
    <cfRule type="cellIs" dxfId="230" priority="366" operator="lessThan">
      <formula>0</formula>
    </cfRule>
  </conditionalFormatting>
  <conditionalFormatting sqref="BF136:BF137 BC136:BD137">
    <cfRule type="cellIs" dxfId="229" priority="365" operator="lessThan">
      <formula>0</formula>
    </cfRule>
  </conditionalFormatting>
  <conditionalFormatting sqref="BE136:BE137">
    <cfRule type="cellIs" dxfId="228" priority="364" operator="lessThan">
      <formula>0</formula>
    </cfRule>
  </conditionalFormatting>
  <conditionalFormatting sqref="DA138:DB139">
    <cfRule type="cellIs" dxfId="227" priority="362" operator="greaterThanOrEqual">
      <formula>0</formula>
    </cfRule>
    <cfRule type="cellIs" dxfId="226" priority="363" operator="lessThan">
      <formula>0</formula>
    </cfRule>
  </conditionalFormatting>
  <conditionalFormatting sqref="DI138:DK139">
    <cfRule type="cellIs" dxfId="225" priority="360" operator="greaterThanOrEqual">
      <formula>0</formula>
    </cfRule>
    <cfRule type="cellIs" dxfId="224" priority="361" operator="lessThan">
      <formula>0</formula>
    </cfRule>
  </conditionalFormatting>
  <conditionalFormatting sqref="DM138:DM139">
    <cfRule type="cellIs" dxfId="223" priority="358" operator="greaterThanOrEqual">
      <formula>0</formula>
    </cfRule>
    <cfRule type="cellIs" dxfId="222" priority="359" operator="lessThan">
      <formula>0</formula>
    </cfRule>
  </conditionalFormatting>
  <conditionalFormatting sqref="DL138:DL139 AL138:AP139 CC138:CL138 CC139:CG139 CI139:CL139">
    <cfRule type="cellIs" dxfId="221" priority="357" operator="lessThan">
      <formula>0</formula>
    </cfRule>
  </conditionalFormatting>
  <conditionalFormatting sqref="AU138:AY139">
    <cfRule type="cellIs" dxfId="220" priority="356" operator="lessThan">
      <formula>0</formula>
    </cfRule>
  </conditionalFormatting>
  <conditionalFormatting sqref="BF138:BF139 BC138:BD139">
    <cfRule type="cellIs" dxfId="219" priority="355" operator="lessThan">
      <formula>0</formula>
    </cfRule>
  </conditionalFormatting>
  <conditionalFormatting sqref="BE138:BE139">
    <cfRule type="cellIs" dxfId="218" priority="354" operator="lessThan">
      <formula>0</formula>
    </cfRule>
  </conditionalFormatting>
  <conditionalFormatting sqref="DA141:DB142">
    <cfRule type="cellIs" dxfId="217" priority="352" operator="greaterThanOrEqual">
      <formula>0</formula>
    </cfRule>
    <cfRule type="cellIs" dxfId="216" priority="353" operator="lessThan">
      <formula>0</formula>
    </cfRule>
  </conditionalFormatting>
  <conditionalFormatting sqref="DI141:DK142">
    <cfRule type="cellIs" dxfId="215" priority="350" operator="greaterThanOrEqual">
      <formula>0</formula>
    </cfRule>
    <cfRule type="cellIs" dxfId="214" priority="351" operator="lessThan">
      <formula>0</formula>
    </cfRule>
  </conditionalFormatting>
  <conditionalFormatting sqref="DM141:DM142">
    <cfRule type="cellIs" dxfId="213" priority="348" operator="greaterThanOrEqual">
      <formula>0</formula>
    </cfRule>
    <cfRule type="cellIs" dxfId="212" priority="349" operator="lessThan">
      <formula>0</formula>
    </cfRule>
  </conditionalFormatting>
  <conditionalFormatting sqref="DL141:DL142 AL141:AP142 CC141:CL141 CC142:CG142 CI142:CL142">
    <cfRule type="cellIs" dxfId="211" priority="347" operator="lessThan">
      <formula>0</formula>
    </cfRule>
  </conditionalFormatting>
  <conditionalFormatting sqref="AU141:AY142">
    <cfRule type="cellIs" dxfId="210" priority="346" operator="lessThan">
      <formula>0</formula>
    </cfRule>
  </conditionalFormatting>
  <conditionalFormatting sqref="BF141:BF142 BC141:BD142">
    <cfRule type="cellIs" dxfId="209" priority="345" operator="lessThan">
      <formula>0</formula>
    </cfRule>
  </conditionalFormatting>
  <conditionalFormatting sqref="BE141:BE142">
    <cfRule type="cellIs" dxfId="208" priority="344" operator="lessThan">
      <formula>0</formula>
    </cfRule>
  </conditionalFormatting>
  <conditionalFormatting sqref="DA144:DB145">
    <cfRule type="cellIs" dxfId="207" priority="342" operator="greaterThanOrEqual">
      <formula>0</formula>
    </cfRule>
    <cfRule type="cellIs" dxfId="206" priority="343" operator="lessThan">
      <formula>0</formula>
    </cfRule>
  </conditionalFormatting>
  <conditionalFormatting sqref="DI144:DK145">
    <cfRule type="cellIs" dxfId="205" priority="340" operator="greaterThanOrEqual">
      <formula>0</formula>
    </cfRule>
    <cfRule type="cellIs" dxfId="204" priority="341" operator="lessThan">
      <formula>0</formula>
    </cfRule>
  </conditionalFormatting>
  <conditionalFormatting sqref="DM144:DM145">
    <cfRule type="cellIs" dxfId="203" priority="338" operator="greaterThanOrEqual">
      <formula>0</formula>
    </cfRule>
    <cfRule type="cellIs" dxfId="202" priority="339" operator="lessThan">
      <formula>0</formula>
    </cfRule>
  </conditionalFormatting>
  <conditionalFormatting sqref="DL144:DL145 AL144:AP145 CC144:CL144 CC145:CG145 CI145:CL145">
    <cfRule type="cellIs" dxfId="201" priority="337" operator="lessThan">
      <formula>0</formula>
    </cfRule>
  </conditionalFormatting>
  <conditionalFormatting sqref="AU144:AY145">
    <cfRule type="cellIs" dxfId="200" priority="336" operator="lessThan">
      <formula>0</formula>
    </cfRule>
  </conditionalFormatting>
  <conditionalFormatting sqref="BF144:BF145 BC144:BD145">
    <cfRule type="cellIs" dxfId="199" priority="335" operator="lessThan">
      <formula>0</formula>
    </cfRule>
  </conditionalFormatting>
  <conditionalFormatting sqref="BE144:BE145">
    <cfRule type="cellIs" dxfId="198" priority="334" operator="lessThan">
      <formula>0</formula>
    </cfRule>
  </conditionalFormatting>
  <conditionalFormatting sqref="DA183:DB188">
    <cfRule type="cellIs" dxfId="197" priority="332" operator="greaterThanOrEqual">
      <formula>0</formula>
    </cfRule>
    <cfRule type="cellIs" dxfId="196" priority="333" operator="lessThan">
      <formula>0</formula>
    </cfRule>
  </conditionalFormatting>
  <conditionalFormatting sqref="DI183:DK188">
    <cfRule type="cellIs" dxfId="195" priority="330" operator="greaterThanOrEqual">
      <formula>0</formula>
    </cfRule>
    <cfRule type="cellIs" dxfId="194" priority="331" operator="lessThan">
      <formula>0</formula>
    </cfRule>
  </conditionalFormatting>
  <conditionalFormatting sqref="DM183:DM188">
    <cfRule type="cellIs" dxfId="193" priority="328" operator="greaterThanOrEqual">
      <formula>0</formula>
    </cfRule>
    <cfRule type="cellIs" dxfId="192" priority="329" operator="lessThan">
      <formula>0</formula>
    </cfRule>
  </conditionalFormatting>
  <conditionalFormatting sqref="DL183:DL188 AL183:AP188 CC183:CL183 CC185:CL185 CC184:CG184 CI184:CL184 CC187:CL187 CC186:CG186 CI186:CL186 CC188:CG188 CI188:CL188">
    <cfRule type="cellIs" dxfId="191" priority="327" operator="lessThan">
      <formula>0</formula>
    </cfRule>
  </conditionalFormatting>
  <conditionalFormatting sqref="AU183:AY188">
    <cfRule type="cellIs" dxfId="190" priority="326" operator="lessThan">
      <formula>0</formula>
    </cfRule>
  </conditionalFormatting>
  <conditionalFormatting sqref="BF183:BF188 BC183:BD188">
    <cfRule type="cellIs" dxfId="189" priority="325" operator="lessThan">
      <formula>0</formula>
    </cfRule>
  </conditionalFormatting>
  <conditionalFormatting sqref="BE183:BE188">
    <cfRule type="cellIs" dxfId="188" priority="324" operator="lessThan">
      <formula>0</formula>
    </cfRule>
  </conditionalFormatting>
  <conditionalFormatting sqref="CC149:CL149 DL149">
    <cfRule type="cellIs" dxfId="187" priority="323" operator="lessThan">
      <formula>0</formula>
    </cfRule>
  </conditionalFormatting>
  <conditionalFormatting sqref="DA149:DB149">
    <cfRule type="cellIs" dxfId="186" priority="321" operator="greaterThanOrEqual">
      <formula>0</formula>
    </cfRule>
    <cfRule type="cellIs" dxfId="185" priority="322" operator="lessThan">
      <formula>0</formula>
    </cfRule>
  </conditionalFormatting>
  <conditionalFormatting sqref="DI149:DK149">
    <cfRule type="cellIs" dxfId="184" priority="319" operator="greaterThanOrEqual">
      <formula>0</formula>
    </cfRule>
    <cfRule type="cellIs" dxfId="183" priority="320" operator="lessThan">
      <formula>0</formula>
    </cfRule>
  </conditionalFormatting>
  <conditionalFormatting sqref="DM149">
    <cfRule type="cellIs" dxfId="182" priority="317" operator="greaterThanOrEqual">
      <formula>0</formula>
    </cfRule>
    <cfRule type="cellIs" dxfId="181" priority="318" operator="lessThan">
      <formula>0</formula>
    </cfRule>
  </conditionalFormatting>
  <conditionalFormatting sqref="AL149:AP149">
    <cfRule type="cellIs" dxfId="180" priority="316" operator="lessThan">
      <formula>0</formula>
    </cfRule>
  </conditionalFormatting>
  <conditionalFormatting sqref="AU149:AY149">
    <cfRule type="cellIs" dxfId="179" priority="315" operator="lessThan">
      <formula>0</formula>
    </cfRule>
  </conditionalFormatting>
  <conditionalFormatting sqref="BC149:BF149">
    <cfRule type="cellIs" dxfId="178" priority="314" operator="lessThan">
      <formula>0</formula>
    </cfRule>
  </conditionalFormatting>
  <conditionalFormatting sqref="CC190:CL190 DL190 DL195:DL197 CC195:CL197">
    <cfRule type="cellIs" dxfId="177" priority="313" operator="lessThan">
      <formula>0</formula>
    </cfRule>
  </conditionalFormatting>
  <conditionalFormatting sqref="DA190:DB190 DA195:DB197">
    <cfRule type="cellIs" dxfId="176" priority="311" operator="greaterThanOrEqual">
      <formula>0</formula>
    </cfRule>
    <cfRule type="cellIs" dxfId="175" priority="312" operator="lessThan">
      <formula>0</formula>
    </cfRule>
  </conditionalFormatting>
  <conditionalFormatting sqref="DI190:DK190 DI195:DK197">
    <cfRule type="cellIs" dxfId="174" priority="309" operator="greaterThanOrEqual">
      <formula>0</formula>
    </cfRule>
    <cfRule type="cellIs" dxfId="173" priority="310" operator="lessThan">
      <formula>0</formula>
    </cfRule>
  </conditionalFormatting>
  <conditionalFormatting sqref="DM190 DM195:DM197">
    <cfRule type="cellIs" dxfId="172" priority="307" operator="greaterThanOrEqual">
      <formula>0</formula>
    </cfRule>
    <cfRule type="cellIs" dxfId="171" priority="308" operator="lessThan">
      <formula>0</formula>
    </cfRule>
  </conditionalFormatting>
  <conditionalFormatting sqref="AL190:AP190 AL195:AP197">
    <cfRule type="cellIs" dxfId="170" priority="306" operator="lessThan">
      <formula>0</formula>
    </cfRule>
  </conditionalFormatting>
  <conditionalFormatting sqref="AU190:AY190 AU195:AY197">
    <cfRule type="cellIs" dxfId="169" priority="305" operator="lessThan">
      <formula>0</formula>
    </cfRule>
  </conditionalFormatting>
  <conditionalFormatting sqref="BC190:BF190 BC195:BF197">
    <cfRule type="cellIs" dxfId="168" priority="304" operator="lessThan">
      <formula>0</formula>
    </cfRule>
  </conditionalFormatting>
  <conditionalFormatting sqref="DA150:DB150 DI150:DK150">
    <cfRule type="cellIs" dxfId="167" priority="302" operator="greaterThanOrEqual">
      <formula>0</formula>
    </cfRule>
    <cfRule type="cellIs" dxfId="166" priority="303" operator="lessThan">
      <formula>0</formula>
    </cfRule>
  </conditionalFormatting>
  <conditionalFormatting sqref="DM150">
    <cfRule type="cellIs" dxfId="165" priority="300" operator="greaterThanOrEqual">
      <formula>0</formula>
    </cfRule>
    <cfRule type="cellIs" dxfId="164" priority="301" operator="lessThan">
      <formula>0</formula>
    </cfRule>
  </conditionalFormatting>
  <conditionalFormatting sqref="CP150 DL150:DL151 CC150:CL150 CC151:CG151 CI151:CL151 AL150:AP150 AL151:AN151">
    <cfRule type="cellIs" dxfId="163" priority="299" operator="lessThan">
      <formula>0</formula>
    </cfRule>
  </conditionalFormatting>
  <conditionalFormatting sqref="AU150:AY150 AU151:AX151">
    <cfRule type="cellIs" dxfId="162" priority="298" operator="lessThan">
      <formula>0</formula>
    </cfRule>
  </conditionalFormatting>
  <conditionalFormatting sqref="BF150 BC150:BD151">
    <cfRule type="cellIs" dxfId="161" priority="297" operator="lessThan">
      <formula>0</formula>
    </cfRule>
  </conditionalFormatting>
  <conditionalFormatting sqref="AL166:AP166">
    <cfRule type="cellIs" dxfId="160" priority="290" operator="lessThan">
      <formula>0</formula>
    </cfRule>
  </conditionalFormatting>
  <conditionalFormatting sqref="AU166:AY166">
    <cfRule type="cellIs" dxfId="159" priority="289" operator="lessThan">
      <formula>0</formula>
    </cfRule>
  </conditionalFormatting>
  <conditionalFormatting sqref="BC166:BF166">
    <cfRule type="cellIs" dxfId="158" priority="288" operator="lessThan">
      <formula>0</formula>
    </cfRule>
  </conditionalFormatting>
  <conditionalFormatting sqref="CC166:CG166 CI166:CL166">
    <cfRule type="cellIs" dxfId="157" priority="287" operator="lessThan">
      <formula>0</formula>
    </cfRule>
  </conditionalFormatting>
  <conditionalFormatting sqref="AU94:AY96 AL94:AP94 CC94:CL96 AL96:AP96">
    <cfRule type="cellIs" dxfId="156" priority="283" operator="lessThan">
      <formula>0</formula>
    </cfRule>
  </conditionalFormatting>
  <conditionalFormatting sqref="BC94:BF96">
    <cfRule type="cellIs" dxfId="155" priority="282" operator="lessThan">
      <formula>0</formula>
    </cfRule>
  </conditionalFormatting>
  <conditionalFormatting sqref="DL97 AL97:AP97 AU97:AY97 CC97:CL97">
    <cfRule type="cellIs" dxfId="154" priority="281" operator="lessThan">
      <formula>0</formula>
    </cfRule>
  </conditionalFormatting>
  <conditionalFormatting sqref="BC126:BF126">
    <cfRule type="cellIs" dxfId="153" priority="269" operator="lessThan">
      <formula>0</formula>
    </cfRule>
  </conditionalFormatting>
  <conditionalFormatting sqref="AL95:AP95">
    <cfRule type="cellIs" dxfId="152" priority="273" operator="lessThan">
      <formula>0</formula>
    </cfRule>
  </conditionalFormatting>
  <conditionalFormatting sqref="AL123:AP123">
    <cfRule type="cellIs" dxfId="151" priority="268" operator="lessThan">
      <formula>0</formula>
    </cfRule>
  </conditionalFormatting>
  <conditionalFormatting sqref="AU122:AY124 AL122:AP122 CC122:CL124 AL124:AP124">
    <cfRule type="cellIs" dxfId="150" priority="272" operator="lessThan">
      <formula>0</formula>
    </cfRule>
  </conditionalFormatting>
  <conditionalFormatting sqref="BC122:BF124">
    <cfRule type="cellIs" dxfId="149" priority="271" operator="lessThan">
      <formula>0</formula>
    </cfRule>
  </conditionalFormatting>
  <conditionalFormatting sqref="DL126 AL126:AP126 AU126:AY126 CC126:CL126">
    <cfRule type="cellIs" dxfId="148" priority="270" operator="lessThan">
      <formula>0</formula>
    </cfRule>
  </conditionalFormatting>
  <conditionalFormatting sqref="DL54 AU54:AY54 AL54:AP54 CC54:CL54">
    <cfRule type="cellIs" dxfId="147" priority="216" operator="lessThan">
      <formula>0</formula>
    </cfRule>
  </conditionalFormatting>
  <conditionalFormatting sqref="BC54:BF54">
    <cfRule type="cellIs" dxfId="146" priority="215" operator="lessThan">
      <formula>0</formula>
    </cfRule>
  </conditionalFormatting>
  <conditionalFormatting sqref="CH166">
    <cfRule type="cellIs" dxfId="145" priority="212" operator="lessThan">
      <formula>0</formula>
    </cfRule>
  </conditionalFormatting>
  <conditionalFormatting sqref="CH61">
    <cfRule type="cellIs" dxfId="144" priority="211" operator="lessThan">
      <formula>0</formula>
    </cfRule>
  </conditionalFormatting>
  <conditionalFormatting sqref="CH3">
    <cfRule type="cellIs" dxfId="143" priority="210" operator="lessThan">
      <formula>0</formula>
    </cfRule>
  </conditionalFormatting>
  <conditionalFormatting sqref="DL125 AL125:AP125 AU125:AY125 CC125:CL125">
    <cfRule type="cellIs" dxfId="142" priority="208" operator="lessThan">
      <formula>0</formula>
    </cfRule>
  </conditionalFormatting>
  <conditionalFormatting sqref="DA48:DB53">
    <cfRule type="cellIs" dxfId="141" priority="202" operator="greaterThanOrEqual">
      <formula>0</formula>
    </cfRule>
    <cfRule type="cellIs" dxfId="140" priority="203" operator="lessThan">
      <formula>0</formula>
    </cfRule>
  </conditionalFormatting>
  <conditionalFormatting sqref="DI48:DK53">
    <cfRule type="cellIs" dxfId="139" priority="200" operator="greaterThanOrEqual">
      <formula>0</formula>
    </cfRule>
    <cfRule type="cellIs" dxfId="138" priority="201" operator="lessThan">
      <formula>0</formula>
    </cfRule>
  </conditionalFormatting>
  <conditionalFormatting sqref="DM48:DM53">
    <cfRule type="cellIs" dxfId="137" priority="198" operator="greaterThanOrEqual">
      <formula>0</formula>
    </cfRule>
    <cfRule type="cellIs" dxfId="136" priority="199" operator="lessThan">
      <formula>0</formula>
    </cfRule>
  </conditionalFormatting>
  <conditionalFormatting sqref="DL48:DL53 AL34:AP34 CC48:CL53 AL48:AP53 CD42:CH47 CD34:CG41">
    <cfRule type="cellIs" dxfId="135" priority="197" operator="lessThan">
      <formula>0</formula>
    </cfRule>
  </conditionalFormatting>
  <conditionalFormatting sqref="AU34:AY34 AU48:AY53 AW36:AX36 AW38:AX38 AW40:AX40">
    <cfRule type="cellIs" dxfId="134" priority="196" operator="lessThan">
      <formula>0</formula>
    </cfRule>
  </conditionalFormatting>
  <conditionalFormatting sqref="BF34 BC34:BD34 BC48:BD53 BF48:BF53 BF36 BD36 BF38 BD38 BF40 BD40">
    <cfRule type="cellIs" dxfId="133" priority="195" operator="lessThan">
      <formula>0</formula>
    </cfRule>
  </conditionalFormatting>
  <conditionalFormatting sqref="BE34 BE48:BE53 BE36 BE38 BE40">
    <cfRule type="cellIs" dxfId="132" priority="194" operator="lessThan">
      <formula>0</formula>
    </cfRule>
  </conditionalFormatting>
  <conditionalFormatting sqref="DA90:DB92">
    <cfRule type="cellIs" dxfId="131" priority="192" operator="greaterThanOrEqual">
      <formula>0</formula>
    </cfRule>
    <cfRule type="cellIs" dxfId="130" priority="193" operator="lessThan">
      <formula>0</formula>
    </cfRule>
  </conditionalFormatting>
  <conditionalFormatting sqref="DI90:DK92">
    <cfRule type="cellIs" dxfId="129" priority="190" operator="greaterThanOrEqual">
      <formula>0</formula>
    </cfRule>
    <cfRule type="cellIs" dxfId="128" priority="191" operator="lessThan">
      <formula>0</formula>
    </cfRule>
  </conditionalFormatting>
  <conditionalFormatting sqref="DM90:DM92">
    <cfRule type="cellIs" dxfId="127" priority="188" operator="greaterThanOrEqual">
      <formula>0</formula>
    </cfRule>
    <cfRule type="cellIs" dxfId="126" priority="189" operator="lessThan">
      <formula>0</formula>
    </cfRule>
  </conditionalFormatting>
  <conditionalFormatting sqref="CC90:CL92 DL90:DL92 AU90:AY92 AL90:AP92 CD86:CH86 CD87:CG87 CJ86:CL87">
    <cfRule type="cellIs" dxfId="125" priority="187" operator="lessThan">
      <formula>0</formula>
    </cfRule>
  </conditionalFormatting>
  <conditionalFormatting sqref="BC86:BF87 BC90:BF92">
    <cfRule type="cellIs" dxfId="124" priority="186" operator="lessThan">
      <formula>0</formula>
    </cfRule>
  </conditionalFormatting>
  <conditionalFormatting sqref="CC117:CL120 DL117:DL120">
    <cfRule type="cellIs" dxfId="123" priority="185" operator="lessThan">
      <formula>0</formula>
    </cfRule>
  </conditionalFormatting>
  <conditionalFormatting sqref="DA117:DB120">
    <cfRule type="cellIs" dxfId="122" priority="183" operator="greaterThanOrEqual">
      <formula>0</formula>
    </cfRule>
    <cfRule type="cellIs" dxfId="121" priority="184" operator="lessThan">
      <formula>0</formula>
    </cfRule>
  </conditionalFormatting>
  <conditionalFormatting sqref="DI117:DK120">
    <cfRule type="cellIs" dxfId="120" priority="181" operator="greaterThanOrEqual">
      <formula>0</formula>
    </cfRule>
    <cfRule type="cellIs" dxfId="119" priority="182" operator="lessThan">
      <formula>0</formula>
    </cfRule>
  </conditionalFormatting>
  <conditionalFormatting sqref="DM117:DM120">
    <cfRule type="cellIs" dxfId="118" priority="179" operator="greaterThanOrEqual">
      <formula>0</formula>
    </cfRule>
    <cfRule type="cellIs" dxfId="117" priority="180" operator="lessThan">
      <formula>0</formula>
    </cfRule>
  </conditionalFormatting>
  <conditionalFormatting sqref="AL117:AP120">
    <cfRule type="cellIs" dxfId="116" priority="178" operator="lessThan">
      <formula>0</formula>
    </cfRule>
  </conditionalFormatting>
  <conditionalFormatting sqref="AU117:AY120">
    <cfRule type="cellIs" dxfId="115" priority="177" operator="lessThan">
      <formula>0</formula>
    </cfRule>
  </conditionalFormatting>
  <conditionalFormatting sqref="BC117:BF120">
    <cfRule type="cellIs" dxfId="114" priority="176" operator="lessThan">
      <formula>0</formula>
    </cfRule>
  </conditionalFormatting>
  <conditionalFormatting sqref="CC160:CL161 DL160:DL161">
    <cfRule type="cellIs" dxfId="113" priority="175" operator="lessThan">
      <formula>0</formula>
    </cfRule>
  </conditionalFormatting>
  <conditionalFormatting sqref="DA160:DB161">
    <cfRule type="cellIs" dxfId="112" priority="173" operator="greaterThanOrEqual">
      <formula>0</formula>
    </cfRule>
    <cfRule type="cellIs" dxfId="111" priority="174" operator="lessThan">
      <formula>0</formula>
    </cfRule>
  </conditionalFormatting>
  <conditionalFormatting sqref="DI160:DK161">
    <cfRule type="cellIs" dxfId="110" priority="171" operator="greaterThanOrEqual">
      <formula>0</formula>
    </cfRule>
    <cfRule type="cellIs" dxfId="109" priority="172" operator="lessThan">
      <formula>0</formula>
    </cfRule>
  </conditionalFormatting>
  <conditionalFormatting sqref="DM160:DM161">
    <cfRule type="cellIs" dxfId="108" priority="169" operator="greaterThanOrEqual">
      <formula>0</formula>
    </cfRule>
    <cfRule type="cellIs" dxfId="107" priority="170" operator="lessThan">
      <formula>0</formula>
    </cfRule>
  </conditionalFormatting>
  <conditionalFormatting sqref="AL160:AP161">
    <cfRule type="cellIs" dxfId="106" priority="168" operator="lessThan">
      <formula>0</formula>
    </cfRule>
  </conditionalFormatting>
  <conditionalFormatting sqref="AU160:AY161">
    <cfRule type="cellIs" dxfId="105" priority="167" operator="lessThan">
      <formula>0</formula>
    </cfRule>
  </conditionalFormatting>
  <conditionalFormatting sqref="BC160:BF161">
    <cfRule type="cellIs" dxfId="104" priority="166" operator="lessThan">
      <formula>0</formula>
    </cfRule>
  </conditionalFormatting>
  <conditionalFormatting sqref="AL36:AP36 AL38:AP38 AL40:AP40 AL42:AP42 AL44:AP44 AL46:AP46">
    <cfRule type="cellIs" dxfId="103" priority="165" operator="lessThan">
      <formula>0</formula>
    </cfRule>
  </conditionalFormatting>
  <conditionalFormatting sqref="AU36:AV36 AU38:AV38 AU40:AV40 AU42:AY42 AU44:AY44 AU46:AY46 AY40 AY38 AY36">
    <cfRule type="cellIs" dxfId="102" priority="164" operator="lessThan">
      <formula>0</formula>
    </cfRule>
  </conditionalFormatting>
  <conditionalFormatting sqref="BF42 BF44 BF46 BC36 BC42:BD42 BC44:BD44 BC46:BD46 BC38 BC40">
    <cfRule type="cellIs" dxfId="101" priority="163" operator="lessThan">
      <formula>0</formula>
    </cfRule>
  </conditionalFormatting>
  <conditionalFormatting sqref="BE42 BE44 BE46">
    <cfRule type="cellIs" dxfId="100" priority="162" operator="lessThan">
      <formula>0</formula>
    </cfRule>
  </conditionalFormatting>
  <conditionalFormatting sqref="DA25:DB25 DA26">
    <cfRule type="cellIs" dxfId="99" priority="153" operator="greaterThanOrEqual">
      <formula>0</formula>
    </cfRule>
    <cfRule type="cellIs" dxfId="98" priority="154" operator="lessThan">
      <formula>0</formula>
    </cfRule>
  </conditionalFormatting>
  <conditionalFormatting sqref="DI25:DI26 DK25:DK26">
    <cfRule type="cellIs" dxfId="97" priority="151" operator="greaterThanOrEqual">
      <formula>0</formula>
    </cfRule>
    <cfRule type="cellIs" dxfId="96" priority="152" operator="lessThan">
      <formula>0</formula>
    </cfRule>
  </conditionalFormatting>
  <conditionalFormatting sqref="DM25:DM26">
    <cfRule type="cellIs" dxfId="95" priority="149" operator="greaterThanOrEqual">
      <formula>0</formula>
    </cfRule>
    <cfRule type="cellIs" dxfId="94" priority="150" operator="lessThan">
      <formula>0</formula>
    </cfRule>
  </conditionalFormatting>
  <conditionalFormatting sqref="DA34:DB34 DA35">
    <cfRule type="cellIs" dxfId="93" priority="147" operator="greaterThanOrEqual">
      <formula>0</formula>
    </cfRule>
    <cfRule type="cellIs" dxfId="92" priority="148" operator="lessThan">
      <formula>0</formula>
    </cfRule>
  </conditionalFormatting>
  <conditionalFormatting sqref="DI34:DI35 DK34:DK35">
    <cfRule type="cellIs" dxfId="91" priority="145" operator="greaterThanOrEqual">
      <formula>0</formula>
    </cfRule>
    <cfRule type="cellIs" dxfId="90" priority="146" operator="lessThan">
      <formula>0</formula>
    </cfRule>
  </conditionalFormatting>
  <conditionalFormatting sqref="DM34:DM35">
    <cfRule type="cellIs" dxfId="89" priority="143" operator="greaterThanOrEqual">
      <formula>0</formula>
    </cfRule>
    <cfRule type="cellIs" dxfId="88" priority="144" operator="lessThan">
      <formula>0</formula>
    </cfRule>
  </conditionalFormatting>
  <conditionalFormatting sqref="DA36:DB38 DA42:DB47 DA41 DA40:DB40 DA39">
    <cfRule type="cellIs" dxfId="87" priority="141" operator="greaterThanOrEqual">
      <formula>0</formula>
    </cfRule>
    <cfRule type="cellIs" dxfId="86" priority="142" operator="lessThan">
      <formula>0</formula>
    </cfRule>
  </conditionalFormatting>
  <conditionalFormatting sqref="DI36:DI47 DK36:DK47">
    <cfRule type="cellIs" dxfId="85" priority="139" operator="greaterThanOrEqual">
      <formula>0</formula>
    </cfRule>
    <cfRule type="cellIs" dxfId="84" priority="140" operator="lessThan">
      <formula>0</formula>
    </cfRule>
  </conditionalFormatting>
  <conditionalFormatting sqref="DM36:DM47">
    <cfRule type="cellIs" dxfId="83" priority="137" operator="greaterThanOrEqual">
      <formula>0</formula>
    </cfRule>
    <cfRule type="cellIs" dxfId="82" priority="138" operator="lessThan">
      <formula>0</formula>
    </cfRule>
  </conditionalFormatting>
  <conditionalFormatting sqref="CI34:CL34 CI36:CL36 CI38:CL38 CI40:CL40 CI42:CL42 CI44:CL44 CI46:CL46">
    <cfRule type="cellIs" dxfId="81" priority="136" operator="lessThan">
      <formula>0</formula>
    </cfRule>
  </conditionalFormatting>
  <conditionalFormatting sqref="AL115:AP115">
    <cfRule type="cellIs" dxfId="80" priority="135" operator="lessThan">
      <formula>0</formula>
    </cfRule>
  </conditionalFormatting>
  <conditionalFormatting sqref="DA115:DB116">
    <cfRule type="cellIs" dxfId="79" priority="133" operator="greaterThanOrEqual">
      <formula>0</formula>
    </cfRule>
    <cfRule type="cellIs" dxfId="78" priority="134" operator="lessThan">
      <formula>0</formula>
    </cfRule>
  </conditionalFormatting>
  <conditionalFormatting sqref="DI115:DK116">
    <cfRule type="cellIs" dxfId="77" priority="131" operator="greaterThanOrEqual">
      <formula>0</formula>
    </cfRule>
    <cfRule type="cellIs" dxfId="76" priority="132" operator="lessThan">
      <formula>0</formula>
    </cfRule>
  </conditionalFormatting>
  <conditionalFormatting sqref="DM115:DM116">
    <cfRule type="cellIs" dxfId="75" priority="129" operator="greaterThanOrEqual">
      <formula>0</formula>
    </cfRule>
    <cfRule type="cellIs" dxfId="74" priority="130" operator="lessThan">
      <formula>0</formula>
    </cfRule>
  </conditionalFormatting>
  <conditionalFormatting sqref="AU115:AY115 DL115:DL116">
    <cfRule type="cellIs" dxfId="73" priority="128" operator="lessThan">
      <formula>0</formula>
    </cfRule>
  </conditionalFormatting>
  <conditionalFormatting sqref="CD115:CL115">
    <cfRule type="cellIs" dxfId="72" priority="127" operator="lessThan">
      <formula>0</formula>
    </cfRule>
  </conditionalFormatting>
  <conditionalFormatting sqref="BC115:BF115">
    <cfRule type="cellIs" dxfId="71" priority="126" operator="lessThan">
      <formula>0</formula>
    </cfRule>
  </conditionalFormatting>
  <conditionalFormatting sqref="AL152:AP152 AL154:AP154 AL156:AP156 AL158:AP158">
    <cfRule type="cellIs" dxfId="70" priority="121" operator="lessThan">
      <formula>0</formula>
    </cfRule>
  </conditionalFormatting>
  <conditionalFormatting sqref="AU152:AY152 AU154:AY154 AU156:AY156 AU158:AY158">
    <cfRule type="cellIs" dxfId="69" priority="120" operator="lessThan">
      <formula>0</formula>
    </cfRule>
  </conditionalFormatting>
  <conditionalFormatting sqref="BF152 BF154 BF156 BF158 BC152:BD152 BC154:BD154 BC156:BD156 BC158:BD158">
    <cfRule type="cellIs" dxfId="68" priority="119" operator="lessThan">
      <formula>0</formula>
    </cfRule>
  </conditionalFormatting>
  <conditionalFormatting sqref="BE152 BE154 BE156 BE158">
    <cfRule type="cellIs" dxfId="67" priority="118" operator="lessThan">
      <formula>0</formula>
    </cfRule>
  </conditionalFormatting>
  <conditionalFormatting sqref="AL191:AP191 AL193:AP193">
    <cfRule type="cellIs" dxfId="66" priority="100" operator="lessThan">
      <formula>0</formula>
    </cfRule>
  </conditionalFormatting>
  <conditionalFormatting sqref="AU191:AY191 AU193:AY193">
    <cfRule type="cellIs" dxfId="65" priority="99" operator="lessThan">
      <formula>0</formula>
    </cfRule>
  </conditionalFormatting>
  <conditionalFormatting sqref="BF191 BF193 BC191:BD191 BC193:BD193">
    <cfRule type="cellIs" dxfId="64" priority="98" operator="lessThan">
      <formula>0</formula>
    </cfRule>
  </conditionalFormatting>
  <conditionalFormatting sqref="BE191 BE193">
    <cfRule type="cellIs" dxfId="63" priority="97" operator="lessThan">
      <formula>0</formula>
    </cfRule>
  </conditionalFormatting>
  <conditionalFormatting sqref="CI191:CL191 CI193:CL193">
    <cfRule type="cellIs" dxfId="62" priority="84" operator="lessThan">
      <formula>0</formula>
    </cfRule>
  </conditionalFormatting>
  <conditionalFormatting sqref="CC152:CL152 CC153:CG153 CI153:CL153">
    <cfRule type="cellIs" dxfId="61" priority="83" operator="lessThan">
      <formula>0</formula>
    </cfRule>
  </conditionalFormatting>
  <conditionalFormatting sqref="CC154:CL154 CC155:CG155 CI155:CL155">
    <cfRule type="cellIs" dxfId="60" priority="82" operator="lessThan">
      <formula>0</formula>
    </cfRule>
  </conditionalFormatting>
  <conditionalFormatting sqref="CC156:CL156 CC157:CG157 CI157:CL157">
    <cfRule type="cellIs" dxfId="59" priority="81" operator="lessThan">
      <formula>0</formula>
    </cfRule>
  </conditionalFormatting>
  <conditionalFormatting sqref="CC158:CL158 CC159:CG159 CI159:CL159">
    <cfRule type="cellIs" dxfId="58" priority="80" operator="lessThan">
      <formula>0</formula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V30:AY30">
    <cfRule type="cellIs" dxfId="57" priority="77" operator="lessThan">
      <formula>0</formula>
    </cfRule>
  </conditionalFormatting>
  <conditionalFormatting sqref="BF30:BF31 BC30:BD31">
    <cfRule type="cellIs" dxfId="56" priority="75" operator="lessThan">
      <formula>0</formula>
    </cfRule>
  </conditionalFormatting>
  <conditionalFormatting sqref="BE30:BE31">
    <cfRule type="cellIs" dxfId="55" priority="74" operator="lessThan">
      <formula>0</formula>
    </cfRule>
  </conditionalFormatting>
  <conditionalFormatting sqref="CH30:CL30">
    <cfRule type="cellIs" dxfId="54" priority="73" operator="lessThan">
      <formula>0</formula>
    </cfRule>
  </conditionalFormatting>
  <conditionalFormatting sqref="CC30:CF30 CC31:CD31">
    <cfRule type="cellIs" dxfId="53" priority="72" operator="lessThan">
      <formula>0</formula>
    </cfRule>
  </conditionalFormatting>
  <conditionalFormatting sqref="CP31">
    <cfRule type="cellIs" dxfId="52" priority="71" operator="lessThan">
      <formula>0</formula>
    </cfRule>
  </conditionalFormatting>
  <conditionalFormatting sqref="DA30:DB30 DA31">
    <cfRule type="cellIs" dxfId="51" priority="69" operator="greaterThanOrEqual">
      <formula>0</formula>
    </cfRule>
    <cfRule type="cellIs" dxfId="50" priority="70" operator="lessThan">
      <formula>0</formula>
    </cfRule>
  </conditionalFormatting>
  <conditionalFormatting sqref="DI30:DI31 DK30:DK31">
    <cfRule type="cellIs" dxfId="49" priority="67" operator="greaterThanOrEqual">
      <formula>0</formula>
    </cfRule>
    <cfRule type="cellIs" dxfId="48" priority="68" operator="lessThan">
      <formula>0</formula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U55:AY57 AL55:AP55 CC55:CL57 AL57:AP57">
    <cfRule type="cellIs" dxfId="47" priority="47" operator="lessThan">
      <formula>0</formula>
    </cfRule>
  </conditionalFormatting>
  <conditionalFormatting sqref="BC55:BF57">
    <cfRule type="cellIs" dxfId="46" priority="46" operator="lessThan">
      <formula>0</formula>
    </cfRule>
  </conditionalFormatting>
  <conditionalFormatting sqref="DL58 AL58:AP58 AU58:AY58 CC58:CL58">
    <cfRule type="cellIs" dxfId="45" priority="45" operator="lessThan">
      <formula>0</formula>
    </cfRule>
  </conditionalFormatting>
  <conditionalFormatting sqref="AL56:AP56">
    <cfRule type="cellIs" dxfId="44" priority="44" operator="lessThan">
      <formula>0</formula>
    </cfRule>
  </conditionalFormatting>
  <conditionalFormatting sqref="CH34 CH36 CH38 CH40">
    <cfRule type="cellIs" dxfId="43" priority="42" operator="lessThan">
      <formula>0</formula>
    </cfRule>
  </conditionalFormatting>
  <conditionalFormatting sqref="DA84:DB85">
    <cfRule type="cellIs" dxfId="42" priority="40" operator="greaterThanOrEqual">
      <formula>0</formula>
    </cfRule>
    <cfRule type="cellIs" dxfId="41" priority="41" operator="lessThan">
      <formula>0</formula>
    </cfRule>
  </conditionalFormatting>
  <conditionalFormatting sqref="DI84:DK85">
    <cfRule type="cellIs" dxfId="40" priority="38" operator="greaterThanOrEqual">
      <formula>0</formula>
    </cfRule>
    <cfRule type="cellIs" dxfId="39" priority="39" operator="lessThan">
      <formula>0</formula>
    </cfRule>
  </conditionalFormatting>
  <conditionalFormatting sqref="DM84:DM85">
    <cfRule type="cellIs" dxfId="38" priority="36" operator="greaterThanOrEqual">
      <formula>0</formula>
    </cfRule>
    <cfRule type="cellIs" dxfId="37" priority="37" operator="lessThan">
      <formula>0</formula>
    </cfRule>
  </conditionalFormatting>
  <conditionalFormatting sqref="CC84:CL85 AL84:AP85 AU84:AY85 DL84:DL85">
    <cfRule type="cellIs" dxfId="36" priority="35" operator="lessThan">
      <formula>0</formula>
    </cfRule>
  </conditionalFormatting>
  <conditionalFormatting sqref="BC84:BF85">
    <cfRule type="cellIs" dxfId="35" priority="34" operator="lessThan">
      <formula>0</formula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DA88:DB88">
    <cfRule type="cellIs" dxfId="34" priority="31" operator="greaterThanOrEqual">
      <formula>0</formula>
    </cfRule>
    <cfRule type="cellIs" dxfId="33" priority="32" operator="lessThan">
      <formula>0</formula>
    </cfRule>
  </conditionalFormatting>
  <conditionalFormatting sqref="DI88:DK88">
    <cfRule type="cellIs" dxfId="32" priority="29" operator="greaterThanOrEqual">
      <formula>0</formula>
    </cfRule>
    <cfRule type="cellIs" dxfId="31" priority="30" operator="lessThan">
      <formula>0</formula>
    </cfRule>
  </conditionalFormatting>
  <conditionalFormatting sqref="DM88">
    <cfRule type="cellIs" dxfId="30" priority="27" operator="greaterThanOrEqual">
      <formula>0</formula>
    </cfRule>
    <cfRule type="cellIs" dxfId="29" priority="28" operator="lessThan">
      <formula>0</formula>
    </cfRule>
  </conditionalFormatting>
  <conditionalFormatting sqref="CI88 CO88:CP88 DL88 AL88:AP88">
    <cfRule type="cellIs" dxfId="28" priority="26" operator="lessThan">
      <formula>0</formula>
    </cfRule>
  </conditionalFormatting>
  <conditionalFormatting sqref="CD88:CH88 CJ88:CL88">
    <cfRule type="cellIs" dxfId="27" priority="25" operator="lessThan">
      <formula>0</formula>
    </cfRule>
  </conditionalFormatting>
  <conditionalFormatting sqref="BC88:BF88">
    <cfRule type="cellIs" dxfId="26" priority="24" operator="lessThan">
      <formula>0</formula>
    </cfRule>
  </conditionalFormatting>
  <conditionalFormatting sqref="AU89:AY89">
    <cfRule type="cellIs" dxfId="25" priority="23" operator="lessThan">
      <formula>0</formula>
    </cfRule>
  </conditionalFormatting>
  <conditionalFormatting sqref="DA89:DB89">
    <cfRule type="cellIs" dxfId="24" priority="21" operator="greaterThanOrEqual">
      <formula>0</formula>
    </cfRule>
    <cfRule type="cellIs" dxfId="23" priority="22" operator="lessThan">
      <formula>0</formula>
    </cfRule>
  </conditionalFormatting>
  <conditionalFormatting sqref="DI89:DK89">
    <cfRule type="cellIs" dxfId="22" priority="19" operator="greaterThanOrEqual">
      <formula>0</formula>
    </cfRule>
    <cfRule type="cellIs" dxfId="21" priority="20" operator="lessThan">
      <formula>0</formula>
    </cfRule>
  </conditionalFormatting>
  <conditionalFormatting sqref="DM89">
    <cfRule type="cellIs" dxfId="20" priority="17" operator="greaterThanOrEqual">
      <formula>0</formula>
    </cfRule>
    <cfRule type="cellIs" dxfId="19" priority="18" operator="lessThan">
      <formula>0</formula>
    </cfRule>
  </conditionalFormatting>
  <conditionalFormatting sqref="CI89 CO89:CP89 DL89 AL89:AP89">
    <cfRule type="cellIs" dxfId="18" priority="16" operator="lessThan">
      <formula>0</formula>
    </cfRule>
  </conditionalFormatting>
  <conditionalFormatting sqref="CD89:CH89 CJ89:CL89">
    <cfRule type="cellIs" dxfId="17" priority="15" operator="lessThan">
      <formula>0</formula>
    </cfRule>
  </conditionalFormatting>
  <conditionalFormatting sqref="BC89:BF89">
    <cfRule type="cellIs" dxfId="16" priority="14" operator="lessThan">
      <formula>0</formula>
    </cfRule>
  </conditionalFormatting>
  <conditionalFormatting sqref="DA4:DB4">
    <cfRule type="cellIs" dxfId="15" priority="12" operator="greaterThanOrEqual">
      <formula>0</formula>
    </cfRule>
    <cfRule type="cellIs" dxfId="14" priority="13" operator="lessThan">
      <formula>0</formula>
    </cfRule>
  </conditionalFormatting>
  <conditionalFormatting sqref="DI4:DK4">
    <cfRule type="cellIs" dxfId="13" priority="10" operator="greaterThanOrEqual">
      <formula>0</formula>
    </cfRule>
    <cfRule type="cellIs" dxfId="12" priority="11" operator="lessThan">
      <formula>0</formula>
    </cfRule>
  </conditionalFormatting>
  <conditionalFormatting sqref="DM4">
    <cfRule type="cellIs" dxfId="11" priority="8" operator="greaterThanOrEqual">
      <formula>0</formula>
    </cfRule>
    <cfRule type="cellIs" dxfId="10" priority="9" operator="lessThan">
      <formula>0</formula>
    </cfRule>
  </conditionalFormatting>
  <conditionalFormatting sqref="CC4:CL4 CO4:CP4">
    <cfRule type="cellIs" dxfId="9" priority="7" operator="lessThan">
      <formula>0</formula>
    </cfRule>
  </conditionalFormatting>
  <conditionalFormatting sqref="DL4">
    <cfRule type="cellIs" dxfId="8" priority="6" operator="lessThan">
      <formula>0</formula>
    </cfRule>
  </conditionalFormatting>
  <conditionalFormatting sqref="AL4:AP4">
    <cfRule type="cellIs" dxfId="7" priority="5" operator="lessThan">
      <formula>0</formula>
    </cfRule>
  </conditionalFormatting>
  <conditionalFormatting sqref="AU4:AY4">
    <cfRule type="cellIs" dxfId="6" priority="4" operator="lessThan">
      <formula>0</formula>
    </cfRule>
  </conditionalFormatting>
  <conditionalFormatting sqref="BF4 BC4:BD4">
    <cfRule type="cellIs" dxfId="5" priority="3" operator="lessThan">
      <formula>0</formula>
    </cfRule>
  </conditionalFormatting>
  <conditionalFormatting sqref="BE4">
    <cfRule type="cellIs" dxfId="4" priority="2" operator="lessThan">
      <formula>0</formula>
    </cfRule>
  </conditionalFormatting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435"/>
  <sheetViews>
    <sheetView tabSelected="1"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19.5703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4" t="s">
        <v>137</v>
      </c>
      <c r="Y1" s="1464"/>
      <c r="Z1" s="1464"/>
      <c r="AA1" s="1464"/>
      <c r="AB1" s="1464"/>
      <c r="AC1" s="1464"/>
      <c r="AD1" s="1464"/>
      <c r="AE1" s="1464"/>
    </row>
    <row r="2" spans="1:73" ht="14.25" hidden="1" customHeight="1" x14ac:dyDescent="0.25">
      <c r="X2" s="851"/>
      <c r="Y2" s="851"/>
      <c r="Z2" s="851"/>
      <c r="AA2" s="851"/>
      <c r="AB2" s="851"/>
      <c r="AC2" s="851"/>
      <c r="AD2" s="851"/>
      <c r="AE2" s="851"/>
    </row>
    <row r="3" spans="1:73" ht="14.25" hidden="1" x14ac:dyDescent="0.25">
      <c r="X3" s="852"/>
      <c r="Y3" s="852"/>
      <c r="Z3" s="852"/>
      <c r="AA3" s="852"/>
      <c r="AB3" s="852"/>
      <c r="AC3" s="852"/>
      <c r="AD3" s="852"/>
      <c r="AE3" s="852"/>
    </row>
    <row r="4" spans="1:73" ht="14.25" hidden="1" x14ac:dyDescent="0.25">
      <c r="X4" s="852"/>
      <c r="Y4" s="852"/>
      <c r="Z4" s="852"/>
      <c r="AA4" s="852"/>
      <c r="AB4" s="852"/>
      <c r="AC4" s="852"/>
      <c r="AD4" s="852"/>
      <c r="AE4" s="852"/>
    </row>
    <row r="5" spans="1:73" ht="14.25" hidden="1" x14ac:dyDescent="0.25">
      <c r="X5" s="851"/>
      <c r="AD5" s="851"/>
    </row>
    <row r="6" spans="1:73" hidden="1" x14ac:dyDescent="0.25"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83"/>
      <c r="U7" s="1083"/>
      <c r="V7" s="1083"/>
      <c r="W7" s="1083"/>
      <c r="X7" s="1083"/>
      <c r="Y7" s="1083"/>
      <c r="Z7" s="1083"/>
      <c r="AA7" s="1083"/>
      <c r="AB7" s="1083"/>
      <c r="AC7" s="1083"/>
      <c r="AD7" s="1083"/>
      <c r="AE7" s="1083"/>
      <c r="AF7" s="1083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83"/>
      <c r="U8" s="1083"/>
      <c r="V8" s="1083"/>
      <c r="W8" s="1083"/>
      <c r="X8" s="1083"/>
      <c r="Y8" s="1083"/>
      <c r="Z8" s="1083"/>
      <c r="AA8" s="1083"/>
      <c r="AB8" s="1083"/>
      <c r="AC8" s="1083"/>
      <c r="AD8" s="1083"/>
      <c r="AE8" s="1083"/>
      <c r="AF8" s="1083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4"/>
      <c r="U9" s="914"/>
      <c r="V9" s="914"/>
      <c r="W9" s="914"/>
      <c r="X9" s="914"/>
      <c r="Y9" s="914"/>
      <c r="Z9" s="914"/>
      <c r="AA9" s="914"/>
      <c r="AB9" s="914"/>
      <c r="AC9" s="914"/>
      <c r="AD9" s="914"/>
      <c r="AE9" s="914"/>
      <c r="AF9" s="914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5" t="s">
        <v>363</v>
      </c>
      <c r="B10" s="1466" t="s">
        <v>144</v>
      </c>
      <c r="C10" s="1467">
        <v>2022</v>
      </c>
      <c r="D10" s="1468"/>
      <c r="E10" s="1468"/>
      <c r="F10" s="1468"/>
      <c r="G10" s="1468"/>
      <c r="H10" s="1468"/>
      <c r="I10" s="1468"/>
      <c r="J10" s="1468"/>
      <c r="K10" s="1468"/>
      <c r="L10" s="1468"/>
      <c r="M10" s="1468"/>
      <c r="N10" s="1468"/>
      <c r="O10" s="1468"/>
      <c r="P10" s="1468"/>
      <c r="Q10" s="1468"/>
      <c r="R10" s="1468"/>
      <c r="S10" s="1468"/>
      <c r="T10" s="1120"/>
      <c r="U10" s="1120"/>
      <c r="V10" s="1120"/>
      <c r="W10" s="1120"/>
      <c r="X10" s="1120"/>
      <c r="Y10" s="1121"/>
      <c r="Z10" s="1121"/>
      <c r="AA10" s="1121"/>
      <c r="AB10" s="1121"/>
      <c r="AC10" s="1121"/>
      <c r="AD10" s="1121"/>
      <c r="AE10" s="1121"/>
      <c r="AF10" s="1123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5"/>
      <c r="B11" s="1466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2">
        <f>C10</f>
        <v>2022</v>
      </c>
      <c r="T11" s="1084"/>
      <c r="U11" s="1084"/>
      <c r="V11" s="1084"/>
      <c r="W11" s="1084"/>
      <c r="X11" s="1121"/>
      <c r="Y11" s="1084"/>
      <c r="Z11" s="1084"/>
      <c r="AA11" s="1084"/>
      <c r="AB11" s="1084"/>
      <c r="AC11" s="1121"/>
      <c r="AD11" s="1121"/>
      <c r="AE11" s="1121"/>
      <c r="AF11" s="899"/>
      <c r="BR11" s="857" t="s">
        <v>151</v>
      </c>
      <c r="BT11" s="857" t="s">
        <v>152</v>
      </c>
    </row>
    <row r="12" spans="1:73" s="860" customFormat="1" x14ac:dyDescent="0.25">
      <c r="A12" s="1465"/>
      <c r="B12" s="1466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3"/>
      <c r="T12" s="1084"/>
      <c r="U12" s="1084"/>
      <c r="V12" s="1084"/>
      <c r="W12" s="1084"/>
      <c r="X12" s="1121"/>
      <c r="Y12" s="1084"/>
      <c r="Z12" s="1084"/>
      <c r="AA12" s="1084"/>
      <c r="AB12" s="1084"/>
      <c r="AC12" s="1121"/>
      <c r="AD12" s="1121"/>
      <c r="AE12" s="1121"/>
      <c r="AF12" s="899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6"/>
      <c r="U13" s="906"/>
      <c r="V13" s="906"/>
      <c r="W13" s="906"/>
      <c r="X13" s="906"/>
      <c r="Y13" s="906"/>
      <c r="Z13" s="906"/>
      <c r="AA13" s="906"/>
      <c r="AB13" s="906"/>
      <c r="AC13" s="906"/>
      <c r="AD13" s="906"/>
      <c r="AE13" s="906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4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BT14" s="865" t="s">
        <v>160</v>
      </c>
    </row>
    <row r="15" spans="1:73" s="865" customFormat="1" x14ac:dyDescent="0.25">
      <c r="A15" s="866" t="s">
        <v>161</v>
      </c>
      <c r="B15" s="870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69"/>
      <c r="P15" s="869"/>
      <c r="Q15" s="869"/>
      <c r="R15" s="869"/>
      <c r="S15" s="1124"/>
      <c r="T15" s="1086"/>
      <c r="U15" s="1086"/>
      <c r="V15" s="1086"/>
      <c r="W15" s="1086"/>
      <c r="X15" s="1086"/>
      <c r="Y15" s="1086"/>
      <c r="Z15" s="1086"/>
      <c r="AA15" s="1086"/>
      <c r="AB15" s="1086"/>
      <c r="AC15" s="1086"/>
      <c r="AD15" s="1086"/>
      <c r="AE15" s="1086"/>
      <c r="BT15" s="865" t="s">
        <v>162</v>
      </c>
    </row>
    <row r="16" spans="1:73" s="865" customFormat="1" x14ac:dyDescent="0.25">
      <c r="A16" s="866" t="s">
        <v>163</v>
      </c>
      <c r="B16" s="870"/>
      <c r="C16" s="871"/>
      <c r="D16" s="869"/>
      <c r="E16" s="869"/>
      <c r="F16" s="869"/>
      <c r="G16" s="869"/>
      <c r="H16" s="869"/>
      <c r="I16" s="869"/>
      <c r="J16" s="869"/>
      <c r="K16" s="869"/>
      <c r="L16" s="869"/>
      <c r="M16" s="869"/>
      <c r="N16" s="869"/>
      <c r="O16" s="869"/>
      <c r="P16" s="869"/>
      <c r="Q16" s="869"/>
      <c r="R16" s="869"/>
      <c r="S16" s="1124"/>
      <c r="T16" s="906"/>
      <c r="U16" s="906"/>
      <c r="V16" s="906"/>
      <c r="W16" s="906"/>
      <c r="X16" s="906"/>
      <c r="Y16" s="906"/>
      <c r="Z16" s="906"/>
      <c r="AA16" s="906"/>
      <c r="AB16" s="906"/>
      <c r="AC16" s="906"/>
      <c r="AD16" s="906"/>
      <c r="AE16" s="906"/>
      <c r="BT16" s="865" t="s">
        <v>164</v>
      </c>
    </row>
    <row r="17" spans="1:72" s="865" customFormat="1" x14ac:dyDescent="0.25">
      <c r="A17" s="866" t="s">
        <v>165</v>
      </c>
      <c r="B17" s="870"/>
      <c r="C17" s="871"/>
      <c r="D17" s="869"/>
      <c r="E17" s="869"/>
      <c r="F17" s="869"/>
      <c r="G17" s="869"/>
      <c r="H17" s="869"/>
      <c r="I17" s="869"/>
      <c r="J17" s="869"/>
      <c r="K17" s="869"/>
      <c r="L17" s="869"/>
      <c r="M17" s="869"/>
      <c r="N17" s="869"/>
      <c r="O17" s="869"/>
      <c r="P17" s="869"/>
      <c r="Q17" s="869"/>
      <c r="R17" s="869"/>
      <c r="S17" s="1124"/>
      <c r="T17" s="906"/>
      <c r="U17" s="906"/>
      <c r="V17" s="906"/>
      <c r="W17" s="906"/>
      <c r="X17" s="906"/>
      <c r="Y17" s="906"/>
      <c r="Z17" s="906"/>
      <c r="AA17" s="906"/>
      <c r="AB17" s="906"/>
      <c r="AC17" s="906"/>
      <c r="AD17" s="906"/>
      <c r="AE17" s="906"/>
      <c r="BT17" s="865" t="s">
        <v>166</v>
      </c>
    </row>
    <row r="18" spans="1:72" s="865" customFormat="1" x14ac:dyDescent="0.25">
      <c r="A18" s="866" t="s">
        <v>167</v>
      </c>
      <c r="B18" s="870"/>
      <c r="C18" s="1162"/>
      <c r="D18" s="1163"/>
      <c r="E18" s="1163"/>
      <c r="F18" s="1163"/>
      <c r="G18" s="1163"/>
      <c r="H18" s="1163"/>
      <c r="I18" s="1163"/>
      <c r="J18" s="1163"/>
      <c r="K18" s="1163"/>
      <c r="L18" s="1163"/>
      <c r="M18" s="1163"/>
      <c r="N18" s="1163"/>
      <c r="O18" s="1163"/>
      <c r="P18" s="1163"/>
      <c r="Q18" s="1163"/>
      <c r="R18" s="1163"/>
      <c r="S18" s="1164"/>
      <c r="T18" s="906"/>
      <c r="U18" s="906"/>
      <c r="V18" s="906"/>
      <c r="W18" s="906"/>
      <c r="X18" s="906"/>
      <c r="Y18" s="906"/>
      <c r="Z18" s="906"/>
      <c r="AA18" s="906"/>
      <c r="AB18" s="906"/>
      <c r="AC18" s="906"/>
      <c r="AD18" s="906"/>
      <c r="AE18" s="906"/>
      <c r="BT18" s="865" t="s">
        <v>168</v>
      </c>
    </row>
    <row r="19" spans="1:72" s="865" customFormat="1" x14ac:dyDescent="0.25">
      <c r="A19" s="866" t="s">
        <v>169</v>
      </c>
      <c r="B19" s="870"/>
      <c r="C19" s="1163"/>
      <c r="D19" s="1163"/>
      <c r="E19" s="1163"/>
      <c r="F19" s="1163"/>
      <c r="G19" s="1163"/>
      <c r="H19" s="1163"/>
      <c r="I19" s="1163"/>
      <c r="J19" s="1163"/>
      <c r="K19" s="1163"/>
      <c r="L19" s="1163"/>
      <c r="M19" s="1163"/>
      <c r="N19" s="1163"/>
      <c r="O19" s="1163"/>
      <c r="P19" s="1163"/>
      <c r="Q19" s="1163"/>
      <c r="R19" s="1163"/>
      <c r="S19" s="1164"/>
      <c r="T19" s="906"/>
      <c r="U19" s="906"/>
      <c r="V19" s="906"/>
      <c r="W19" s="906"/>
      <c r="X19" s="906"/>
      <c r="Y19" s="906"/>
      <c r="Z19" s="906"/>
      <c r="AA19" s="906"/>
      <c r="AB19" s="906"/>
      <c r="AC19" s="906"/>
      <c r="AD19" s="906"/>
      <c r="AE19" s="906"/>
    </row>
    <row r="20" spans="1:72" s="865" customFormat="1" ht="15" x14ac:dyDescent="0.2">
      <c r="A20" s="866" t="s">
        <v>53</v>
      </c>
      <c r="B20" s="867" t="s">
        <v>170</v>
      </c>
      <c r="C20" s="868"/>
      <c r="D20" s="872"/>
      <c r="E20" s="868"/>
      <c r="F20" s="868"/>
      <c r="G20" s="868"/>
      <c r="H20" s="873"/>
      <c r="I20" s="874"/>
      <c r="J20" s="868"/>
      <c r="K20" s="868"/>
      <c r="L20" s="868"/>
      <c r="M20" s="868"/>
      <c r="N20" s="874"/>
      <c r="O20" s="869"/>
      <c r="P20" s="869"/>
      <c r="Q20" s="869"/>
      <c r="R20" s="869"/>
      <c r="S20" s="1124"/>
      <c r="T20" s="1085"/>
      <c r="U20" s="1085"/>
      <c r="V20" s="1085"/>
      <c r="W20" s="1085"/>
      <c r="X20" s="1085"/>
      <c r="Y20" s="1085"/>
      <c r="Z20" s="1085"/>
      <c r="AA20" s="1085"/>
      <c r="AB20" s="1085"/>
      <c r="AC20" s="1085"/>
      <c r="AD20" s="1085"/>
      <c r="AE20" s="1085"/>
      <c r="BT20" s="865" t="s">
        <v>171</v>
      </c>
    </row>
    <row r="21" spans="1:72" s="865" customFormat="1" x14ac:dyDescent="0.25">
      <c r="A21" s="866" t="s">
        <v>172</v>
      </c>
      <c r="B21" s="870"/>
      <c r="C21" s="875" t="e">
        <f>ROUND((C14-C16)/C17*C20,4)</f>
        <v>#DIV/0!</v>
      </c>
      <c r="D21" s="876" t="e">
        <f>ROUND((D14-D16)/D17*D20,4)</f>
        <v>#DIV/0!</v>
      </c>
      <c r="E21" s="877" t="e">
        <f>ROUND((E14-E16)/E17*E20,4)</f>
        <v>#DIV/0!</v>
      </c>
      <c r="F21" s="877" t="e">
        <f t="shared" ref="F21:N21" si="0">ROUND((F14-F16)/F17*F20,4)</f>
        <v>#DIV/0!</v>
      </c>
      <c r="G21" s="876" t="e">
        <f t="shared" si="0"/>
        <v>#DIV/0!</v>
      </c>
      <c r="H21" s="877" t="e">
        <f t="shared" si="0"/>
        <v>#DIV/0!</v>
      </c>
      <c r="I21" s="877" t="e">
        <f t="shared" si="0"/>
        <v>#DIV/0!</v>
      </c>
      <c r="J21" s="877" t="e">
        <f t="shared" si="0"/>
        <v>#DIV/0!</v>
      </c>
      <c r="K21" s="877" t="e">
        <f t="shared" si="0"/>
        <v>#DIV/0!</v>
      </c>
      <c r="L21" s="877" t="e">
        <f t="shared" si="0"/>
        <v>#DIV/0!</v>
      </c>
      <c r="M21" s="877" t="e">
        <f t="shared" si="0"/>
        <v>#DIV/0!</v>
      </c>
      <c r="N21" s="877" t="e">
        <f t="shared" si="0"/>
        <v>#DIV/0!</v>
      </c>
      <c r="O21" s="869" t="e">
        <f t="shared" ref="O21" si="1">AVERAGE(C21:E21)</f>
        <v>#DIV/0!</v>
      </c>
      <c r="P21" s="869" t="e">
        <f t="shared" ref="P21" si="2">AVERAGE(F21:H21)</f>
        <v>#DIV/0!</v>
      </c>
      <c r="Q21" s="869" t="e">
        <f>AVERAGE(I21:K21)</f>
        <v>#DIV/0!</v>
      </c>
      <c r="R21" s="869" t="e">
        <f t="shared" ref="R21" si="3">AVERAGE(L21:N21)</f>
        <v>#DIV/0!</v>
      </c>
      <c r="S21" s="1124" t="e">
        <f t="shared" ref="S21" si="4">ROUND((S14-S16)/S17*S20,4)</f>
        <v>#DIV/0!</v>
      </c>
      <c r="T21" s="1087"/>
      <c r="U21" s="1087"/>
      <c r="V21" s="1087"/>
      <c r="W21" s="1087"/>
      <c r="X21" s="1087"/>
      <c r="Y21" s="1087"/>
      <c r="Z21" s="1087"/>
      <c r="AA21" s="1087"/>
      <c r="AB21" s="1087"/>
      <c r="AC21" s="1087"/>
      <c r="AD21" s="1087"/>
      <c r="AE21" s="1087"/>
      <c r="BT21" s="865" t="s">
        <v>173</v>
      </c>
    </row>
    <row r="22" spans="1:72" s="880" customFormat="1" x14ac:dyDescent="0.25">
      <c r="A22" s="878" t="s">
        <v>174</v>
      </c>
      <c r="B22" s="879"/>
      <c r="C22" s="1165"/>
      <c r="D22" s="1165"/>
      <c r="E22" s="1165"/>
      <c r="F22" s="1165"/>
      <c r="G22" s="1165"/>
      <c r="H22" s="1165"/>
      <c r="I22" s="1165"/>
      <c r="J22" s="1165"/>
      <c r="K22" s="1165"/>
      <c r="L22" s="1165"/>
      <c r="M22" s="1165"/>
      <c r="N22" s="1165"/>
      <c r="O22" s="1165"/>
      <c r="P22" s="1165"/>
      <c r="Q22" s="1165"/>
      <c r="R22" s="1165"/>
      <c r="S22" s="1166"/>
      <c r="T22" s="1088"/>
      <c r="U22" s="1088"/>
      <c r="V22" s="1088"/>
      <c r="W22" s="1088"/>
      <c r="X22" s="1088"/>
      <c r="Y22" s="1088"/>
      <c r="Z22" s="1088"/>
      <c r="AA22" s="1088"/>
      <c r="AB22" s="1088"/>
      <c r="AC22" s="1088"/>
      <c r="AD22" s="1088"/>
      <c r="AE22" s="1088"/>
    </row>
    <row r="23" spans="1:72" s="880" customFormat="1" ht="15" x14ac:dyDescent="0.25">
      <c r="A23" s="878" t="s">
        <v>175</v>
      </c>
      <c r="B23" s="867" t="s">
        <v>176</v>
      </c>
      <c r="C23" s="881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81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81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81">
        <f t="shared" si="5"/>
        <v>0</v>
      </c>
      <c r="G23" s="881">
        <f t="shared" si="5"/>
        <v>0</v>
      </c>
      <c r="H23" s="881">
        <f t="shared" si="5"/>
        <v>0</v>
      </c>
      <c r="I23" s="881">
        <f t="shared" si="5"/>
        <v>0</v>
      </c>
      <c r="J23" s="881">
        <f t="shared" si="5"/>
        <v>0</v>
      </c>
      <c r="K23" s="881">
        <f t="shared" si="5"/>
        <v>0</v>
      </c>
      <c r="L23" s="881">
        <f t="shared" si="5"/>
        <v>0</v>
      </c>
      <c r="M23" s="881">
        <f t="shared" si="5"/>
        <v>0</v>
      </c>
      <c r="N23" s="881">
        <f t="shared" si="5"/>
        <v>0</v>
      </c>
      <c r="O23" s="869">
        <f t="shared" ref="O23" si="6">AVERAGE(C23:E23)</f>
        <v>0</v>
      </c>
      <c r="P23" s="869">
        <f t="shared" ref="P23" si="7">AVERAGE(F23:H23)</f>
        <v>0</v>
      </c>
      <c r="Q23" s="869">
        <f>AVERAGE(I23:K23)</f>
        <v>0</v>
      </c>
      <c r="R23" s="869">
        <f t="shared" ref="R23" si="8">AVERAGE(L23:N23)</f>
        <v>0</v>
      </c>
      <c r="S23" s="1124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9"/>
      <c r="U23" s="1089"/>
      <c r="V23" s="1089"/>
      <c r="W23" s="1089"/>
      <c r="X23" s="1089"/>
      <c r="Y23" s="1089"/>
      <c r="Z23" s="1089"/>
      <c r="AA23" s="1089"/>
      <c r="AB23" s="1089"/>
      <c r="AC23" s="1089"/>
      <c r="AD23" s="1089"/>
      <c r="AE23" s="1089"/>
    </row>
    <row r="24" spans="1:72" s="880" customFormat="1" ht="15" x14ac:dyDescent="0.25">
      <c r="A24" s="878" t="s">
        <v>177</v>
      </c>
      <c r="B24" s="867" t="s">
        <v>178</v>
      </c>
      <c r="C24" s="883">
        <f>C203</f>
        <v>23.553699999999999</v>
      </c>
      <c r="D24" s="883">
        <f t="shared" ref="D24:S24" si="9">D203</f>
        <v>23.553699999999999</v>
      </c>
      <c r="E24" s="883">
        <f>E203</f>
        <v>23.553699999999999</v>
      </c>
      <c r="F24" s="883">
        <f t="shared" si="9"/>
        <v>23.553699999999999</v>
      </c>
      <c r="G24" s="883">
        <f t="shared" si="9"/>
        <v>23.553699999999999</v>
      </c>
      <c r="H24" s="883">
        <f t="shared" si="9"/>
        <v>23.553699999999999</v>
      </c>
      <c r="I24" s="883">
        <f t="shared" si="9"/>
        <v>23.553699999999999</v>
      </c>
      <c r="J24" s="883">
        <f t="shared" si="9"/>
        <v>23.553699999999999</v>
      </c>
      <c r="K24" s="883">
        <f t="shared" si="9"/>
        <v>23.553699999999999</v>
      </c>
      <c r="L24" s="883">
        <f t="shared" si="9"/>
        <v>23.553699999999999</v>
      </c>
      <c r="M24" s="883">
        <f t="shared" si="9"/>
        <v>23.553699999999999</v>
      </c>
      <c r="N24" s="883">
        <f t="shared" si="9"/>
        <v>23.553699999999999</v>
      </c>
      <c r="O24" s="883">
        <f>O203</f>
        <v>23.553699999999999</v>
      </c>
      <c r="P24" s="883">
        <f t="shared" ref="P24:R24" si="10">P203</f>
        <v>23.553699999999999</v>
      </c>
      <c r="Q24" s="883">
        <f t="shared" si="10"/>
        <v>23.553699999999999</v>
      </c>
      <c r="R24" s="883">
        <f t="shared" si="10"/>
        <v>23.553699999999999</v>
      </c>
      <c r="S24" s="1126">
        <f t="shared" si="9"/>
        <v>23.553699999999999</v>
      </c>
      <c r="T24" s="1090"/>
      <c r="U24" s="1090"/>
      <c r="V24" s="1090"/>
      <c r="W24" s="1090"/>
      <c r="X24" s="1090"/>
      <c r="Y24" s="1090"/>
      <c r="Z24" s="1090"/>
      <c r="AA24" s="1090"/>
      <c r="AB24" s="1090"/>
      <c r="AC24" s="1090"/>
      <c r="AD24" s="1090"/>
      <c r="AE24" s="1090"/>
    </row>
    <row r="25" spans="1:72" s="865" customFormat="1" x14ac:dyDescent="0.25">
      <c r="A25" s="884" t="s">
        <v>179</v>
      </c>
      <c r="B25" s="885" t="s">
        <v>180</v>
      </c>
      <c r="C25" s="886" t="e">
        <f>C21*C15+C19+C23+C24</f>
        <v>#DIV/0!</v>
      </c>
      <c r="D25" s="886" t="e">
        <f t="shared" ref="D25:S25" si="11">D21*D15+D19+D23+D24</f>
        <v>#DIV/0!</v>
      </c>
      <c r="E25" s="886" t="e">
        <f t="shared" si="11"/>
        <v>#DIV/0!</v>
      </c>
      <c r="F25" s="886" t="e">
        <f t="shared" si="11"/>
        <v>#DIV/0!</v>
      </c>
      <c r="G25" s="886" t="e">
        <f t="shared" si="11"/>
        <v>#DIV/0!</v>
      </c>
      <c r="H25" s="886" t="e">
        <f t="shared" si="11"/>
        <v>#DIV/0!</v>
      </c>
      <c r="I25" s="886" t="e">
        <f t="shared" si="11"/>
        <v>#DIV/0!</v>
      </c>
      <c r="J25" s="886" t="e">
        <f t="shared" si="11"/>
        <v>#DIV/0!</v>
      </c>
      <c r="K25" s="886" t="e">
        <f t="shared" si="11"/>
        <v>#DIV/0!</v>
      </c>
      <c r="L25" s="886" t="e">
        <f t="shared" si="11"/>
        <v>#DIV/0!</v>
      </c>
      <c r="M25" s="886" t="e">
        <f t="shared" si="11"/>
        <v>#DIV/0!</v>
      </c>
      <c r="N25" s="886" t="e">
        <f t="shared" si="11"/>
        <v>#DIV/0!</v>
      </c>
      <c r="O25" s="886" t="e">
        <f>O21*O15+O19+O23+O24</f>
        <v>#DIV/0!</v>
      </c>
      <c r="P25" s="886" t="e">
        <f t="shared" si="11"/>
        <v>#DIV/0!</v>
      </c>
      <c r="Q25" s="886" t="e">
        <f t="shared" si="11"/>
        <v>#DIV/0!</v>
      </c>
      <c r="R25" s="886" t="e">
        <f t="shared" si="11"/>
        <v>#DIV/0!</v>
      </c>
      <c r="S25" s="1127" t="e">
        <f t="shared" si="11"/>
        <v>#DIV/0!</v>
      </c>
      <c r="T25" s="1091"/>
      <c r="U25" s="1091"/>
      <c r="V25" s="1091"/>
      <c r="W25" s="1091"/>
      <c r="X25" s="1091"/>
      <c r="Y25" s="1091"/>
      <c r="Z25" s="1091"/>
      <c r="AA25" s="1091"/>
      <c r="AB25" s="1091"/>
      <c r="AC25" s="1091"/>
      <c r="AD25" s="1091"/>
      <c r="AE25" s="1091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8"/>
      <c r="D26" s="889"/>
      <c r="E26" s="889"/>
      <c r="F26" s="889"/>
      <c r="G26" s="889"/>
      <c r="H26" s="889"/>
      <c r="I26" s="889"/>
      <c r="J26" s="888"/>
      <c r="K26" s="888"/>
      <c r="L26" s="889"/>
      <c r="M26" s="889"/>
      <c r="N26" s="889"/>
      <c r="O26" s="889"/>
      <c r="P26" s="889"/>
      <c r="Q26" s="889"/>
      <c r="R26" s="889"/>
      <c r="S26" s="890"/>
      <c r="T26" s="906"/>
      <c r="U26" s="906"/>
      <c r="V26" s="906"/>
      <c r="W26" s="906"/>
      <c r="X26" s="906"/>
      <c r="Y26" s="906"/>
      <c r="Z26" s="906"/>
      <c r="AA26" s="906"/>
      <c r="AB26" s="906"/>
      <c r="AC26" s="906"/>
      <c r="AD26" s="906"/>
      <c r="AE26" s="906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91" t="s">
        <v>184</v>
      </c>
      <c r="C27" s="892"/>
      <c r="D27" s="892"/>
      <c r="E27" s="892"/>
      <c r="F27" s="892"/>
      <c r="G27" s="892"/>
      <c r="H27" s="892"/>
      <c r="I27" s="892"/>
      <c r="J27" s="892"/>
      <c r="K27" s="892"/>
      <c r="L27" s="892"/>
      <c r="M27" s="892"/>
      <c r="N27" s="892"/>
      <c r="O27" s="892"/>
      <c r="P27" s="892"/>
      <c r="Q27" s="892"/>
      <c r="R27" s="892"/>
      <c r="S27" s="1128"/>
      <c r="T27" s="1092"/>
      <c r="U27" s="1092"/>
      <c r="V27" s="1092"/>
      <c r="W27" s="1092"/>
      <c r="X27" s="1092"/>
      <c r="Y27" s="1092"/>
      <c r="Z27" s="1092"/>
      <c r="AA27" s="1092"/>
      <c r="AB27" s="1092"/>
      <c r="AC27" s="1092"/>
      <c r="AD27" s="1092"/>
      <c r="AE27" s="1092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91" t="s">
        <v>184</v>
      </c>
      <c r="C28" s="892"/>
      <c r="D28" s="892"/>
      <c r="E28" s="892"/>
      <c r="F28" s="892"/>
      <c r="G28" s="892"/>
      <c r="H28" s="892"/>
      <c r="I28" s="892"/>
      <c r="J28" s="892"/>
      <c r="K28" s="892"/>
      <c r="L28" s="892"/>
      <c r="M28" s="892"/>
      <c r="N28" s="892"/>
      <c r="O28" s="892"/>
      <c r="P28" s="892"/>
      <c r="Q28" s="892"/>
      <c r="R28" s="892"/>
      <c r="S28" s="1128"/>
      <c r="T28" s="1092"/>
      <c r="U28" s="1092"/>
      <c r="V28" s="1092"/>
      <c r="W28" s="1092"/>
      <c r="X28" s="1092"/>
      <c r="Y28" s="1092"/>
      <c r="Z28" s="1092"/>
      <c r="AA28" s="1092"/>
      <c r="AB28" s="1092"/>
      <c r="AC28" s="1092"/>
      <c r="AD28" s="1092"/>
      <c r="AE28" s="1092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91" t="s">
        <v>142</v>
      </c>
      <c r="C29" s="892"/>
      <c r="D29" s="892"/>
      <c r="E29" s="892"/>
      <c r="F29" s="892"/>
      <c r="G29" s="892"/>
      <c r="H29" s="892"/>
      <c r="I29" s="892"/>
      <c r="J29" s="892"/>
      <c r="K29" s="892"/>
      <c r="L29" s="892"/>
      <c r="M29" s="892"/>
      <c r="N29" s="892"/>
      <c r="O29" s="892"/>
      <c r="P29" s="892"/>
      <c r="Q29" s="892"/>
      <c r="R29" s="892"/>
      <c r="S29" s="1128"/>
      <c r="T29" s="1092"/>
      <c r="U29" s="1092"/>
      <c r="V29" s="1092"/>
      <c r="W29" s="1092"/>
      <c r="X29" s="1092"/>
      <c r="Y29" s="1092"/>
      <c r="Z29" s="1092"/>
      <c r="AA29" s="1092"/>
      <c r="AB29" s="1092"/>
      <c r="AC29" s="1092"/>
      <c r="AD29" s="1092"/>
      <c r="AE29" s="1092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91" t="s">
        <v>142</v>
      </c>
      <c r="C30" s="892"/>
      <c r="D30" s="892"/>
      <c r="E30" s="892"/>
      <c r="F30" s="892"/>
      <c r="G30" s="892"/>
      <c r="H30" s="892"/>
      <c r="I30" s="892"/>
      <c r="J30" s="892"/>
      <c r="K30" s="892"/>
      <c r="L30" s="892"/>
      <c r="M30" s="892"/>
      <c r="N30" s="892"/>
      <c r="O30" s="892"/>
      <c r="P30" s="892"/>
      <c r="Q30" s="892"/>
      <c r="R30" s="892"/>
      <c r="S30" s="1128"/>
      <c r="T30" s="1092"/>
      <c r="U30" s="1092"/>
      <c r="V30" s="1092"/>
      <c r="W30" s="1092"/>
      <c r="X30" s="1092"/>
      <c r="Y30" s="1092"/>
      <c r="Z30" s="1092"/>
      <c r="AA30" s="1092"/>
      <c r="AB30" s="1092"/>
      <c r="AC30" s="1092"/>
      <c r="AD30" s="1092"/>
      <c r="AE30" s="1092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91" t="s">
        <v>142</v>
      </c>
      <c r="C31" s="892"/>
      <c r="D31" s="892"/>
      <c r="E31" s="892"/>
      <c r="F31" s="892"/>
      <c r="G31" s="892"/>
      <c r="H31" s="892"/>
      <c r="I31" s="892"/>
      <c r="J31" s="892"/>
      <c r="K31" s="892"/>
      <c r="L31" s="892"/>
      <c r="M31" s="892"/>
      <c r="N31" s="892"/>
      <c r="O31" s="892"/>
      <c r="P31" s="892"/>
      <c r="Q31" s="892"/>
      <c r="R31" s="892"/>
      <c r="S31" s="1128"/>
      <c r="T31" s="1092"/>
      <c r="U31" s="1092"/>
      <c r="V31" s="1092"/>
      <c r="W31" s="1092"/>
      <c r="X31" s="1092"/>
      <c r="Y31" s="1092"/>
      <c r="Z31" s="1092"/>
      <c r="AA31" s="1092"/>
      <c r="AB31" s="1092"/>
      <c r="AC31" s="1092"/>
      <c r="AD31" s="1092"/>
      <c r="AE31" s="1092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91" t="s">
        <v>142</v>
      </c>
      <c r="C32" s="892"/>
      <c r="D32" s="892"/>
      <c r="E32" s="892"/>
      <c r="F32" s="892"/>
      <c r="G32" s="892"/>
      <c r="H32" s="892"/>
      <c r="I32" s="892"/>
      <c r="J32" s="892"/>
      <c r="K32" s="892"/>
      <c r="L32" s="892"/>
      <c r="M32" s="892"/>
      <c r="N32" s="892"/>
      <c r="O32" s="892"/>
      <c r="P32" s="892"/>
      <c r="Q32" s="892"/>
      <c r="R32" s="892"/>
      <c r="S32" s="1128"/>
      <c r="T32" s="1092"/>
      <c r="U32" s="1092"/>
      <c r="V32" s="1092"/>
      <c r="W32" s="1092"/>
      <c r="X32" s="1092"/>
      <c r="Y32" s="1092"/>
      <c r="Z32" s="1092"/>
      <c r="AA32" s="1092"/>
      <c r="AB32" s="1092"/>
      <c r="AC32" s="1092"/>
      <c r="AD32" s="1092"/>
      <c r="AE32" s="1092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91" t="s">
        <v>142</v>
      </c>
      <c r="C33" s="892"/>
      <c r="D33" s="892"/>
      <c r="E33" s="892"/>
      <c r="F33" s="892"/>
      <c r="G33" s="892"/>
      <c r="H33" s="892"/>
      <c r="I33" s="892"/>
      <c r="J33" s="892"/>
      <c r="K33" s="892"/>
      <c r="L33" s="892"/>
      <c r="M33" s="892"/>
      <c r="N33" s="892"/>
      <c r="O33" s="892"/>
      <c r="P33" s="892"/>
      <c r="Q33" s="892"/>
      <c r="R33" s="892"/>
      <c r="S33" s="1128"/>
      <c r="T33" s="1092"/>
      <c r="U33" s="1092"/>
      <c r="V33" s="1092"/>
      <c r="W33" s="1092"/>
      <c r="X33" s="1092"/>
      <c r="Y33" s="1092"/>
      <c r="Z33" s="1092"/>
      <c r="AA33" s="1092"/>
      <c r="AB33" s="1092"/>
      <c r="AC33" s="1092"/>
      <c r="AD33" s="1092"/>
      <c r="AE33" s="1092"/>
    </row>
    <row r="34" spans="1:31" s="865" customFormat="1" ht="12.75" customHeight="1" outlineLevel="1" x14ac:dyDescent="0.25">
      <c r="A34" s="870" t="s">
        <v>372</v>
      </c>
      <c r="B34" s="891" t="s">
        <v>142</v>
      </c>
      <c r="C34" s="892"/>
      <c r="D34" s="892"/>
      <c r="E34" s="892"/>
      <c r="F34" s="892"/>
      <c r="G34" s="892"/>
      <c r="H34" s="892"/>
      <c r="I34" s="892"/>
      <c r="J34" s="892"/>
      <c r="K34" s="892"/>
      <c r="L34" s="892"/>
      <c r="M34" s="892"/>
      <c r="N34" s="892"/>
      <c r="O34" s="892"/>
      <c r="P34" s="892"/>
      <c r="Q34" s="892"/>
      <c r="R34" s="892"/>
      <c r="S34" s="1128"/>
      <c r="T34" s="1092"/>
      <c r="U34" s="1092"/>
      <c r="V34" s="1092"/>
      <c r="W34" s="1092"/>
      <c r="X34" s="1092"/>
      <c r="Y34" s="1092"/>
      <c r="Z34" s="1092"/>
      <c r="AA34" s="1092"/>
      <c r="AB34" s="1092"/>
      <c r="AC34" s="1092"/>
      <c r="AD34" s="1092"/>
      <c r="AE34" s="1092"/>
    </row>
    <row r="35" spans="1:31" s="865" customFormat="1" ht="12.75" customHeight="1" outlineLevel="1" x14ac:dyDescent="0.25">
      <c r="A35" s="870" t="s">
        <v>373</v>
      </c>
      <c r="B35" s="891" t="s">
        <v>142</v>
      </c>
      <c r="C35" s="892"/>
      <c r="D35" s="892"/>
      <c r="E35" s="892"/>
      <c r="F35" s="892"/>
      <c r="G35" s="892"/>
      <c r="H35" s="892"/>
      <c r="I35" s="892"/>
      <c r="J35" s="892"/>
      <c r="K35" s="892"/>
      <c r="L35" s="892"/>
      <c r="M35" s="892"/>
      <c r="N35" s="892"/>
      <c r="O35" s="892"/>
      <c r="P35" s="892"/>
      <c r="Q35" s="892"/>
      <c r="R35" s="892"/>
      <c r="S35" s="1128"/>
      <c r="T35" s="1092"/>
      <c r="U35" s="1092"/>
      <c r="V35" s="1092"/>
      <c r="W35" s="1092"/>
      <c r="X35" s="1092"/>
      <c r="Y35" s="1092"/>
      <c r="Z35" s="1092"/>
      <c r="AA35" s="1092"/>
      <c r="AB35" s="1092"/>
      <c r="AC35" s="1092"/>
      <c r="AD35" s="1092"/>
      <c r="AE35" s="1092"/>
    </row>
    <row r="36" spans="1:31" s="865" customFormat="1" ht="12.75" customHeight="1" outlineLevel="1" x14ac:dyDescent="0.25">
      <c r="A36" s="870" t="s">
        <v>374</v>
      </c>
      <c r="B36" s="891" t="s">
        <v>142</v>
      </c>
      <c r="C36" s="892"/>
      <c r="D36" s="892"/>
      <c r="E36" s="892"/>
      <c r="F36" s="892"/>
      <c r="G36" s="892"/>
      <c r="H36" s="892"/>
      <c r="I36" s="892"/>
      <c r="J36" s="892"/>
      <c r="K36" s="892"/>
      <c r="L36" s="892"/>
      <c r="M36" s="892"/>
      <c r="N36" s="892"/>
      <c r="O36" s="892"/>
      <c r="P36" s="892"/>
      <c r="Q36" s="892"/>
      <c r="R36" s="892"/>
      <c r="S36" s="1128"/>
      <c r="T36" s="1092"/>
      <c r="U36" s="1092"/>
      <c r="V36" s="1092"/>
      <c r="W36" s="1092"/>
      <c r="X36" s="1092"/>
      <c r="Y36" s="1092"/>
      <c r="Z36" s="1092"/>
      <c r="AA36" s="1092"/>
      <c r="AB36" s="1092"/>
      <c r="AC36" s="1092"/>
      <c r="AD36" s="1092"/>
      <c r="AE36" s="1092"/>
    </row>
    <row r="37" spans="1:31" s="865" customFormat="1" ht="12.75" customHeight="1" outlineLevel="1" x14ac:dyDescent="0.25">
      <c r="A37" s="870" t="s">
        <v>375</v>
      </c>
      <c r="B37" s="891" t="s">
        <v>142</v>
      </c>
      <c r="C37" s="892"/>
      <c r="D37" s="892"/>
      <c r="E37" s="892"/>
      <c r="F37" s="892"/>
      <c r="G37" s="892"/>
      <c r="H37" s="892"/>
      <c r="I37" s="892"/>
      <c r="J37" s="892"/>
      <c r="K37" s="892"/>
      <c r="L37" s="892"/>
      <c r="M37" s="892"/>
      <c r="N37" s="892"/>
      <c r="O37" s="892"/>
      <c r="P37" s="892"/>
      <c r="Q37" s="892"/>
      <c r="R37" s="892"/>
      <c r="S37" s="1128"/>
      <c r="T37" s="1092"/>
      <c r="U37" s="1092"/>
      <c r="V37" s="1092"/>
      <c r="W37" s="1092"/>
      <c r="X37" s="1092"/>
      <c r="Y37" s="1092"/>
      <c r="Z37" s="1092"/>
      <c r="AA37" s="1092"/>
      <c r="AB37" s="1092"/>
      <c r="AC37" s="1092"/>
      <c r="AD37" s="1092"/>
      <c r="AE37" s="1092"/>
    </row>
    <row r="38" spans="1:31" s="865" customFormat="1" ht="12.75" customHeight="1" outlineLevel="1" x14ac:dyDescent="0.25">
      <c r="A38" s="870" t="s">
        <v>376</v>
      </c>
      <c r="B38" s="891" t="s">
        <v>142</v>
      </c>
      <c r="C38" s="892"/>
      <c r="D38" s="892"/>
      <c r="E38" s="892"/>
      <c r="F38" s="892"/>
      <c r="G38" s="892"/>
      <c r="H38" s="892"/>
      <c r="I38" s="892"/>
      <c r="J38" s="892"/>
      <c r="K38" s="892"/>
      <c r="L38" s="892"/>
      <c r="M38" s="892"/>
      <c r="N38" s="892"/>
      <c r="O38" s="892"/>
      <c r="P38" s="892"/>
      <c r="Q38" s="892"/>
      <c r="R38" s="892"/>
      <c r="S38" s="1128"/>
      <c r="T38" s="1092"/>
      <c r="U38" s="1092"/>
      <c r="V38" s="1092"/>
      <c r="W38" s="1092"/>
      <c r="X38" s="1092"/>
      <c r="Y38" s="1092"/>
      <c r="Z38" s="1092"/>
      <c r="AA38" s="1092"/>
      <c r="AB38" s="1092"/>
      <c r="AC38" s="1092"/>
      <c r="AD38" s="1092"/>
      <c r="AE38" s="1092"/>
    </row>
    <row r="39" spans="1:31" s="865" customFormat="1" ht="12.75" customHeight="1" outlineLevel="1" x14ac:dyDescent="0.25">
      <c r="A39" s="870" t="s">
        <v>377</v>
      </c>
      <c r="B39" s="891" t="s">
        <v>184</v>
      </c>
      <c r="C39" s="892"/>
      <c r="D39" s="892"/>
      <c r="E39" s="892"/>
      <c r="F39" s="892"/>
      <c r="G39" s="892"/>
      <c r="H39" s="892"/>
      <c r="I39" s="892"/>
      <c r="J39" s="892"/>
      <c r="K39" s="892"/>
      <c r="L39" s="892"/>
      <c r="M39" s="892"/>
      <c r="N39" s="892"/>
      <c r="O39" s="892"/>
      <c r="P39" s="892"/>
      <c r="Q39" s="892"/>
      <c r="R39" s="892"/>
      <c r="S39" s="1128"/>
      <c r="T39" s="1092"/>
      <c r="U39" s="1092"/>
      <c r="V39" s="1092"/>
      <c r="W39" s="1092"/>
      <c r="X39" s="1092"/>
      <c r="Y39" s="1092"/>
      <c r="Z39" s="1092"/>
      <c r="AA39" s="1092"/>
      <c r="AB39" s="1092"/>
      <c r="AC39" s="1092"/>
      <c r="AD39" s="1092"/>
      <c r="AE39" s="1092"/>
    </row>
    <row r="40" spans="1:31" s="865" customFormat="1" ht="12.75" customHeight="1" outlineLevel="1" x14ac:dyDescent="0.25">
      <c r="A40" s="870" t="s">
        <v>367</v>
      </c>
      <c r="B40" s="891" t="s">
        <v>191</v>
      </c>
      <c r="C40" s="892"/>
      <c r="D40" s="892"/>
      <c r="E40" s="892"/>
      <c r="F40" s="892"/>
      <c r="G40" s="892"/>
      <c r="H40" s="892"/>
      <c r="I40" s="892"/>
      <c r="J40" s="892"/>
      <c r="K40" s="892"/>
      <c r="L40" s="892"/>
      <c r="M40" s="892"/>
      <c r="N40" s="892"/>
      <c r="O40" s="892"/>
      <c r="P40" s="892"/>
      <c r="Q40" s="892"/>
      <c r="R40" s="892"/>
      <c r="S40" s="1128"/>
      <c r="T40" s="1092"/>
      <c r="U40" s="1092"/>
      <c r="V40" s="1092"/>
      <c r="W40" s="1092"/>
      <c r="X40" s="1092"/>
      <c r="Y40" s="1092"/>
      <c r="Z40" s="1092"/>
      <c r="AA40" s="1092"/>
      <c r="AB40" s="1092"/>
      <c r="AC40" s="1092"/>
      <c r="AD40" s="1092"/>
      <c r="AE40" s="1092"/>
    </row>
    <row r="41" spans="1:31" s="865" customFormat="1" ht="15.75" customHeight="1" x14ac:dyDescent="0.25">
      <c r="A41" s="893" t="s">
        <v>192</v>
      </c>
      <c r="B41" s="862"/>
      <c r="C41" s="894" t="e">
        <f>+SUMPRODUCT(C42:C55,C57:C70)/C71</f>
        <v>#DIV/0!</v>
      </c>
      <c r="D41" s="894" t="e">
        <f t="shared" ref="D41:H41" si="12">+SUMPRODUCT(D42:D55,D57:D70)/D71</f>
        <v>#DIV/0!</v>
      </c>
      <c r="E41" s="894" t="e">
        <f t="shared" si="12"/>
        <v>#DIV/0!</v>
      </c>
      <c r="F41" s="894" t="e">
        <f t="shared" si="12"/>
        <v>#DIV/0!</v>
      </c>
      <c r="G41" s="894" t="e">
        <f t="shared" si="12"/>
        <v>#DIV/0!</v>
      </c>
      <c r="H41" s="894" t="e">
        <f t="shared" si="12"/>
        <v>#DIV/0!</v>
      </c>
      <c r="I41" s="894" t="e">
        <f>+SUMPRODUCT(I42:I55,I57:I70)/I71</f>
        <v>#DIV/0!</v>
      </c>
      <c r="J41" s="894" t="e">
        <f t="shared" ref="J41:N41" si="13">+SUMPRODUCT(J42:J55,J57:J70)/J71</f>
        <v>#DIV/0!</v>
      </c>
      <c r="K41" s="894" t="e">
        <f t="shared" si="13"/>
        <v>#DIV/0!</v>
      </c>
      <c r="L41" s="894" t="e">
        <f t="shared" si="13"/>
        <v>#DIV/0!</v>
      </c>
      <c r="M41" s="894" t="e">
        <f t="shared" si="13"/>
        <v>#DIV/0!</v>
      </c>
      <c r="N41" s="894" t="e">
        <f t="shared" si="13"/>
        <v>#DIV/0!</v>
      </c>
      <c r="O41" s="889"/>
      <c r="P41" s="889"/>
      <c r="Q41" s="889"/>
      <c r="R41" s="889"/>
      <c r="S41" s="890"/>
      <c r="T41" s="906"/>
      <c r="U41" s="906"/>
      <c r="V41" s="906"/>
      <c r="W41" s="906"/>
      <c r="X41" s="906"/>
      <c r="Y41" s="906"/>
      <c r="Z41" s="906"/>
      <c r="AA41" s="906"/>
      <c r="AB41" s="906"/>
      <c r="AC41" s="906"/>
      <c r="AD41" s="906"/>
      <c r="AE41" s="906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5" t="e">
        <f>C$25*C27</f>
        <v>#DIV/0!</v>
      </c>
      <c r="D42" s="895" t="e">
        <f t="shared" ref="C42:S54" si="14">D$25*D27</f>
        <v>#DIV/0!</v>
      </c>
      <c r="E42" s="895" t="e">
        <f t="shared" si="14"/>
        <v>#DIV/0!</v>
      </c>
      <c r="F42" s="895" t="e">
        <f t="shared" si="14"/>
        <v>#DIV/0!</v>
      </c>
      <c r="G42" s="895" t="e">
        <f t="shared" si="14"/>
        <v>#DIV/0!</v>
      </c>
      <c r="H42" s="895" t="e">
        <f t="shared" si="14"/>
        <v>#DIV/0!</v>
      </c>
      <c r="I42" s="895" t="e">
        <f t="shared" si="14"/>
        <v>#DIV/0!</v>
      </c>
      <c r="J42" s="895" t="e">
        <f t="shared" si="14"/>
        <v>#DIV/0!</v>
      </c>
      <c r="K42" s="895" t="e">
        <f t="shared" si="14"/>
        <v>#DIV/0!</v>
      </c>
      <c r="L42" s="895" t="e">
        <f t="shared" si="14"/>
        <v>#DIV/0!</v>
      </c>
      <c r="M42" s="895" t="e">
        <f t="shared" si="14"/>
        <v>#DIV/0!</v>
      </c>
      <c r="N42" s="895" t="e">
        <f t="shared" si="14"/>
        <v>#DIV/0!</v>
      </c>
      <c r="O42" s="895" t="e">
        <f t="shared" si="14"/>
        <v>#DIV/0!</v>
      </c>
      <c r="P42" s="895" t="e">
        <f t="shared" si="14"/>
        <v>#DIV/0!</v>
      </c>
      <c r="Q42" s="895" t="e">
        <f t="shared" si="14"/>
        <v>#DIV/0!</v>
      </c>
      <c r="R42" s="895" t="e">
        <f t="shared" si="14"/>
        <v>#DIV/0!</v>
      </c>
      <c r="S42" s="1129" t="e">
        <f t="shared" si="14"/>
        <v>#DIV/0!</v>
      </c>
      <c r="T42" s="1093"/>
      <c r="U42" s="1093"/>
      <c r="V42" s="1093"/>
      <c r="W42" s="1093"/>
      <c r="X42" s="1093"/>
      <c r="Y42" s="1093"/>
      <c r="Z42" s="1093"/>
      <c r="AA42" s="1093"/>
      <c r="AB42" s="1093"/>
      <c r="AC42" s="1093"/>
      <c r="AD42" s="1093"/>
      <c r="AE42" s="1093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5" t="e">
        <f t="shared" si="14"/>
        <v>#DIV/0!</v>
      </c>
      <c r="D43" s="895" t="e">
        <f t="shared" si="14"/>
        <v>#DIV/0!</v>
      </c>
      <c r="E43" s="895" t="e">
        <f t="shared" si="14"/>
        <v>#DIV/0!</v>
      </c>
      <c r="F43" s="895" t="e">
        <f t="shared" si="14"/>
        <v>#DIV/0!</v>
      </c>
      <c r="G43" s="895" t="e">
        <f t="shared" si="14"/>
        <v>#DIV/0!</v>
      </c>
      <c r="H43" s="895" t="e">
        <f t="shared" si="14"/>
        <v>#DIV/0!</v>
      </c>
      <c r="I43" s="895" t="e">
        <f t="shared" si="14"/>
        <v>#DIV/0!</v>
      </c>
      <c r="J43" s="895" t="e">
        <f t="shared" si="14"/>
        <v>#DIV/0!</v>
      </c>
      <c r="K43" s="895" t="e">
        <f t="shared" si="14"/>
        <v>#DIV/0!</v>
      </c>
      <c r="L43" s="895" t="e">
        <f t="shared" si="14"/>
        <v>#DIV/0!</v>
      </c>
      <c r="M43" s="895" t="e">
        <f t="shared" si="14"/>
        <v>#DIV/0!</v>
      </c>
      <c r="N43" s="895" t="e">
        <f t="shared" si="14"/>
        <v>#DIV/0!</v>
      </c>
      <c r="O43" s="895" t="e">
        <f t="shared" si="14"/>
        <v>#DIV/0!</v>
      </c>
      <c r="P43" s="895" t="e">
        <f t="shared" si="14"/>
        <v>#DIV/0!</v>
      </c>
      <c r="Q43" s="895" t="e">
        <f t="shared" si="14"/>
        <v>#DIV/0!</v>
      </c>
      <c r="R43" s="895" t="e">
        <f t="shared" si="14"/>
        <v>#DIV/0!</v>
      </c>
      <c r="S43" s="1129" t="e">
        <f t="shared" si="14"/>
        <v>#DIV/0!</v>
      </c>
      <c r="T43" s="1093"/>
      <c r="U43" s="1093"/>
      <c r="V43" s="1093"/>
      <c r="W43" s="1093"/>
      <c r="X43" s="1093"/>
      <c r="Y43" s="1093"/>
      <c r="Z43" s="1093"/>
      <c r="AA43" s="1093"/>
      <c r="AB43" s="1093"/>
      <c r="AC43" s="1093"/>
      <c r="AD43" s="1093"/>
      <c r="AE43" s="1093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5" t="e">
        <f t="shared" si="14"/>
        <v>#DIV/0!</v>
      </c>
      <c r="D44" s="895" t="e">
        <f t="shared" si="14"/>
        <v>#DIV/0!</v>
      </c>
      <c r="E44" s="895" t="e">
        <f t="shared" si="14"/>
        <v>#DIV/0!</v>
      </c>
      <c r="F44" s="895" t="e">
        <f t="shared" si="14"/>
        <v>#DIV/0!</v>
      </c>
      <c r="G44" s="895" t="e">
        <f t="shared" si="14"/>
        <v>#DIV/0!</v>
      </c>
      <c r="H44" s="895" t="e">
        <f t="shared" si="14"/>
        <v>#DIV/0!</v>
      </c>
      <c r="I44" s="895" t="e">
        <f t="shared" si="14"/>
        <v>#DIV/0!</v>
      </c>
      <c r="J44" s="895" t="e">
        <f t="shared" si="14"/>
        <v>#DIV/0!</v>
      </c>
      <c r="K44" s="895" t="e">
        <f t="shared" si="14"/>
        <v>#DIV/0!</v>
      </c>
      <c r="L44" s="895" t="e">
        <f t="shared" si="14"/>
        <v>#DIV/0!</v>
      </c>
      <c r="M44" s="895" t="e">
        <f t="shared" si="14"/>
        <v>#DIV/0!</v>
      </c>
      <c r="N44" s="895" t="e">
        <f t="shared" si="14"/>
        <v>#DIV/0!</v>
      </c>
      <c r="O44" s="895" t="e">
        <f t="shared" si="14"/>
        <v>#DIV/0!</v>
      </c>
      <c r="P44" s="895" t="e">
        <f t="shared" si="14"/>
        <v>#DIV/0!</v>
      </c>
      <c r="Q44" s="895" t="e">
        <f t="shared" si="14"/>
        <v>#DIV/0!</v>
      </c>
      <c r="R44" s="895" t="e">
        <f t="shared" si="14"/>
        <v>#DIV/0!</v>
      </c>
      <c r="S44" s="1129" t="e">
        <f t="shared" si="14"/>
        <v>#DIV/0!</v>
      </c>
      <c r="T44" s="1093"/>
      <c r="U44" s="1093"/>
      <c r="V44" s="1093"/>
      <c r="W44" s="1093"/>
      <c r="X44" s="1093"/>
      <c r="Y44" s="1093"/>
      <c r="Z44" s="1093"/>
      <c r="AA44" s="1093"/>
      <c r="AB44" s="1093"/>
      <c r="AC44" s="1093"/>
      <c r="AD44" s="1093"/>
      <c r="AE44" s="1093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5" t="e">
        <f>C$25*C30</f>
        <v>#DIV/0!</v>
      </c>
      <c r="D45" s="895" t="e">
        <f t="shared" si="14"/>
        <v>#DIV/0!</v>
      </c>
      <c r="E45" s="895" t="e">
        <f t="shared" si="14"/>
        <v>#DIV/0!</v>
      </c>
      <c r="F45" s="895" t="e">
        <f t="shared" si="14"/>
        <v>#DIV/0!</v>
      </c>
      <c r="G45" s="895" t="e">
        <f t="shared" si="14"/>
        <v>#DIV/0!</v>
      </c>
      <c r="H45" s="895" t="e">
        <f t="shared" si="14"/>
        <v>#DIV/0!</v>
      </c>
      <c r="I45" s="895" t="e">
        <f t="shared" si="14"/>
        <v>#DIV/0!</v>
      </c>
      <c r="J45" s="895" t="e">
        <f t="shared" si="14"/>
        <v>#DIV/0!</v>
      </c>
      <c r="K45" s="895" t="e">
        <f t="shared" si="14"/>
        <v>#DIV/0!</v>
      </c>
      <c r="L45" s="895" t="e">
        <f t="shared" si="14"/>
        <v>#DIV/0!</v>
      </c>
      <c r="M45" s="895" t="e">
        <f t="shared" si="14"/>
        <v>#DIV/0!</v>
      </c>
      <c r="N45" s="895" t="e">
        <f t="shared" si="14"/>
        <v>#DIV/0!</v>
      </c>
      <c r="O45" s="895" t="e">
        <f t="shared" si="14"/>
        <v>#DIV/0!</v>
      </c>
      <c r="P45" s="895" t="e">
        <f t="shared" si="14"/>
        <v>#DIV/0!</v>
      </c>
      <c r="Q45" s="895" t="e">
        <f t="shared" si="14"/>
        <v>#DIV/0!</v>
      </c>
      <c r="R45" s="895" t="e">
        <f t="shared" si="14"/>
        <v>#DIV/0!</v>
      </c>
      <c r="S45" s="1129" t="e">
        <f t="shared" si="14"/>
        <v>#DIV/0!</v>
      </c>
      <c r="T45" s="1093"/>
      <c r="U45" s="1093"/>
      <c r="V45" s="1093"/>
      <c r="W45" s="1093"/>
      <c r="X45" s="1093"/>
      <c r="Y45" s="1093"/>
      <c r="Z45" s="1093"/>
      <c r="AA45" s="1093"/>
      <c r="AB45" s="1093"/>
      <c r="AC45" s="1093"/>
      <c r="AD45" s="1093"/>
      <c r="AE45" s="1093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5" t="e">
        <f t="shared" si="14"/>
        <v>#DIV/0!</v>
      </c>
      <c r="D46" s="895" t="e">
        <f t="shared" si="14"/>
        <v>#DIV/0!</v>
      </c>
      <c r="E46" s="895" t="e">
        <f t="shared" si="14"/>
        <v>#DIV/0!</v>
      </c>
      <c r="F46" s="895" t="e">
        <f t="shared" si="14"/>
        <v>#DIV/0!</v>
      </c>
      <c r="G46" s="895" t="e">
        <f t="shared" si="14"/>
        <v>#DIV/0!</v>
      </c>
      <c r="H46" s="895" t="e">
        <f t="shared" si="14"/>
        <v>#DIV/0!</v>
      </c>
      <c r="I46" s="895" t="e">
        <f t="shared" si="14"/>
        <v>#DIV/0!</v>
      </c>
      <c r="J46" s="895" t="e">
        <f t="shared" si="14"/>
        <v>#DIV/0!</v>
      </c>
      <c r="K46" s="895" t="e">
        <f t="shared" si="14"/>
        <v>#DIV/0!</v>
      </c>
      <c r="L46" s="895" t="e">
        <f t="shared" si="14"/>
        <v>#DIV/0!</v>
      </c>
      <c r="M46" s="895" t="e">
        <f t="shared" si="14"/>
        <v>#DIV/0!</v>
      </c>
      <c r="N46" s="895" t="e">
        <f t="shared" si="14"/>
        <v>#DIV/0!</v>
      </c>
      <c r="O46" s="895" t="e">
        <f t="shared" si="14"/>
        <v>#DIV/0!</v>
      </c>
      <c r="P46" s="895" t="e">
        <f t="shared" si="14"/>
        <v>#DIV/0!</v>
      </c>
      <c r="Q46" s="895" t="e">
        <f t="shared" si="14"/>
        <v>#DIV/0!</v>
      </c>
      <c r="R46" s="895" t="e">
        <f t="shared" si="14"/>
        <v>#DIV/0!</v>
      </c>
      <c r="S46" s="1129" t="e">
        <f t="shared" si="14"/>
        <v>#DIV/0!</v>
      </c>
      <c r="T46" s="1093"/>
      <c r="U46" s="1093"/>
      <c r="V46" s="1093"/>
      <c r="W46" s="1093"/>
      <c r="X46" s="1093"/>
      <c r="Y46" s="1093"/>
      <c r="Z46" s="1093"/>
      <c r="AA46" s="1093"/>
      <c r="AB46" s="1093"/>
      <c r="AC46" s="1093"/>
      <c r="AD46" s="1093"/>
      <c r="AE46" s="1093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5" t="e">
        <f t="shared" si="14"/>
        <v>#DIV/0!</v>
      </c>
      <c r="D47" s="895" t="e">
        <f t="shared" si="14"/>
        <v>#DIV/0!</v>
      </c>
      <c r="E47" s="895" t="e">
        <f t="shared" si="14"/>
        <v>#DIV/0!</v>
      </c>
      <c r="F47" s="895" t="e">
        <f t="shared" si="14"/>
        <v>#DIV/0!</v>
      </c>
      <c r="G47" s="895" t="e">
        <f t="shared" si="14"/>
        <v>#DIV/0!</v>
      </c>
      <c r="H47" s="895" t="e">
        <f t="shared" si="14"/>
        <v>#DIV/0!</v>
      </c>
      <c r="I47" s="895" t="e">
        <f t="shared" si="14"/>
        <v>#DIV/0!</v>
      </c>
      <c r="J47" s="895" t="e">
        <f t="shared" si="14"/>
        <v>#DIV/0!</v>
      </c>
      <c r="K47" s="895" t="e">
        <f t="shared" si="14"/>
        <v>#DIV/0!</v>
      </c>
      <c r="L47" s="895" t="e">
        <f t="shared" si="14"/>
        <v>#DIV/0!</v>
      </c>
      <c r="M47" s="895" t="e">
        <f t="shared" si="14"/>
        <v>#DIV/0!</v>
      </c>
      <c r="N47" s="895" t="e">
        <f t="shared" si="14"/>
        <v>#DIV/0!</v>
      </c>
      <c r="O47" s="895" t="e">
        <f t="shared" si="14"/>
        <v>#DIV/0!</v>
      </c>
      <c r="P47" s="895" t="e">
        <f t="shared" si="14"/>
        <v>#DIV/0!</v>
      </c>
      <c r="Q47" s="895" t="e">
        <f t="shared" si="14"/>
        <v>#DIV/0!</v>
      </c>
      <c r="R47" s="895" t="e">
        <f t="shared" si="14"/>
        <v>#DIV/0!</v>
      </c>
      <c r="S47" s="1129" t="e">
        <f t="shared" si="14"/>
        <v>#DIV/0!</v>
      </c>
      <c r="T47" s="1093"/>
      <c r="U47" s="1093"/>
      <c r="V47" s="1093"/>
      <c r="W47" s="1093"/>
      <c r="X47" s="1093"/>
      <c r="Y47" s="1093"/>
      <c r="Z47" s="1093"/>
      <c r="AA47" s="1093"/>
      <c r="AB47" s="1093"/>
      <c r="AC47" s="1093"/>
      <c r="AD47" s="1093"/>
      <c r="AE47" s="1093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5" t="e">
        <f t="shared" si="14"/>
        <v>#DIV/0!</v>
      </c>
      <c r="D48" s="895" t="e">
        <f t="shared" si="14"/>
        <v>#DIV/0!</v>
      </c>
      <c r="E48" s="895" t="e">
        <f t="shared" si="14"/>
        <v>#DIV/0!</v>
      </c>
      <c r="F48" s="895" t="e">
        <f t="shared" si="14"/>
        <v>#DIV/0!</v>
      </c>
      <c r="G48" s="895" t="e">
        <f t="shared" si="14"/>
        <v>#DIV/0!</v>
      </c>
      <c r="H48" s="895" t="e">
        <f t="shared" si="14"/>
        <v>#DIV/0!</v>
      </c>
      <c r="I48" s="895" t="e">
        <f t="shared" si="14"/>
        <v>#DIV/0!</v>
      </c>
      <c r="J48" s="895" t="e">
        <f t="shared" si="14"/>
        <v>#DIV/0!</v>
      </c>
      <c r="K48" s="895" t="e">
        <f t="shared" si="14"/>
        <v>#DIV/0!</v>
      </c>
      <c r="L48" s="895" t="e">
        <f t="shared" si="14"/>
        <v>#DIV/0!</v>
      </c>
      <c r="M48" s="895" t="e">
        <f t="shared" si="14"/>
        <v>#DIV/0!</v>
      </c>
      <c r="N48" s="895" t="e">
        <f t="shared" si="14"/>
        <v>#DIV/0!</v>
      </c>
      <c r="O48" s="895" t="e">
        <f t="shared" si="14"/>
        <v>#DIV/0!</v>
      </c>
      <c r="P48" s="895" t="e">
        <f t="shared" si="14"/>
        <v>#DIV/0!</v>
      </c>
      <c r="Q48" s="895" t="e">
        <f t="shared" si="14"/>
        <v>#DIV/0!</v>
      </c>
      <c r="R48" s="895" t="e">
        <f t="shared" si="14"/>
        <v>#DIV/0!</v>
      </c>
      <c r="S48" s="1129" t="e">
        <f t="shared" si="14"/>
        <v>#DIV/0!</v>
      </c>
      <c r="T48" s="1093"/>
      <c r="U48" s="1093"/>
      <c r="V48" s="1093"/>
      <c r="W48" s="1093"/>
      <c r="X48" s="1093"/>
      <c r="Y48" s="1093"/>
      <c r="Z48" s="1093"/>
      <c r="AA48" s="1093"/>
      <c r="AB48" s="1093"/>
      <c r="AC48" s="1093"/>
      <c r="AD48" s="1093"/>
      <c r="AE48" s="1093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5" t="e">
        <f t="shared" si="14"/>
        <v>#DIV/0!</v>
      </c>
      <c r="D49" s="895" t="e">
        <f t="shared" si="14"/>
        <v>#DIV/0!</v>
      </c>
      <c r="E49" s="895" t="e">
        <f t="shared" si="14"/>
        <v>#DIV/0!</v>
      </c>
      <c r="F49" s="895" t="e">
        <f t="shared" si="14"/>
        <v>#DIV/0!</v>
      </c>
      <c r="G49" s="895" t="e">
        <f t="shared" si="14"/>
        <v>#DIV/0!</v>
      </c>
      <c r="H49" s="895" t="e">
        <f t="shared" si="14"/>
        <v>#DIV/0!</v>
      </c>
      <c r="I49" s="895" t="e">
        <f t="shared" si="14"/>
        <v>#DIV/0!</v>
      </c>
      <c r="J49" s="895" t="e">
        <f t="shared" si="14"/>
        <v>#DIV/0!</v>
      </c>
      <c r="K49" s="895" t="e">
        <f t="shared" si="14"/>
        <v>#DIV/0!</v>
      </c>
      <c r="L49" s="895" t="e">
        <f t="shared" si="14"/>
        <v>#DIV/0!</v>
      </c>
      <c r="M49" s="895" t="e">
        <f t="shared" si="14"/>
        <v>#DIV/0!</v>
      </c>
      <c r="N49" s="895" t="e">
        <f t="shared" si="14"/>
        <v>#DIV/0!</v>
      </c>
      <c r="O49" s="895" t="e">
        <f t="shared" si="14"/>
        <v>#DIV/0!</v>
      </c>
      <c r="P49" s="895" t="e">
        <f t="shared" si="14"/>
        <v>#DIV/0!</v>
      </c>
      <c r="Q49" s="895" t="e">
        <f t="shared" si="14"/>
        <v>#DIV/0!</v>
      </c>
      <c r="R49" s="895" t="e">
        <f t="shared" si="14"/>
        <v>#DIV/0!</v>
      </c>
      <c r="S49" s="1129" t="e">
        <f t="shared" si="14"/>
        <v>#DIV/0!</v>
      </c>
      <c r="T49" s="1093"/>
      <c r="U49" s="1093"/>
      <c r="V49" s="1093"/>
      <c r="W49" s="1093"/>
      <c r="X49" s="1093"/>
      <c r="Y49" s="1093"/>
      <c r="Z49" s="1093"/>
      <c r="AA49" s="1093"/>
      <c r="AB49" s="1093"/>
      <c r="AC49" s="1093"/>
      <c r="AD49" s="1093"/>
      <c r="AE49" s="1093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5" t="e">
        <f t="shared" si="14"/>
        <v>#DIV/0!</v>
      </c>
      <c r="D50" s="895" t="e">
        <f t="shared" si="14"/>
        <v>#DIV/0!</v>
      </c>
      <c r="E50" s="895" t="e">
        <f t="shared" si="14"/>
        <v>#DIV/0!</v>
      </c>
      <c r="F50" s="895" t="e">
        <f t="shared" si="14"/>
        <v>#DIV/0!</v>
      </c>
      <c r="G50" s="895" t="e">
        <f t="shared" si="14"/>
        <v>#DIV/0!</v>
      </c>
      <c r="H50" s="895" t="e">
        <f t="shared" si="14"/>
        <v>#DIV/0!</v>
      </c>
      <c r="I50" s="895" t="e">
        <f t="shared" si="14"/>
        <v>#DIV/0!</v>
      </c>
      <c r="J50" s="895" t="e">
        <f t="shared" si="14"/>
        <v>#DIV/0!</v>
      </c>
      <c r="K50" s="895" t="e">
        <f t="shared" si="14"/>
        <v>#DIV/0!</v>
      </c>
      <c r="L50" s="895" t="e">
        <f t="shared" si="14"/>
        <v>#DIV/0!</v>
      </c>
      <c r="M50" s="895" t="e">
        <f t="shared" si="14"/>
        <v>#DIV/0!</v>
      </c>
      <c r="N50" s="895" t="e">
        <f t="shared" si="14"/>
        <v>#DIV/0!</v>
      </c>
      <c r="O50" s="895" t="e">
        <f t="shared" si="14"/>
        <v>#DIV/0!</v>
      </c>
      <c r="P50" s="895" t="e">
        <f t="shared" si="14"/>
        <v>#DIV/0!</v>
      </c>
      <c r="Q50" s="895" t="e">
        <f t="shared" si="14"/>
        <v>#DIV/0!</v>
      </c>
      <c r="R50" s="895" t="e">
        <f t="shared" si="14"/>
        <v>#DIV/0!</v>
      </c>
      <c r="S50" s="1129" t="e">
        <f t="shared" si="14"/>
        <v>#DIV/0!</v>
      </c>
      <c r="T50" s="1093"/>
      <c r="U50" s="1093"/>
      <c r="V50" s="1093"/>
      <c r="W50" s="1093"/>
      <c r="X50" s="1093"/>
      <c r="Y50" s="1093"/>
      <c r="Z50" s="1093"/>
      <c r="AA50" s="1093"/>
      <c r="AB50" s="1093"/>
      <c r="AC50" s="1093"/>
      <c r="AD50" s="1093"/>
      <c r="AE50" s="1093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5" t="e">
        <f t="shared" si="14"/>
        <v>#DIV/0!</v>
      </c>
      <c r="D51" s="895" t="e">
        <f t="shared" si="14"/>
        <v>#DIV/0!</v>
      </c>
      <c r="E51" s="895" t="e">
        <f t="shared" si="14"/>
        <v>#DIV/0!</v>
      </c>
      <c r="F51" s="895" t="e">
        <f t="shared" si="14"/>
        <v>#DIV/0!</v>
      </c>
      <c r="G51" s="895" t="e">
        <f t="shared" si="14"/>
        <v>#DIV/0!</v>
      </c>
      <c r="H51" s="895" t="e">
        <f t="shared" si="14"/>
        <v>#DIV/0!</v>
      </c>
      <c r="I51" s="895" t="e">
        <f t="shared" si="14"/>
        <v>#DIV/0!</v>
      </c>
      <c r="J51" s="895" t="e">
        <f t="shared" si="14"/>
        <v>#DIV/0!</v>
      </c>
      <c r="K51" s="895" t="e">
        <f t="shared" si="14"/>
        <v>#DIV/0!</v>
      </c>
      <c r="L51" s="895" t="e">
        <f t="shared" si="14"/>
        <v>#DIV/0!</v>
      </c>
      <c r="M51" s="895" t="e">
        <f t="shared" si="14"/>
        <v>#DIV/0!</v>
      </c>
      <c r="N51" s="895" t="e">
        <f t="shared" si="14"/>
        <v>#DIV/0!</v>
      </c>
      <c r="O51" s="895" t="e">
        <f t="shared" si="14"/>
        <v>#DIV/0!</v>
      </c>
      <c r="P51" s="895" t="e">
        <f t="shared" si="14"/>
        <v>#DIV/0!</v>
      </c>
      <c r="Q51" s="895" t="e">
        <f t="shared" si="14"/>
        <v>#DIV/0!</v>
      </c>
      <c r="R51" s="895" t="e">
        <f t="shared" si="14"/>
        <v>#DIV/0!</v>
      </c>
      <c r="S51" s="1129" t="e">
        <f t="shared" si="14"/>
        <v>#DIV/0!</v>
      </c>
      <c r="T51" s="1093"/>
      <c r="U51" s="1093"/>
      <c r="V51" s="1093"/>
      <c r="W51" s="1093"/>
      <c r="X51" s="1093"/>
      <c r="Y51" s="1093"/>
      <c r="Z51" s="1093"/>
      <c r="AA51" s="1093"/>
      <c r="AB51" s="1093"/>
      <c r="AC51" s="1093"/>
      <c r="AD51" s="1093"/>
      <c r="AE51" s="1093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5" t="e">
        <f t="shared" si="14"/>
        <v>#DIV/0!</v>
      </c>
      <c r="D52" s="895" t="e">
        <f t="shared" si="14"/>
        <v>#DIV/0!</v>
      </c>
      <c r="E52" s="895" t="e">
        <f t="shared" si="14"/>
        <v>#DIV/0!</v>
      </c>
      <c r="F52" s="895" t="e">
        <f t="shared" si="14"/>
        <v>#DIV/0!</v>
      </c>
      <c r="G52" s="895" t="e">
        <f t="shared" si="14"/>
        <v>#DIV/0!</v>
      </c>
      <c r="H52" s="895" t="e">
        <f t="shared" si="14"/>
        <v>#DIV/0!</v>
      </c>
      <c r="I52" s="895" t="e">
        <f t="shared" si="14"/>
        <v>#DIV/0!</v>
      </c>
      <c r="J52" s="895" t="e">
        <f t="shared" si="14"/>
        <v>#DIV/0!</v>
      </c>
      <c r="K52" s="895" t="e">
        <f t="shared" si="14"/>
        <v>#DIV/0!</v>
      </c>
      <c r="L52" s="895" t="e">
        <f t="shared" si="14"/>
        <v>#DIV/0!</v>
      </c>
      <c r="M52" s="895" t="e">
        <f t="shared" si="14"/>
        <v>#DIV/0!</v>
      </c>
      <c r="N52" s="895" t="e">
        <f t="shared" si="14"/>
        <v>#DIV/0!</v>
      </c>
      <c r="O52" s="895" t="e">
        <f t="shared" si="14"/>
        <v>#DIV/0!</v>
      </c>
      <c r="P52" s="895" t="e">
        <f t="shared" si="14"/>
        <v>#DIV/0!</v>
      </c>
      <c r="Q52" s="895" t="e">
        <f t="shared" si="14"/>
        <v>#DIV/0!</v>
      </c>
      <c r="R52" s="895" t="e">
        <f t="shared" si="14"/>
        <v>#DIV/0!</v>
      </c>
      <c r="S52" s="1129" t="e">
        <f t="shared" si="14"/>
        <v>#DIV/0!</v>
      </c>
      <c r="T52" s="1093"/>
      <c r="U52" s="1093"/>
      <c r="V52" s="1093"/>
      <c r="W52" s="1093"/>
      <c r="X52" s="1093"/>
      <c r="Y52" s="1093"/>
      <c r="Z52" s="1093"/>
      <c r="AA52" s="1093"/>
      <c r="AB52" s="1093"/>
      <c r="AC52" s="1093"/>
      <c r="AD52" s="1093"/>
      <c r="AE52" s="1093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5" t="e">
        <f t="shared" si="14"/>
        <v>#DIV/0!</v>
      </c>
      <c r="D53" s="895" t="e">
        <f t="shared" si="14"/>
        <v>#DIV/0!</v>
      </c>
      <c r="E53" s="895" t="e">
        <f t="shared" si="14"/>
        <v>#DIV/0!</v>
      </c>
      <c r="F53" s="895" t="e">
        <f t="shared" si="14"/>
        <v>#DIV/0!</v>
      </c>
      <c r="G53" s="895" t="e">
        <f>G$25*G38</f>
        <v>#DIV/0!</v>
      </c>
      <c r="H53" s="895" t="e">
        <f t="shared" si="14"/>
        <v>#DIV/0!</v>
      </c>
      <c r="I53" s="895" t="e">
        <f t="shared" si="14"/>
        <v>#DIV/0!</v>
      </c>
      <c r="J53" s="895" t="e">
        <f t="shared" si="14"/>
        <v>#DIV/0!</v>
      </c>
      <c r="K53" s="895" t="e">
        <f t="shared" si="14"/>
        <v>#DIV/0!</v>
      </c>
      <c r="L53" s="895" t="e">
        <f t="shared" si="14"/>
        <v>#DIV/0!</v>
      </c>
      <c r="M53" s="895" t="e">
        <f t="shared" si="14"/>
        <v>#DIV/0!</v>
      </c>
      <c r="N53" s="895" t="e">
        <f t="shared" si="14"/>
        <v>#DIV/0!</v>
      </c>
      <c r="O53" s="895" t="e">
        <f t="shared" si="14"/>
        <v>#DIV/0!</v>
      </c>
      <c r="P53" s="895" t="e">
        <f t="shared" si="14"/>
        <v>#DIV/0!</v>
      </c>
      <c r="Q53" s="895" t="e">
        <f t="shared" si="14"/>
        <v>#DIV/0!</v>
      </c>
      <c r="R53" s="895" t="e">
        <f t="shared" si="14"/>
        <v>#DIV/0!</v>
      </c>
      <c r="S53" s="1129" t="e">
        <f t="shared" si="14"/>
        <v>#DIV/0!</v>
      </c>
      <c r="T53" s="1093"/>
      <c r="U53" s="1093"/>
      <c r="V53" s="1093"/>
      <c r="W53" s="1093"/>
      <c r="X53" s="1093"/>
      <c r="Y53" s="1093"/>
      <c r="Z53" s="1093"/>
      <c r="AA53" s="1093"/>
      <c r="AB53" s="1093"/>
      <c r="AC53" s="1093"/>
      <c r="AD53" s="1093"/>
      <c r="AE53" s="1093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5" t="e">
        <f t="shared" si="14"/>
        <v>#DIV/0!</v>
      </c>
      <c r="D54" s="895" t="e">
        <f t="shared" si="14"/>
        <v>#DIV/0!</v>
      </c>
      <c r="E54" s="895" t="e">
        <f t="shared" si="14"/>
        <v>#DIV/0!</v>
      </c>
      <c r="F54" s="895" t="e">
        <f t="shared" si="14"/>
        <v>#DIV/0!</v>
      </c>
      <c r="G54" s="895" t="e">
        <f t="shared" si="14"/>
        <v>#DIV/0!</v>
      </c>
      <c r="H54" s="895" t="e">
        <f t="shared" si="14"/>
        <v>#DIV/0!</v>
      </c>
      <c r="I54" s="895" t="e">
        <f t="shared" si="14"/>
        <v>#DIV/0!</v>
      </c>
      <c r="J54" s="895" t="e">
        <f t="shared" si="14"/>
        <v>#DIV/0!</v>
      </c>
      <c r="K54" s="895" t="e">
        <f t="shared" si="14"/>
        <v>#DIV/0!</v>
      </c>
      <c r="L54" s="895" t="e">
        <f t="shared" si="14"/>
        <v>#DIV/0!</v>
      </c>
      <c r="M54" s="895" t="e">
        <f t="shared" si="14"/>
        <v>#DIV/0!</v>
      </c>
      <c r="N54" s="895" t="e">
        <f t="shared" si="14"/>
        <v>#DIV/0!</v>
      </c>
      <c r="O54" s="895" t="e">
        <f t="shared" si="14"/>
        <v>#DIV/0!</v>
      </c>
      <c r="P54" s="895" t="e">
        <f t="shared" si="14"/>
        <v>#DIV/0!</v>
      </c>
      <c r="Q54" s="895" t="e">
        <f t="shared" si="14"/>
        <v>#DIV/0!</v>
      </c>
      <c r="R54" s="895" t="e">
        <f t="shared" si="14"/>
        <v>#DIV/0!</v>
      </c>
      <c r="S54" s="1129" t="e">
        <f t="shared" si="14"/>
        <v>#DIV/0!</v>
      </c>
      <c r="T54" s="1093"/>
      <c r="U54" s="1093"/>
      <c r="V54" s="1093"/>
      <c r="W54" s="1093"/>
      <c r="X54" s="1093"/>
      <c r="Y54" s="1093"/>
      <c r="Z54" s="1093"/>
      <c r="AA54" s="1093"/>
      <c r="AB54" s="1093"/>
      <c r="AC54" s="1093"/>
      <c r="AD54" s="1093"/>
      <c r="AE54" s="1093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5">
        <f>(C14*7.3-109.5)*0.5*0.4*C20+C24</f>
        <v>23.553699999999999</v>
      </c>
      <c r="D55" s="895">
        <f t="shared" ref="D55:N55" si="15">(D14*7.3-109.5)*0.5*0.4*D20+D24</f>
        <v>23.553699999999999</v>
      </c>
      <c r="E55" s="895">
        <f t="shared" si="15"/>
        <v>23.553699999999999</v>
      </c>
      <c r="F55" s="895">
        <f t="shared" si="15"/>
        <v>23.553699999999999</v>
      </c>
      <c r="G55" s="895">
        <f t="shared" si="15"/>
        <v>23.553699999999999</v>
      </c>
      <c r="H55" s="895">
        <f t="shared" si="15"/>
        <v>23.553699999999999</v>
      </c>
      <c r="I55" s="895">
        <f t="shared" si="15"/>
        <v>23.553699999999999</v>
      </c>
      <c r="J55" s="895">
        <f t="shared" si="15"/>
        <v>23.553699999999999</v>
      </c>
      <c r="K55" s="895">
        <f t="shared" si="15"/>
        <v>23.553699999999999</v>
      </c>
      <c r="L55" s="895">
        <f t="shared" si="15"/>
        <v>23.553699999999999</v>
      </c>
      <c r="M55" s="895">
        <f t="shared" si="15"/>
        <v>23.553699999999999</v>
      </c>
      <c r="N55" s="895">
        <f t="shared" si="15"/>
        <v>23.553699999999999</v>
      </c>
      <c r="O55" s="895">
        <f t="shared" ref="O55" si="16">AVERAGE(C55:E55)</f>
        <v>23.553700000000003</v>
      </c>
      <c r="P55" s="895">
        <f t="shared" ref="P55" si="17">AVERAGE(F55:H55)</f>
        <v>23.553700000000003</v>
      </c>
      <c r="Q55" s="895">
        <f t="shared" ref="Q55" si="18">AVERAGE(I55:K55)</f>
        <v>23.553700000000003</v>
      </c>
      <c r="R55" s="895">
        <f t="shared" ref="R55" si="19">AVERAGE(L55:N55)</f>
        <v>23.553700000000003</v>
      </c>
      <c r="S55" s="1129">
        <f t="shared" ref="S55" si="20">AVERAGE(C55:N55)</f>
        <v>23.553699999999996</v>
      </c>
      <c r="T55" s="1093"/>
      <c r="U55" s="1093"/>
      <c r="V55" s="1093"/>
      <c r="W55" s="1093"/>
      <c r="X55" s="1093"/>
      <c r="Y55" s="1093"/>
      <c r="Z55" s="1093"/>
      <c r="AA55" s="1093"/>
      <c r="AB55" s="1093"/>
      <c r="AC55" s="1093"/>
      <c r="AD55" s="1093"/>
      <c r="AE55" s="1093"/>
    </row>
    <row r="56" spans="1:34" s="899" customFormat="1" x14ac:dyDescent="0.25">
      <c r="A56" s="897" t="s">
        <v>193</v>
      </c>
      <c r="B56" s="859" t="s">
        <v>194</v>
      </c>
      <c r="C56" s="898" t="s">
        <v>195</v>
      </c>
      <c r="D56" s="898" t="s">
        <v>196</v>
      </c>
      <c r="E56" s="898" t="s">
        <v>197</v>
      </c>
      <c r="F56" s="898" t="s">
        <v>198</v>
      </c>
      <c r="G56" s="898" t="s">
        <v>21</v>
      </c>
      <c r="H56" s="898" t="s">
        <v>199</v>
      </c>
      <c r="I56" s="898" t="s">
        <v>200</v>
      </c>
      <c r="J56" s="898" t="s">
        <v>201</v>
      </c>
      <c r="K56" s="898" t="s">
        <v>202</v>
      </c>
      <c r="L56" s="898" t="s">
        <v>203</v>
      </c>
      <c r="M56" s="898" t="s">
        <v>204</v>
      </c>
      <c r="N56" s="898" t="s">
        <v>205</v>
      </c>
      <c r="O56" s="898" t="s">
        <v>147</v>
      </c>
      <c r="P56" s="898" t="s">
        <v>148</v>
      </c>
      <c r="Q56" s="898" t="s">
        <v>149</v>
      </c>
      <c r="R56" s="898" t="s">
        <v>150</v>
      </c>
      <c r="S56" s="1130">
        <f>$S$11</f>
        <v>2022</v>
      </c>
      <c r="T56" s="1084"/>
      <c r="U56" s="1084"/>
      <c r="V56" s="1084"/>
      <c r="W56" s="1084"/>
      <c r="X56" s="1094"/>
      <c r="Y56" s="1094"/>
      <c r="Z56" s="1094"/>
      <c r="AA56" s="1094"/>
      <c r="AB56" s="1094"/>
      <c r="AC56" s="1094"/>
      <c r="AD56" s="1094"/>
      <c r="AE56" s="1094"/>
      <c r="AH56" s="865"/>
    </row>
    <row r="57" spans="1:34" s="865" customFormat="1" x14ac:dyDescent="0.25">
      <c r="A57" s="870" t="s">
        <v>364</v>
      </c>
      <c r="B57" s="870" t="s">
        <v>364</v>
      </c>
      <c r="C57" s="900"/>
      <c r="D57" s="900"/>
      <c r="E57" s="900"/>
      <c r="F57" s="900"/>
      <c r="G57" s="900"/>
      <c r="H57" s="900"/>
      <c r="I57" s="900"/>
      <c r="J57" s="900"/>
      <c r="K57" s="900"/>
      <c r="L57" s="900"/>
      <c r="M57" s="900"/>
      <c r="N57" s="900"/>
      <c r="O57" s="901"/>
      <c r="P57" s="901"/>
      <c r="Q57" s="901"/>
      <c r="R57" s="901"/>
      <c r="S57" s="1124"/>
      <c r="T57" s="1095"/>
      <c r="U57" s="1095"/>
      <c r="V57" s="1095"/>
      <c r="W57" s="1095"/>
      <c r="X57" s="1089"/>
      <c r="Y57" s="1095"/>
      <c r="Z57" s="1095"/>
      <c r="AA57" s="1095"/>
      <c r="AB57" s="1095"/>
      <c r="AC57" s="906"/>
      <c r="AD57" s="1095"/>
      <c r="AE57" s="1095"/>
      <c r="AG57" s="865" t="b">
        <f>ROUND(S57,2)=ROUND(SUM(O57:R57),2)</f>
        <v>1</v>
      </c>
    </row>
    <row r="58" spans="1:34" s="865" customFormat="1" x14ac:dyDescent="0.25">
      <c r="A58" s="870" t="s">
        <v>365</v>
      </c>
      <c r="B58" s="870" t="s">
        <v>365</v>
      </c>
      <c r="C58" s="900"/>
      <c r="D58" s="900"/>
      <c r="E58" s="900"/>
      <c r="F58" s="900"/>
      <c r="G58" s="900"/>
      <c r="H58" s="900"/>
      <c r="I58" s="900"/>
      <c r="J58" s="900"/>
      <c r="K58" s="900"/>
      <c r="L58" s="900"/>
      <c r="M58" s="900"/>
      <c r="N58" s="900"/>
      <c r="O58" s="901"/>
      <c r="P58" s="901"/>
      <c r="Q58" s="901"/>
      <c r="R58" s="901"/>
      <c r="S58" s="1124"/>
      <c r="T58" s="1095"/>
      <c r="U58" s="1095"/>
      <c r="V58" s="1095"/>
      <c r="W58" s="1095"/>
      <c r="X58" s="1089"/>
      <c r="Y58" s="1095"/>
      <c r="Z58" s="1095"/>
      <c r="AA58" s="1095"/>
      <c r="AB58" s="1095"/>
      <c r="AC58" s="906"/>
      <c r="AD58" s="1095"/>
      <c r="AE58" s="1095"/>
      <c r="AG58" s="865" t="b">
        <f t="shared" ref="AG58:AG71" si="21">ROUND(S58,2)=ROUND(SUM(O58:R58),2)</f>
        <v>1</v>
      </c>
    </row>
    <row r="59" spans="1:34" s="865" customFormat="1" x14ac:dyDescent="0.25">
      <c r="A59" s="870" t="s">
        <v>366</v>
      </c>
      <c r="B59" s="870" t="s">
        <v>366</v>
      </c>
      <c r="C59" s="900"/>
      <c r="D59" s="900"/>
      <c r="E59" s="900"/>
      <c r="F59" s="900"/>
      <c r="G59" s="900"/>
      <c r="H59" s="900"/>
      <c r="I59" s="900"/>
      <c r="J59" s="900"/>
      <c r="K59" s="900"/>
      <c r="L59" s="900"/>
      <c r="M59" s="900"/>
      <c r="N59" s="900"/>
      <c r="O59" s="901"/>
      <c r="P59" s="901"/>
      <c r="Q59" s="901"/>
      <c r="R59" s="901"/>
      <c r="S59" s="1124"/>
      <c r="T59" s="1095"/>
      <c r="U59" s="1095"/>
      <c r="V59" s="1095"/>
      <c r="W59" s="1095"/>
      <c r="X59" s="1089"/>
      <c r="Y59" s="1095"/>
      <c r="Z59" s="1095"/>
      <c r="AA59" s="1095"/>
      <c r="AB59" s="1095"/>
      <c r="AC59" s="906"/>
      <c r="AD59" s="1095"/>
      <c r="AE59" s="1095"/>
      <c r="AG59" s="865" t="b">
        <f t="shared" si="21"/>
        <v>1</v>
      </c>
    </row>
    <row r="60" spans="1:34" s="865" customFormat="1" x14ac:dyDescent="0.25">
      <c r="A60" s="870" t="s">
        <v>368</v>
      </c>
      <c r="B60" s="870" t="s">
        <v>366</v>
      </c>
      <c r="C60" s="900"/>
      <c r="D60" s="900"/>
      <c r="E60" s="900"/>
      <c r="F60" s="900"/>
      <c r="G60" s="900"/>
      <c r="H60" s="900"/>
      <c r="I60" s="900"/>
      <c r="J60" s="900"/>
      <c r="K60" s="900"/>
      <c r="L60" s="900"/>
      <c r="M60" s="900"/>
      <c r="N60" s="900"/>
      <c r="O60" s="901"/>
      <c r="P60" s="901"/>
      <c r="Q60" s="901"/>
      <c r="R60" s="901"/>
      <c r="S60" s="1124"/>
      <c r="T60" s="1095"/>
      <c r="U60" s="1095"/>
      <c r="V60" s="1095"/>
      <c r="W60" s="1095"/>
      <c r="X60" s="1089"/>
      <c r="Y60" s="1095"/>
      <c r="Z60" s="1095"/>
      <c r="AA60" s="1095"/>
      <c r="AB60" s="1095"/>
      <c r="AC60" s="906"/>
      <c r="AD60" s="1095"/>
      <c r="AE60" s="1095"/>
      <c r="AG60" s="865" t="b">
        <f t="shared" si="21"/>
        <v>1</v>
      </c>
    </row>
    <row r="61" spans="1:34" s="865" customFormat="1" x14ac:dyDescent="0.25">
      <c r="A61" s="870" t="s">
        <v>369</v>
      </c>
      <c r="B61" s="870" t="s">
        <v>368</v>
      </c>
      <c r="C61" s="900"/>
      <c r="D61" s="900"/>
      <c r="E61" s="900"/>
      <c r="F61" s="900"/>
      <c r="G61" s="900"/>
      <c r="H61" s="900"/>
      <c r="I61" s="900"/>
      <c r="J61" s="900"/>
      <c r="K61" s="900"/>
      <c r="L61" s="900"/>
      <c r="M61" s="900"/>
      <c r="N61" s="900"/>
      <c r="O61" s="901"/>
      <c r="P61" s="901"/>
      <c r="Q61" s="901"/>
      <c r="R61" s="901"/>
      <c r="S61" s="1124"/>
      <c r="T61" s="1095"/>
      <c r="U61" s="1095"/>
      <c r="V61" s="1095"/>
      <c r="W61" s="1095"/>
      <c r="X61" s="1089"/>
      <c r="Y61" s="1095"/>
      <c r="Z61" s="1095"/>
      <c r="AA61" s="1095"/>
      <c r="AB61" s="1095"/>
      <c r="AC61" s="906"/>
      <c r="AD61" s="1095"/>
      <c r="AE61" s="1095"/>
      <c r="AG61" s="865" t="b">
        <f t="shared" si="21"/>
        <v>1</v>
      </c>
    </row>
    <row r="62" spans="1:34" s="865" customFormat="1" x14ac:dyDescent="0.25">
      <c r="A62" s="870" t="s">
        <v>370</v>
      </c>
      <c r="B62" s="870" t="s">
        <v>368</v>
      </c>
      <c r="C62" s="900"/>
      <c r="D62" s="900"/>
      <c r="E62" s="900"/>
      <c r="F62" s="900"/>
      <c r="G62" s="900"/>
      <c r="H62" s="900"/>
      <c r="I62" s="900"/>
      <c r="J62" s="900"/>
      <c r="K62" s="900"/>
      <c r="L62" s="900"/>
      <c r="M62" s="900"/>
      <c r="N62" s="900"/>
      <c r="O62" s="901"/>
      <c r="P62" s="901"/>
      <c r="Q62" s="901"/>
      <c r="R62" s="901"/>
      <c r="S62" s="1124"/>
      <c r="T62" s="1095"/>
      <c r="U62" s="1095"/>
      <c r="V62" s="1095"/>
      <c r="W62" s="1095"/>
      <c r="X62" s="1089"/>
      <c r="Y62" s="1095"/>
      <c r="Z62" s="1095"/>
      <c r="AA62" s="1095"/>
      <c r="AB62" s="1095"/>
      <c r="AC62" s="906"/>
      <c r="AD62" s="1095"/>
      <c r="AE62" s="1095"/>
      <c r="AG62" s="865" t="b">
        <f t="shared" si="21"/>
        <v>1</v>
      </c>
    </row>
    <row r="63" spans="1:34" s="865" customFormat="1" x14ac:dyDescent="0.25">
      <c r="A63" s="870" t="s">
        <v>371</v>
      </c>
      <c r="B63" s="870" t="s">
        <v>368</v>
      </c>
      <c r="C63" s="900"/>
      <c r="D63" s="900"/>
      <c r="E63" s="900"/>
      <c r="F63" s="900"/>
      <c r="G63" s="900"/>
      <c r="H63" s="900"/>
      <c r="I63" s="900"/>
      <c r="J63" s="900"/>
      <c r="K63" s="900"/>
      <c r="L63" s="900"/>
      <c r="M63" s="900"/>
      <c r="N63" s="900"/>
      <c r="O63" s="901"/>
      <c r="P63" s="901"/>
      <c r="Q63" s="901"/>
      <c r="R63" s="901"/>
      <c r="S63" s="1124"/>
      <c r="T63" s="1095"/>
      <c r="U63" s="1095"/>
      <c r="V63" s="1095"/>
      <c r="W63" s="1095"/>
      <c r="X63" s="1089"/>
      <c r="Y63" s="1095"/>
      <c r="Z63" s="1095"/>
      <c r="AA63" s="1095"/>
      <c r="AB63" s="1095"/>
      <c r="AC63" s="906"/>
      <c r="AD63" s="1095"/>
      <c r="AE63" s="1095"/>
      <c r="AG63" s="865" t="b">
        <f t="shared" si="21"/>
        <v>1</v>
      </c>
    </row>
    <row r="64" spans="1:34" s="865" customFormat="1" x14ac:dyDescent="0.25">
      <c r="A64" s="870" t="s">
        <v>372</v>
      </c>
      <c r="B64" s="870" t="s">
        <v>368</v>
      </c>
      <c r="C64" s="900"/>
      <c r="D64" s="900"/>
      <c r="E64" s="900"/>
      <c r="F64" s="900"/>
      <c r="G64" s="900"/>
      <c r="H64" s="900"/>
      <c r="I64" s="900"/>
      <c r="J64" s="900"/>
      <c r="K64" s="900"/>
      <c r="L64" s="900"/>
      <c r="M64" s="900"/>
      <c r="N64" s="900"/>
      <c r="O64" s="901"/>
      <c r="P64" s="901"/>
      <c r="Q64" s="901"/>
      <c r="R64" s="901"/>
      <c r="S64" s="1124"/>
      <c r="T64" s="1095"/>
      <c r="U64" s="1095"/>
      <c r="V64" s="1095"/>
      <c r="W64" s="1095"/>
      <c r="X64" s="1089"/>
      <c r="Y64" s="1095"/>
      <c r="Z64" s="1095"/>
      <c r="AA64" s="1095"/>
      <c r="AB64" s="1095"/>
      <c r="AC64" s="906"/>
      <c r="AD64" s="1095"/>
      <c r="AE64" s="1095"/>
      <c r="AG64" s="865" t="b">
        <f t="shared" si="21"/>
        <v>1</v>
      </c>
    </row>
    <row r="65" spans="1:33" s="865" customFormat="1" x14ac:dyDescent="0.25">
      <c r="A65" s="870" t="s">
        <v>373</v>
      </c>
      <c r="B65" s="870" t="s">
        <v>366</v>
      </c>
      <c r="C65" s="900"/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1"/>
      <c r="P65" s="901"/>
      <c r="Q65" s="901"/>
      <c r="R65" s="901"/>
      <c r="S65" s="1124"/>
      <c r="T65" s="1095"/>
      <c r="U65" s="1095"/>
      <c r="V65" s="1095"/>
      <c r="W65" s="1095"/>
      <c r="X65" s="1089"/>
      <c r="Y65" s="1095"/>
      <c r="Z65" s="1095"/>
      <c r="AA65" s="1095"/>
      <c r="AB65" s="1095"/>
      <c r="AC65" s="906"/>
      <c r="AD65" s="1095"/>
      <c r="AE65" s="1095"/>
      <c r="AG65" s="865" t="b">
        <f t="shared" si="21"/>
        <v>1</v>
      </c>
    </row>
    <row r="66" spans="1:33" s="865" customFormat="1" x14ac:dyDescent="0.25">
      <c r="A66" s="870" t="s">
        <v>374</v>
      </c>
      <c r="B66" s="870" t="s">
        <v>368</v>
      </c>
      <c r="C66" s="900"/>
      <c r="D66" s="900"/>
      <c r="E66" s="900"/>
      <c r="F66" s="900"/>
      <c r="G66" s="900"/>
      <c r="H66" s="900"/>
      <c r="I66" s="900"/>
      <c r="J66" s="900"/>
      <c r="K66" s="900"/>
      <c r="L66" s="900"/>
      <c r="M66" s="900"/>
      <c r="N66" s="900"/>
      <c r="O66" s="901"/>
      <c r="P66" s="901"/>
      <c r="Q66" s="901"/>
      <c r="R66" s="901"/>
      <c r="S66" s="1124"/>
      <c r="T66" s="1095"/>
      <c r="U66" s="1095"/>
      <c r="V66" s="1095"/>
      <c r="W66" s="1095"/>
      <c r="X66" s="1089"/>
      <c r="Y66" s="1095"/>
      <c r="Z66" s="1095"/>
      <c r="AA66" s="1095"/>
      <c r="AB66" s="1095"/>
      <c r="AC66" s="906"/>
      <c r="AD66" s="1095"/>
      <c r="AE66" s="1095"/>
      <c r="AG66" s="865" t="b">
        <f t="shared" si="21"/>
        <v>1</v>
      </c>
    </row>
    <row r="67" spans="1:33" s="865" customFormat="1" x14ac:dyDescent="0.25">
      <c r="A67" s="870" t="s">
        <v>375</v>
      </c>
      <c r="B67" s="870" t="s">
        <v>366</v>
      </c>
      <c r="C67" s="900"/>
      <c r="D67" s="900"/>
      <c r="E67" s="900"/>
      <c r="F67" s="900"/>
      <c r="G67" s="900"/>
      <c r="H67" s="900"/>
      <c r="I67" s="900"/>
      <c r="J67" s="900"/>
      <c r="K67" s="900"/>
      <c r="L67" s="900"/>
      <c r="M67" s="900"/>
      <c r="N67" s="900"/>
      <c r="O67" s="901"/>
      <c r="P67" s="901"/>
      <c r="Q67" s="901"/>
      <c r="R67" s="901"/>
      <c r="S67" s="1124"/>
      <c r="T67" s="1095"/>
      <c r="U67" s="1095"/>
      <c r="V67" s="1095"/>
      <c r="W67" s="1095"/>
      <c r="X67" s="1089"/>
      <c r="Y67" s="1095"/>
      <c r="Z67" s="1095"/>
      <c r="AA67" s="1095"/>
      <c r="AB67" s="1095"/>
      <c r="AC67" s="906"/>
      <c r="AD67" s="1095"/>
      <c r="AE67" s="1095"/>
      <c r="AG67" s="865" t="b">
        <f t="shared" si="21"/>
        <v>1</v>
      </c>
    </row>
    <row r="68" spans="1:33" s="865" customFormat="1" x14ac:dyDescent="0.25">
      <c r="A68" s="870" t="s">
        <v>376</v>
      </c>
      <c r="B68" s="870" t="s">
        <v>368</v>
      </c>
      <c r="C68" s="900"/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1"/>
      <c r="P68" s="901"/>
      <c r="Q68" s="901"/>
      <c r="R68" s="901"/>
      <c r="S68" s="1124"/>
      <c r="T68" s="1095"/>
      <c r="U68" s="1095"/>
      <c r="V68" s="1095"/>
      <c r="W68" s="1095"/>
      <c r="X68" s="1089"/>
      <c r="Y68" s="1095"/>
      <c r="Z68" s="1095"/>
      <c r="AA68" s="1095"/>
      <c r="AB68" s="1095"/>
      <c r="AC68" s="906"/>
      <c r="AD68" s="1095"/>
      <c r="AE68" s="1095"/>
      <c r="AG68" s="865" t="b">
        <f t="shared" si="21"/>
        <v>1</v>
      </c>
    </row>
    <row r="69" spans="1:33" s="865" customFormat="1" x14ac:dyDescent="0.25">
      <c r="A69" s="870" t="s">
        <v>377</v>
      </c>
      <c r="B69" s="870" t="s">
        <v>365</v>
      </c>
      <c r="C69" s="900"/>
      <c r="D69" s="900"/>
      <c r="E69" s="900"/>
      <c r="F69" s="900"/>
      <c r="G69" s="900"/>
      <c r="H69" s="900"/>
      <c r="I69" s="900"/>
      <c r="J69" s="900"/>
      <c r="K69" s="900"/>
      <c r="L69" s="900"/>
      <c r="M69" s="900"/>
      <c r="N69" s="900"/>
      <c r="O69" s="901"/>
      <c r="P69" s="901"/>
      <c r="Q69" s="901"/>
      <c r="R69" s="901"/>
      <c r="S69" s="1124"/>
      <c r="T69" s="1095"/>
      <c r="U69" s="1095"/>
      <c r="V69" s="1095"/>
      <c r="W69" s="1095"/>
      <c r="X69" s="1089"/>
      <c r="Y69" s="1095"/>
      <c r="Z69" s="1095"/>
      <c r="AA69" s="1095"/>
      <c r="AB69" s="1095"/>
      <c r="AC69" s="906"/>
      <c r="AD69" s="1095"/>
      <c r="AE69" s="1095"/>
      <c r="AG69" s="865" t="b">
        <f t="shared" si="21"/>
        <v>1</v>
      </c>
    </row>
    <row r="70" spans="1:33" s="865" customFormat="1" x14ac:dyDescent="0.25">
      <c r="A70" s="870" t="s">
        <v>367</v>
      </c>
      <c r="B70" s="87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1"/>
      <c r="P70" s="901"/>
      <c r="Q70" s="901"/>
      <c r="R70" s="901"/>
      <c r="S70" s="1124"/>
      <c r="T70" s="1095"/>
      <c r="U70" s="1095"/>
      <c r="V70" s="1095"/>
      <c r="W70" s="1095"/>
      <c r="X70" s="1089"/>
      <c r="Y70" s="1095"/>
      <c r="Z70" s="1095"/>
      <c r="AA70" s="1095"/>
      <c r="AB70" s="1095"/>
      <c r="AC70" s="906"/>
      <c r="AD70" s="1095"/>
      <c r="AE70" s="1095"/>
      <c r="AG70" s="865" t="b">
        <f t="shared" si="21"/>
        <v>1</v>
      </c>
    </row>
    <row r="71" spans="1:33" s="865" customFormat="1" x14ac:dyDescent="0.25">
      <c r="A71" s="884" t="s">
        <v>77</v>
      </c>
      <c r="B71" s="885" t="s">
        <v>206</v>
      </c>
      <c r="C71" s="902">
        <f>SUM(C57:C70)</f>
        <v>0</v>
      </c>
      <c r="D71" s="902">
        <f t="shared" ref="D71:S71" si="22">SUM(D57:D70)</f>
        <v>0</v>
      </c>
      <c r="E71" s="902">
        <f t="shared" si="22"/>
        <v>0</v>
      </c>
      <c r="F71" s="902">
        <f t="shared" si="22"/>
        <v>0</v>
      </c>
      <c r="G71" s="902">
        <f t="shared" si="22"/>
        <v>0</v>
      </c>
      <c r="H71" s="902">
        <f t="shared" si="22"/>
        <v>0</v>
      </c>
      <c r="I71" s="902">
        <f t="shared" si="22"/>
        <v>0</v>
      </c>
      <c r="J71" s="902">
        <f t="shared" si="22"/>
        <v>0</v>
      </c>
      <c r="K71" s="902">
        <f t="shared" si="22"/>
        <v>0</v>
      </c>
      <c r="L71" s="902">
        <f t="shared" si="22"/>
        <v>0</v>
      </c>
      <c r="M71" s="902">
        <f t="shared" si="22"/>
        <v>0</v>
      </c>
      <c r="N71" s="902">
        <f t="shared" si="22"/>
        <v>0</v>
      </c>
      <c r="O71" s="902">
        <f t="shared" si="22"/>
        <v>0</v>
      </c>
      <c r="P71" s="902">
        <f t="shared" si="22"/>
        <v>0</v>
      </c>
      <c r="Q71" s="902">
        <f t="shared" si="22"/>
        <v>0</v>
      </c>
      <c r="R71" s="902">
        <f t="shared" si="22"/>
        <v>0</v>
      </c>
      <c r="S71" s="1131">
        <f t="shared" si="22"/>
        <v>0</v>
      </c>
      <c r="T71" s="1096"/>
      <c r="U71" s="1096"/>
      <c r="V71" s="1096"/>
      <c r="W71" s="1096"/>
      <c r="X71" s="1096"/>
      <c r="Y71" s="1096"/>
      <c r="Z71" s="1096"/>
      <c r="AA71" s="1096"/>
      <c r="AB71" s="1096"/>
      <c r="AC71" s="1096"/>
      <c r="AD71" s="1096"/>
      <c r="AE71" s="1096"/>
      <c r="AG71" s="865" t="b">
        <f t="shared" si="21"/>
        <v>1</v>
      </c>
    </row>
    <row r="72" spans="1:33" s="899" customFormat="1" ht="12.75" customHeight="1" outlineLevel="1" x14ac:dyDescent="0.25">
      <c r="A72" s="904"/>
      <c r="B72" s="904"/>
      <c r="C72" s="905"/>
      <c r="D72" s="906"/>
      <c r="E72" s="906"/>
      <c r="F72" s="906"/>
      <c r="G72" s="906"/>
      <c r="H72" s="906"/>
      <c r="I72" s="906"/>
      <c r="J72" s="906"/>
      <c r="K72" s="906"/>
      <c r="L72" s="906"/>
      <c r="M72" s="906"/>
      <c r="N72" s="906"/>
      <c r="O72" s="907"/>
      <c r="P72" s="907"/>
      <c r="Q72" s="907"/>
      <c r="R72" s="907"/>
      <c r="S72" s="908" t="e">
        <f>S71*S25</f>
        <v>#DIV/0!</v>
      </c>
      <c r="T72" s="907"/>
      <c r="U72" s="907"/>
      <c r="V72" s="907"/>
      <c r="W72" s="907"/>
      <c r="X72" s="907"/>
      <c r="Y72" s="907"/>
      <c r="Z72" s="907"/>
      <c r="AA72" s="909"/>
      <c r="AB72" s="909"/>
      <c r="AC72" s="909"/>
      <c r="AD72" s="909"/>
      <c r="AE72" s="910"/>
    </row>
    <row r="73" spans="1:33" s="899" customFormat="1" ht="12.75" customHeight="1" outlineLevel="1" x14ac:dyDescent="0.25">
      <c r="A73" s="897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32">
        <f>$S$11</f>
        <v>2022</v>
      </c>
      <c r="T73" s="1084"/>
      <c r="U73" s="1084"/>
      <c r="V73" s="1084"/>
      <c r="W73" s="1084"/>
      <c r="X73" s="1094"/>
      <c r="Y73" s="1094"/>
      <c r="Z73" s="1094"/>
      <c r="AA73" s="1094"/>
      <c r="AB73" s="1094"/>
      <c r="AC73" s="1094"/>
      <c r="AD73" s="1094"/>
      <c r="AE73" s="1094"/>
    </row>
    <row r="74" spans="1:33" s="865" customFormat="1" ht="12.75" customHeight="1" outlineLevel="1" x14ac:dyDescent="0.25">
      <c r="A74" s="870" t="s">
        <v>364</v>
      </c>
      <c r="B74" s="870" t="s">
        <v>364</v>
      </c>
      <c r="C74" s="911">
        <v>0</v>
      </c>
      <c r="D74" s="911">
        <v>0</v>
      </c>
      <c r="E74" s="911">
        <v>0</v>
      </c>
      <c r="F74" s="911">
        <v>0</v>
      </c>
      <c r="G74" s="911">
        <v>0</v>
      </c>
      <c r="H74" s="911">
        <v>0</v>
      </c>
      <c r="I74" s="911">
        <v>0</v>
      </c>
      <c r="J74" s="911">
        <v>0</v>
      </c>
      <c r="K74" s="911">
        <v>0</v>
      </c>
      <c r="L74" s="911">
        <v>0</v>
      </c>
      <c r="M74" s="911">
        <v>0</v>
      </c>
      <c r="N74" s="911">
        <v>0</v>
      </c>
      <c r="O74" s="912">
        <v>0</v>
      </c>
      <c r="P74" s="912">
        <v>0</v>
      </c>
      <c r="Q74" s="912">
        <v>0</v>
      </c>
      <c r="R74" s="912">
        <v>0</v>
      </c>
      <c r="S74" s="1133">
        <v>0</v>
      </c>
      <c r="T74" s="1097"/>
      <c r="U74" s="1097"/>
      <c r="V74" s="1097"/>
      <c r="W74" s="1097"/>
      <c r="X74" s="1097"/>
      <c r="Y74" s="1097"/>
      <c r="Z74" s="1097"/>
      <c r="AA74" s="1097"/>
      <c r="AB74" s="1097"/>
      <c r="AC74" s="1097"/>
      <c r="AD74" s="1097"/>
      <c r="AE74" s="1097"/>
    </row>
    <row r="75" spans="1:33" s="865" customFormat="1" ht="12.75" customHeight="1" outlineLevel="1" x14ac:dyDescent="0.25">
      <c r="A75" s="870" t="s">
        <v>365</v>
      </c>
      <c r="B75" s="870" t="s">
        <v>365</v>
      </c>
      <c r="C75" s="911">
        <v>0</v>
      </c>
      <c r="D75" s="911">
        <v>0</v>
      </c>
      <c r="E75" s="911">
        <v>0</v>
      </c>
      <c r="F75" s="911">
        <v>0</v>
      </c>
      <c r="G75" s="911">
        <v>0</v>
      </c>
      <c r="H75" s="911">
        <v>0</v>
      </c>
      <c r="I75" s="911">
        <v>0</v>
      </c>
      <c r="J75" s="911">
        <v>0</v>
      </c>
      <c r="K75" s="911">
        <v>0</v>
      </c>
      <c r="L75" s="911">
        <v>0</v>
      </c>
      <c r="M75" s="911">
        <v>0</v>
      </c>
      <c r="N75" s="911">
        <v>0</v>
      </c>
      <c r="O75" s="912">
        <v>0</v>
      </c>
      <c r="P75" s="912">
        <v>0</v>
      </c>
      <c r="Q75" s="912">
        <v>0</v>
      </c>
      <c r="R75" s="912">
        <v>0</v>
      </c>
      <c r="S75" s="1133">
        <v>0</v>
      </c>
      <c r="T75" s="1097"/>
      <c r="U75" s="1097"/>
      <c r="V75" s="1097"/>
      <c r="W75" s="1097"/>
      <c r="X75" s="1097"/>
      <c r="Y75" s="1097"/>
      <c r="Z75" s="1097"/>
      <c r="AA75" s="1097"/>
      <c r="AB75" s="1097"/>
      <c r="AC75" s="1097"/>
      <c r="AD75" s="1097"/>
      <c r="AE75" s="1097"/>
    </row>
    <row r="76" spans="1:33" s="865" customFormat="1" ht="12.75" customHeight="1" outlineLevel="1" x14ac:dyDescent="0.25">
      <c r="A76" s="870" t="s">
        <v>366</v>
      </c>
      <c r="B76" s="870" t="s">
        <v>366</v>
      </c>
      <c r="C76" s="911">
        <v>0</v>
      </c>
      <c r="D76" s="911">
        <v>0</v>
      </c>
      <c r="E76" s="911">
        <v>0</v>
      </c>
      <c r="F76" s="911">
        <v>0</v>
      </c>
      <c r="G76" s="911">
        <v>0</v>
      </c>
      <c r="H76" s="911">
        <v>0</v>
      </c>
      <c r="I76" s="911">
        <v>0</v>
      </c>
      <c r="J76" s="911">
        <v>0</v>
      </c>
      <c r="K76" s="911">
        <v>0</v>
      </c>
      <c r="L76" s="911">
        <v>0</v>
      </c>
      <c r="M76" s="911">
        <v>0</v>
      </c>
      <c r="N76" s="911">
        <v>0</v>
      </c>
      <c r="O76" s="912">
        <v>0</v>
      </c>
      <c r="P76" s="912">
        <v>0</v>
      </c>
      <c r="Q76" s="912">
        <v>0</v>
      </c>
      <c r="R76" s="912">
        <v>0</v>
      </c>
      <c r="S76" s="1133">
        <v>0</v>
      </c>
      <c r="T76" s="1097"/>
      <c r="U76" s="1097"/>
      <c r="V76" s="1097"/>
      <c r="W76" s="1097"/>
      <c r="X76" s="1097"/>
      <c r="Y76" s="1097"/>
      <c r="Z76" s="1097"/>
      <c r="AA76" s="1097"/>
      <c r="AB76" s="1097"/>
      <c r="AC76" s="1097"/>
      <c r="AD76" s="1097"/>
      <c r="AE76" s="1097"/>
    </row>
    <row r="77" spans="1:33" s="865" customFormat="1" ht="12.75" customHeight="1" outlineLevel="1" x14ac:dyDescent="0.25">
      <c r="A77" s="870" t="s">
        <v>368</v>
      </c>
      <c r="B77" s="870" t="s">
        <v>366</v>
      </c>
      <c r="C77" s="911">
        <v>0</v>
      </c>
      <c r="D77" s="911">
        <v>0</v>
      </c>
      <c r="E77" s="911">
        <v>0</v>
      </c>
      <c r="F77" s="911">
        <v>0</v>
      </c>
      <c r="G77" s="911">
        <v>0</v>
      </c>
      <c r="H77" s="911">
        <v>0</v>
      </c>
      <c r="I77" s="911">
        <v>0</v>
      </c>
      <c r="J77" s="911">
        <v>0</v>
      </c>
      <c r="K77" s="911">
        <v>0</v>
      </c>
      <c r="L77" s="911">
        <v>0</v>
      </c>
      <c r="M77" s="911">
        <v>0</v>
      </c>
      <c r="N77" s="911">
        <v>0</v>
      </c>
      <c r="O77" s="912">
        <v>0</v>
      </c>
      <c r="P77" s="912">
        <v>0</v>
      </c>
      <c r="Q77" s="912">
        <v>0</v>
      </c>
      <c r="R77" s="912">
        <v>0</v>
      </c>
      <c r="S77" s="1133">
        <v>0</v>
      </c>
      <c r="T77" s="1097"/>
      <c r="U77" s="1097"/>
      <c r="V77" s="1097"/>
      <c r="W77" s="1097"/>
      <c r="X77" s="1097"/>
      <c r="Y77" s="1097"/>
      <c r="Z77" s="1097"/>
      <c r="AA77" s="1097"/>
      <c r="AB77" s="1097"/>
      <c r="AC77" s="1097"/>
      <c r="AD77" s="1097"/>
      <c r="AE77" s="1097"/>
    </row>
    <row r="78" spans="1:33" s="865" customFormat="1" ht="12.75" customHeight="1" outlineLevel="1" x14ac:dyDescent="0.25">
      <c r="A78" s="870" t="s">
        <v>369</v>
      </c>
      <c r="B78" s="870" t="s">
        <v>368</v>
      </c>
      <c r="C78" s="911">
        <v>0</v>
      </c>
      <c r="D78" s="911">
        <v>0</v>
      </c>
      <c r="E78" s="911">
        <v>0</v>
      </c>
      <c r="F78" s="911">
        <v>0</v>
      </c>
      <c r="G78" s="911">
        <v>0</v>
      </c>
      <c r="H78" s="911">
        <v>0</v>
      </c>
      <c r="I78" s="911">
        <v>0</v>
      </c>
      <c r="J78" s="911">
        <v>0</v>
      </c>
      <c r="K78" s="911">
        <v>0</v>
      </c>
      <c r="L78" s="911">
        <v>0</v>
      </c>
      <c r="M78" s="911">
        <v>0</v>
      </c>
      <c r="N78" s="911">
        <v>0</v>
      </c>
      <c r="O78" s="912">
        <v>0</v>
      </c>
      <c r="P78" s="912">
        <v>0</v>
      </c>
      <c r="Q78" s="912">
        <v>0</v>
      </c>
      <c r="R78" s="912">
        <v>0</v>
      </c>
      <c r="S78" s="1133">
        <v>0</v>
      </c>
      <c r="T78" s="1097"/>
      <c r="U78" s="1097"/>
      <c r="V78" s="1097"/>
      <c r="W78" s="1097"/>
      <c r="X78" s="1097"/>
      <c r="Y78" s="1097"/>
      <c r="Z78" s="1097"/>
      <c r="AA78" s="1097"/>
      <c r="AB78" s="1097"/>
      <c r="AC78" s="1097"/>
      <c r="AD78" s="1097"/>
      <c r="AE78" s="1097"/>
    </row>
    <row r="79" spans="1:33" s="865" customFormat="1" ht="12.75" customHeight="1" outlineLevel="1" x14ac:dyDescent="0.25">
      <c r="A79" s="870" t="s">
        <v>370</v>
      </c>
      <c r="B79" s="870" t="s">
        <v>368</v>
      </c>
      <c r="C79" s="911">
        <v>0</v>
      </c>
      <c r="D79" s="911">
        <v>0</v>
      </c>
      <c r="E79" s="911">
        <v>0</v>
      </c>
      <c r="F79" s="911">
        <v>0</v>
      </c>
      <c r="G79" s="911">
        <v>0</v>
      </c>
      <c r="H79" s="911">
        <v>0</v>
      </c>
      <c r="I79" s="911">
        <v>0</v>
      </c>
      <c r="J79" s="911">
        <v>0</v>
      </c>
      <c r="K79" s="911">
        <v>0</v>
      </c>
      <c r="L79" s="911">
        <v>0</v>
      </c>
      <c r="M79" s="911">
        <v>0</v>
      </c>
      <c r="N79" s="911">
        <v>0</v>
      </c>
      <c r="O79" s="912">
        <v>0</v>
      </c>
      <c r="P79" s="912">
        <v>0</v>
      </c>
      <c r="Q79" s="912">
        <v>0</v>
      </c>
      <c r="R79" s="912">
        <v>0</v>
      </c>
      <c r="S79" s="1133">
        <v>0</v>
      </c>
      <c r="T79" s="1097"/>
      <c r="U79" s="1097"/>
      <c r="V79" s="1097"/>
      <c r="W79" s="1097"/>
      <c r="X79" s="1097"/>
      <c r="Y79" s="1097"/>
      <c r="Z79" s="1097"/>
      <c r="AA79" s="1097"/>
      <c r="AB79" s="1097"/>
      <c r="AC79" s="1097"/>
      <c r="AD79" s="1097"/>
      <c r="AE79" s="1097"/>
    </row>
    <row r="80" spans="1:33" s="865" customFormat="1" ht="12.75" customHeight="1" outlineLevel="1" x14ac:dyDescent="0.25">
      <c r="A80" s="870" t="s">
        <v>371</v>
      </c>
      <c r="B80" s="870" t="s">
        <v>368</v>
      </c>
      <c r="C80" s="911">
        <v>0</v>
      </c>
      <c r="D80" s="911">
        <v>0</v>
      </c>
      <c r="E80" s="911">
        <v>0</v>
      </c>
      <c r="F80" s="911">
        <v>0</v>
      </c>
      <c r="G80" s="911">
        <v>0</v>
      </c>
      <c r="H80" s="911">
        <v>0</v>
      </c>
      <c r="I80" s="911">
        <v>0</v>
      </c>
      <c r="J80" s="911">
        <v>0</v>
      </c>
      <c r="K80" s="911">
        <v>0</v>
      </c>
      <c r="L80" s="911">
        <v>0</v>
      </c>
      <c r="M80" s="911">
        <v>0</v>
      </c>
      <c r="N80" s="911">
        <v>0</v>
      </c>
      <c r="O80" s="912">
        <v>0</v>
      </c>
      <c r="P80" s="912">
        <v>0</v>
      </c>
      <c r="Q80" s="912">
        <v>0</v>
      </c>
      <c r="R80" s="912">
        <v>0</v>
      </c>
      <c r="S80" s="1133">
        <v>0</v>
      </c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</row>
    <row r="81" spans="1:32" s="865" customFormat="1" ht="12.75" customHeight="1" outlineLevel="1" x14ac:dyDescent="0.25">
      <c r="A81" s="870" t="s">
        <v>372</v>
      </c>
      <c r="B81" s="870" t="s">
        <v>368</v>
      </c>
      <c r="C81" s="911">
        <v>0</v>
      </c>
      <c r="D81" s="911">
        <v>0</v>
      </c>
      <c r="E81" s="911">
        <v>0</v>
      </c>
      <c r="F81" s="911">
        <v>0</v>
      </c>
      <c r="G81" s="911">
        <v>0</v>
      </c>
      <c r="H81" s="911">
        <v>0</v>
      </c>
      <c r="I81" s="911">
        <v>0</v>
      </c>
      <c r="J81" s="911">
        <v>0</v>
      </c>
      <c r="K81" s="911">
        <v>0</v>
      </c>
      <c r="L81" s="911">
        <v>0</v>
      </c>
      <c r="M81" s="911">
        <v>0</v>
      </c>
      <c r="N81" s="911">
        <v>0</v>
      </c>
      <c r="O81" s="912">
        <v>0</v>
      </c>
      <c r="P81" s="912">
        <v>0</v>
      </c>
      <c r="Q81" s="912">
        <v>0</v>
      </c>
      <c r="R81" s="912">
        <v>0</v>
      </c>
      <c r="S81" s="1133">
        <v>0</v>
      </c>
      <c r="T81" s="1097"/>
      <c r="U81" s="1097"/>
      <c r="V81" s="1097"/>
      <c r="W81" s="1097"/>
      <c r="X81" s="1097"/>
      <c r="Y81" s="1097"/>
      <c r="Z81" s="1097"/>
      <c r="AA81" s="1097"/>
      <c r="AB81" s="1097"/>
      <c r="AC81" s="1097"/>
      <c r="AD81" s="1097"/>
      <c r="AE81" s="1097"/>
    </row>
    <row r="82" spans="1:32" s="865" customFormat="1" ht="12.75" customHeight="1" outlineLevel="1" x14ac:dyDescent="0.25">
      <c r="A82" s="870" t="s">
        <v>373</v>
      </c>
      <c r="B82" s="870" t="s">
        <v>366</v>
      </c>
      <c r="C82" s="911">
        <v>0</v>
      </c>
      <c r="D82" s="911">
        <v>0</v>
      </c>
      <c r="E82" s="911">
        <v>0</v>
      </c>
      <c r="F82" s="911">
        <v>0</v>
      </c>
      <c r="G82" s="911">
        <v>0</v>
      </c>
      <c r="H82" s="911">
        <v>0</v>
      </c>
      <c r="I82" s="911">
        <v>0</v>
      </c>
      <c r="J82" s="911">
        <v>0</v>
      </c>
      <c r="K82" s="911">
        <v>0</v>
      </c>
      <c r="L82" s="911">
        <v>0</v>
      </c>
      <c r="M82" s="911">
        <v>0</v>
      </c>
      <c r="N82" s="911">
        <v>0</v>
      </c>
      <c r="O82" s="912">
        <v>0</v>
      </c>
      <c r="P82" s="912">
        <v>0</v>
      </c>
      <c r="Q82" s="912">
        <v>0</v>
      </c>
      <c r="R82" s="912">
        <v>0</v>
      </c>
      <c r="S82" s="1133">
        <v>0</v>
      </c>
      <c r="T82" s="1097"/>
      <c r="U82" s="1097"/>
      <c r="V82" s="1097"/>
      <c r="W82" s="1097"/>
      <c r="X82" s="1097"/>
      <c r="Y82" s="1097"/>
      <c r="Z82" s="1097"/>
      <c r="AA82" s="1097"/>
      <c r="AB82" s="1097"/>
      <c r="AC82" s="1097"/>
      <c r="AD82" s="1097"/>
      <c r="AE82" s="1097"/>
    </row>
    <row r="83" spans="1:32" s="865" customFormat="1" ht="12.75" customHeight="1" outlineLevel="1" x14ac:dyDescent="0.25">
      <c r="A83" s="870" t="s">
        <v>374</v>
      </c>
      <c r="B83" s="870" t="s">
        <v>368</v>
      </c>
      <c r="C83" s="911">
        <v>0</v>
      </c>
      <c r="D83" s="911">
        <v>0</v>
      </c>
      <c r="E83" s="911">
        <v>0</v>
      </c>
      <c r="F83" s="911">
        <v>0</v>
      </c>
      <c r="G83" s="911">
        <v>0</v>
      </c>
      <c r="H83" s="911">
        <v>0</v>
      </c>
      <c r="I83" s="911">
        <v>0</v>
      </c>
      <c r="J83" s="911">
        <v>0</v>
      </c>
      <c r="K83" s="911">
        <v>0</v>
      </c>
      <c r="L83" s="911">
        <v>0</v>
      </c>
      <c r="M83" s="911">
        <v>0</v>
      </c>
      <c r="N83" s="911">
        <v>0</v>
      </c>
      <c r="O83" s="912">
        <v>0</v>
      </c>
      <c r="P83" s="912">
        <v>0</v>
      </c>
      <c r="Q83" s="912">
        <v>0</v>
      </c>
      <c r="R83" s="912">
        <v>0</v>
      </c>
      <c r="S83" s="1133">
        <v>0</v>
      </c>
      <c r="T83" s="1097"/>
      <c r="U83" s="1097"/>
      <c r="V83" s="1097"/>
      <c r="W83" s="1097"/>
      <c r="X83" s="1097"/>
      <c r="Y83" s="1097"/>
      <c r="Z83" s="1097"/>
      <c r="AA83" s="1097"/>
      <c r="AB83" s="1097"/>
      <c r="AC83" s="1097"/>
      <c r="AD83" s="1097"/>
      <c r="AE83" s="1097"/>
    </row>
    <row r="84" spans="1:32" s="865" customFormat="1" ht="12.75" customHeight="1" outlineLevel="1" x14ac:dyDescent="0.25">
      <c r="A84" s="870" t="s">
        <v>375</v>
      </c>
      <c r="B84" s="870" t="s">
        <v>366</v>
      </c>
      <c r="C84" s="911"/>
      <c r="D84" s="911"/>
      <c r="E84" s="911"/>
      <c r="F84" s="911"/>
      <c r="G84" s="911"/>
      <c r="H84" s="911"/>
      <c r="I84" s="911"/>
      <c r="J84" s="911"/>
      <c r="K84" s="911"/>
      <c r="L84" s="911"/>
      <c r="M84" s="911"/>
      <c r="N84" s="911"/>
      <c r="O84" s="912"/>
      <c r="P84" s="912"/>
      <c r="Q84" s="912"/>
      <c r="R84" s="912"/>
      <c r="S84" s="1133"/>
      <c r="T84" s="1097"/>
      <c r="U84" s="1097"/>
      <c r="V84" s="1097"/>
      <c r="W84" s="1097"/>
      <c r="X84" s="1097"/>
      <c r="Y84" s="1097"/>
      <c r="Z84" s="1097"/>
      <c r="AA84" s="1097"/>
      <c r="AB84" s="1097"/>
      <c r="AC84" s="1097"/>
      <c r="AD84" s="1097"/>
      <c r="AE84" s="1097"/>
    </row>
    <row r="85" spans="1:32" s="865" customFormat="1" ht="12.75" customHeight="1" outlineLevel="1" x14ac:dyDescent="0.25">
      <c r="A85" s="870" t="s">
        <v>376</v>
      </c>
      <c r="B85" s="870" t="s">
        <v>368</v>
      </c>
      <c r="C85" s="911"/>
      <c r="D85" s="911"/>
      <c r="E85" s="911"/>
      <c r="F85" s="911"/>
      <c r="G85" s="911"/>
      <c r="H85" s="911"/>
      <c r="I85" s="911"/>
      <c r="J85" s="911"/>
      <c r="K85" s="911"/>
      <c r="L85" s="911"/>
      <c r="M85" s="911"/>
      <c r="N85" s="911"/>
      <c r="O85" s="912"/>
      <c r="P85" s="912"/>
      <c r="Q85" s="912"/>
      <c r="R85" s="912"/>
      <c r="S85" s="1133"/>
      <c r="T85" s="1097"/>
      <c r="U85" s="1097"/>
      <c r="V85" s="1097"/>
      <c r="W85" s="1097"/>
      <c r="X85" s="1097"/>
      <c r="Y85" s="1097"/>
      <c r="Z85" s="1097"/>
      <c r="AA85" s="1097"/>
      <c r="AB85" s="1097"/>
      <c r="AC85" s="1097"/>
      <c r="AD85" s="1097"/>
      <c r="AE85" s="1097"/>
    </row>
    <row r="86" spans="1:32" s="865" customFormat="1" ht="12.75" customHeight="1" outlineLevel="1" x14ac:dyDescent="0.25">
      <c r="A86" s="870" t="s">
        <v>377</v>
      </c>
      <c r="B86" s="870" t="s">
        <v>365</v>
      </c>
      <c r="C86" s="911"/>
      <c r="D86" s="911"/>
      <c r="E86" s="911"/>
      <c r="F86" s="911"/>
      <c r="G86" s="911"/>
      <c r="H86" s="911"/>
      <c r="I86" s="911"/>
      <c r="J86" s="911"/>
      <c r="K86" s="911"/>
      <c r="L86" s="911"/>
      <c r="M86" s="911"/>
      <c r="N86" s="911"/>
      <c r="O86" s="912"/>
      <c r="P86" s="912"/>
      <c r="Q86" s="912"/>
      <c r="R86" s="912"/>
      <c r="S86" s="1133"/>
      <c r="T86" s="1097"/>
      <c r="U86" s="1097"/>
      <c r="V86" s="1097"/>
      <c r="W86" s="1097"/>
      <c r="X86" s="1097"/>
      <c r="Y86" s="1097"/>
      <c r="Z86" s="1097"/>
      <c r="AA86" s="1097"/>
      <c r="AB86" s="1097"/>
      <c r="AC86" s="1097"/>
      <c r="AD86" s="1097"/>
      <c r="AE86" s="1097"/>
    </row>
    <row r="87" spans="1:32" s="914" customFormat="1" ht="12.75" customHeight="1" outlineLevel="1" x14ac:dyDescent="0.25">
      <c r="A87" s="870" t="s">
        <v>367</v>
      </c>
      <c r="B87" s="913"/>
      <c r="C87" s="911"/>
      <c r="D87" s="911"/>
      <c r="E87" s="911"/>
      <c r="F87" s="911"/>
      <c r="G87" s="911"/>
      <c r="H87" s="911"/>
      <c r="I87" s="911"/>
      <c r="J87" s="911"/>
      <c r="K87" s="911"/>
      <c r="L87" s="911"/>
      <c r="M87" s="911"/>
      <c r="N87" s="911"/>
      <c r="O87" s="912"/>
      <c r="P87" s="912"/>
      <c r="Q87" s="912"/>
      <c r="R87" s="912"/>
      <c r="S87" s="1133"/>
      <c r="T87" s="909"/>
      <c r="U87" s="909"/>
      <c r="V87" s="909"/>
      <c r="W87" s="909"/>
      <c r="X87" s="1097"/>
      <c r="Y87" s="909"/>
      <c r="Z87" s="909"/>
      <c r="AA87" s="909"/>
      <c r="AB87" s="909"/>
      <c r="AC87" s="1097"/>
      <c r="AD87" s="1097"/>
      <c r="AE87" s="1097"/>
    </row>
    <row r="88" spans="1:32" s="865" customFormat="1" ht="12.75" customHeight="1" outlineLevel="1" x14ac:dyDescent="0.25">
      <c r="A88" s="884" t="s">
        <v>77</v>
      </c>
      <c r="B88" s="915" t="s">
        <v>208</v>
      </c>
      <c r="C88" s="915">
        <f>+AVERAGE(C74:C87)</f>
        <v>0</v>
      </c>
      <c r="D88" s="916">
        <f t="shared" ref="D88:S88" si="23">+AVERAGE(D74:D87)</f>
        <v>0</v>
      </c>
      <c r="E88" s="916">
        <f t="shared" si="23"/>
        <v>0</v>
      </c>
      <c r="F88" s="916">
        <f t="shared" si="23"/>
        <v>0</v>
      </c>
      <c r="G88" s="916">
        <f t="shared" si="23"/>
        <v>0</v>
      </c>
      <c r="H88" s="916">
        <f t="shared" si="23"/>
        <v>0</v>
      </c>
      <c r="I88" s="916">
        <f t="shared" si="23"/>
        <v>0</v>
      </c>
      <c r="J88" s="916">
        <f t="shared" si="23"/>
        <v>0</v>
      </c>
      <c r="K88" s="916">
        <f t="shared" si="23"/>
        <v>0</v>
      </c>
      <c r="L88" s="916">
        <f t="shared" si="23"/>
        <v>0</v>
      </c>
      <c r="M88" s="916">
        <f t="shared" si="23"/>
        <v>0</v>
      </c>
      <c r="N88" s="916">
        <f t="shared" si="23"/>
        <v>0</v>
      </c>
      <c r="O88" s="916">
        <f t="shared" si="23"/>
        <v>0</v>
      </c>
      <c r="P88" s="916">
        <f t="shared" si="23"/>
        <v>0</v>
      </c>
      <c r="Q88" s="916">
        <f t="shared" si="23"/>
        <v>0</v>
      </c>
      <c r="R88" s="916">
        <f t="shared" si="23"/>
        <v>0</v>
      </c>
      <c r="S88" s="1134">
        <f t="shared" si="23"/>
        <v>0</v>
      </c>
      <c r="T88" s="1098"/>
      <c r="U88" s="1098"/>
      <c r="V88" s="1098"/>
      <c r="W88" s="1098"/>
      <c r="X88" s="1098"/>
      <c r="Y88" s="1098"/>
      <c r="Z88" s="1098"/>
      <c r="AA88" s="1098"/>
      <c r="AB88" s="1098"/>
      <c r="AC88" s="1098"/>
      <c r="AD88" s="1098"/>
      <c r="AE88" s="1098"/>
    </row>
    <row r="89" spans="1:32" ht="12.75" customHeight="1" outlineLevel="1" x14ac:dyDescent="0.25">
      <c r="T89" s="914"/>
      <c r="U89" s="914"/>
      <c r="V89" s="914"/>
      <c r="W89" s="914"/>
      <c r="X89" s="914"/>
      <c r="Y89" s="914"/>
      <c r="Z89" s="914"/>
      <c r="AA89" s="914"/>
      <c r="AB89" s="914"/>
      <c r="AC89" s="914"/>
      <c r="AD89" s="914"/>
      <c r="AE89" s="914"/>
      <c r="AF89" s="914"/>
    </row>
    <row r="90" spans="1:32" s="899" customFormat="1" ht="12.75" customHeight="1" outlineLevel="1" x14ac:dyDescent="0.25">
      <c r="A90" s="897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32">
        <f>$S$11</f>
        <v>2022</v>
      </c>
      <c r="T90" s="1084"/>
      <c r="U90" s="1084"/>
      <c r="V90" s="1084"/>
      <c r="W90" s="1084"/>
      <c r="X90" s="1094"/>
      <c r="Y90" s="1094"/>
      <c r="Z90" s="1094"/>
      <c r="AA90" s="1094"/>
      <c r="AB90" s="1094"/>
      <c r="AC90" s="1094"/>
      <c r="AD90" s="1094"/>
      <c r="AE90" s="1094"/>
    </row>
    <row r="91" spans="1:32" s="865" customFormat="1" ht="12.75" customHeight="1" outlineLevel="1" x14ac:dyDescent="0.25">
      <c r="A91" s="870" t="s">
        <v>364</v>
      </c>
      <c r="B91" s="870" t="s">
        <v>364</v>
      </c>
      <c r="C91" s="917">
        <f t="shared" ref="C91:N104" si="24">C57*C74</f>
        <v>0</v>
      </c>
      <c r="D91" s="917">
        <f t="shared" si="24"/>
        <v>0</v>
      </c>
      <c r="E91" s="917">
        <f t="shared" si="24"/>
        <v>0</v>
      </c>
      <c r="F91" s="917">
        <f t="shared" si="24"/>
        <v>0</v>
      </c>
      <c r="G91" s="917">
        <f t="shared" si="24"/>
        <v>0</v>
      </c>
      <c r="H91" s="917">
        <f t="shared" si="24"/>
        <v>0</v>
      </c>
      <c r="I91" s="917">
        <f t="shared" si="24"/>
        <v>0</v>
      </c>
      <c r="J91" s="917">
        <f t="shared" si="24"/>
        <v>0</v>
      </c>
      <c r="K91" s="917">
        <f t="shared" si="24"/>
        <v>0</v>
      </c>
      <c r="L91" s="917">
        <f t="shared" si="24"/>
        <v>0</v>
      </c>
      <c r="M91" s="917">
        <f t="shared" si="24"/>
        <v>0</v>
      </c>
      <c r="N91" s="917">
        <f t="shared" si="24"/>
        <v>0</v>
      </c>
      <c r="O91" s="918">
        <f>SUM(C91:E91)</f>
        <v>0</v>
      </c>
      <c r="P91" s="918">
        <f>SUM(F91:H91)</f>
        <v>0</v>
      </c>
      <c r="Q91" s="918">
        <f>SUM(I91:K91)</f>
        <v>0</v>
      </c>
      <c r="R91" s="918">
        <f>SUM(L91:N91)</f>
        <v>0</v>
      </c>
      <c r="S91" s="1135">
        <f>SUM(O91:R91)</f>
        <v>0</v>
      </c>
      <c r="T91" s="1099"/>
      <c r="U91" s="1099"/>
      <c r="V91" s="1099"/>
      <c r="W91" s="1099"/>
      <c r="X91" s="1099"/>
      <c r="Y91" s="1099"/>
      <c r="Z91" s="1099"/>
      <c r="AA91" s="1099"/>
      <c r="AB91" s="1099"/>
      <c r="AC91" s="1099"/>
      <c r="AD91" s="1099"/>
      <c r="AE91" s="1099"/>
    </row>
    <row r="92" spans="1:32" s="865" customFormat="1" ht="12.75" customHeight="1" outlineLevel="1" x14ac:dyDescent="0.25">
      <c r="A92" s="870" t="s">
        <v>365</v>
      </c>
      <c r="B92" s="870" t="s">
        <v>365</v>
      </c>
      <c r="C92" s="917">
        <f t="shared" si="24"/>
        <v>0</v>
      </c>
      <c r="D92" s="917">
        <f t="shared" si="24"/>
        <v>0</v>
      </c>
      <c r="E92" s="917">
        <f t="shared" si="24"/>
        <v>0</v>
      </c>
      <c r="F92" s="917">
        <f t="shared" si="24"/>
        <v>0</v>
      </c>
      <c r="G92" s="917">
        <f t="shared" si="24"/>
        <v>0</v>
      </c>
      <c r="H92" s="917">
        <f t="shared" si="24"/>
        <v>0</v>
      </c>
      <c r="I92" s="917">
        <f t="shared" si="24"/>
        <v>0</v>
      </c>
      <c r="J92" s="917">
        <f t="shared" si="24"/>
        <v>0</v>
      </c>
      <c r="K92" s="917">
        <f t="shared" si="24"/>
        <v>0</v>
      </c>
      <c r="L92" s="917">
        <f t="shared" si="24"/>
        <v>0</v>
      </c>
      <c r="M92" s="917">
        <f t="shared" si="24"/>
        <v>0</v>
      </c>
      <c r="N92" s="917">
        <f t="shared" si="24"/>
        <v>0</v>
      </c>
      <c r="O92" s="918">
        <f t="shared" ref="O92:O105" si="25">SUM(C92:E92)</f>
        <v>0</v>
      </c>
      <c r="P92" s="918">
        <f t="shared" ref="P92:P105" si="26">SUM(F92:H92)</f>
        <v>0</v>
      </c>
      <c r="Q92" s="918">
        <f t="shared" ref="Q92:Q105" si="27">SUM(I92:K92)</f>
        <v>0</v>
      </c>
      <c r="R92" s="918">
        <f t="shared" ref="R92:R105" si="28">SUM(L92:N92)</f>
        <v>0</v>
      </c>
      <c r="S92" s="1135">
        <f t="shared" ref="S92:S105" si="29">SUM(O92:R92)</f>
        <v>0</v>
      </c>
      <c r="T92" s="1099"/>
      <c r="U92" s="1099"/>
      <c r="V92" s="1099"/>
      <c r="W92" s="1099"/>
      <c r="X92" s="1099"/>
      <c r="Y92" s="1099"/>
      <c r="Z92" s="1099"/>
      <c r="AA92" s="1099"/>
      <c r="AB92" s="1099"/>
      <c r="AC92" s="1099"/>
      <c r="AD92" s="1099"/>
      <c r="AE92" s="1099"/>
    </row>
    <row r="93" spans="1:32" s="865" customFormat="1" ht="12.75" customHeight="1" outlineLevel="1" x14ac:dyDescent="0.25">
      <c r="A93" s="870" t="s">
        <v>366</v>
      </c>
      <c r="B93" s="870" t="s">
        <v>366</v>
      </c>
      <c r="C93" s="917">
        <f t="shared" si="24"/>
        <v>0</v>
      </c>
      <c r="D93" s="917">
        <f t="shared" si="24"/>
        <v>0</v>
      </c>
      <c r="E93" s="917">
        <f t="shared" si="24"/>
        <v>0</v>
      </c>
      <c r="F93" s="917">
        <f t="shared" si="24"/>
        <v>0</v>
      </c>
      <c r="G93" s="917">
        <f t="shared" si="24"/>
        <v>0</v>
      </c>
      <c r="H93" s="917">
        <f t="shared" si="24"/>
        <v>0</v>
      </c>
      <c r="I93" s="917">
        <f t="shared" si="24"/>
        <v>0</v>
      </c>
      <c r="J93" s="917">
        <f t="shared" si="24"/>
        <v>0</v>
      </c>
      <c r="K93" s="917">
        <f t="shared" si="24"/>
        <v>0</v>
      </c>
      <c r="L93" s="917">
        <f t="shared" si="24"/>
        <v>0</v>
      </c>
      <c r="M93" s="917">
        <f t="shared" si="24"/>
        <v>0</v>
      </c>
      <c r="N93" s="917">
        <f t="shared" si="24"/>
        <v>0</v>
      </c>
      <c r="O93" s="918">
        <f t="shared" si="25"/>
        <v>0</v>
      </c>
      <c r="P93" s="918">
        <f t="shared" si="26"/>
        <v>0</v>
      </c>
      <c r="Q93" s="918">
        <f t="shared" si="27"/>
        <v>0</v>
      </c>
      <c r="R93" s="918">
        <f t="shared" si="28"/>
        <v>0</v>
      </c>
      <c r="S93" s="1135">
        <f t="shared" si="29"/>
        <v>0</v>
      </c>
      <c r="T93" s="1099"/>
      <c r="U93" s="1099"/>
      <c r="V93" s="1099"/>
      <c r="W93" s="1099"/>
      <c r="X93" s="1099"/>
      <c r="Y93" s="1099"/>
      <c r="Z93" s="1099"/>
      <c r="AA93" s="1099"/>
      <c r="AB93" s="1099"/>
      <c r="AC93" s="1099"/>
      <c r="AD93" s="1099"/>
      <c r="AE93" s="1099"/>
    </row>
    <row r="94" spans="1:32" s="865" customFormat="1" ht="12.75" customHeight="1" outlineLevel="1" x14ac:dyDescent="0.25">
      <c r="A94" s="870" t="s">
        <v>368</v>
      </c>
      <c r="B94" s="870" t="s">
        <v>366</v>
      </c>
      <c r="C94" s="917">
        <f t="shared" si="24"/>
        <v>0</v>
      </c>
      <c r="D94" s="917">
        <f t="shared" si="24"/>
        <v>0</v>
      </c>
      <c r="E94" s="917">
        <f t="shared" si="24"/>
        <v>0</v>
      </c>
      <c r="F94" s="917">
        <f t="shared" si="24"/>
        <v>0</v>
      </c>
      <c r="G94" s="917">
        <f t="shared" si="24"/>
        <v>0</v>
      </c>
      <c r="H94" s="917">
        <f t="shared" si="24"/>
        <v>0</v>
      </c>
      <c r="I94" s="917">
        <f t="shared" si="24"/>
        <v>0</v>
      </c>
      <c r="J94" s="917">
        <f t="shared" si="24"/>
        <v>0</v>
      </c>
      <c r="K94" s="917">
        <f t="shared" si="24"/>
        <v>0</v>
      </c>
      <c r="L94" s="917">
        <f t="shared" si="24"/>
        <v>0</v>
      </c>
      <c r="M94" s="917">
        <f t="shared" si="24"/>
        <v>0</v>
      </c>
      <c r="N94" s="917">
        <f t="shared" si="24"/>
        <v>0</v>
      </c>
      <c r="O94" s="918">
        <f t="shared" si="25"/>
        <v>0</v>
      </c>
      <c r="P94" s="918">
        <f t="shared" si="26"/>
        <v>0</v>
      </c>
      <c r="Q94" s="918">
        <f t="shared" si="27"/>
        <v>0</v>
      </c>
      <c r="R94" s="918">
        <f t="shared" si="28"/>
        <v>0</v>
      </c>
      <c r="S94" s="1135">
        <f t="shared" si="29"/>
        <v>0</v>
      </c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</row>
    <row r="95" spans="1:32" s="865" customFormat="1" ht="12.75" customHeight="1" outlineLevel="1" x14ac:dyDescent="0.25">
      <c r="A95" s="870" t="s">
        <v>369</v>
      </c>
      <c r="B95" s="870" t="s">
        <v>368</v>
      </c>
      <c r="C95" s="917">
        <f t="shared" si="24"/>
        <v>0</v>
      </c>
      <c r="D95" s="917">
        <f t="shared" si="24"/>
        <v>0</v>
      </c>
      <c r="E95" s="917">
        <f t="shared" si="24"/>
        <v>0</v>
      </c>
      <c r="F95" s="917">
        <f t="shared" si="24"/>
        <v>0</v>
      </c>
      <c r="G95" s="917">
        <f t="shared" si="24"/>
        <v>0</v>
      </c>
      <c r="H95" s="917">
        <f t="shared" si="24"/>
        <v>0</v>
      </c>
      <c r="I95" s="917">
        <f t="shared" si="24"/>
        <v>0</v>
      </c>
      <c r="J95" s="917">
        <f t="shared" si="24"/>
        <v>0</v>
      </c>
      <c r="K95" s="917">
        <f t="shared" si="24"/>
        <v>0</v>
      </c>
      <c r="L95" s="917">
        <f t="shared" si="24"/>
        <v>0</v>
      </c>
      <c r="M95" s="917">
        <f t="shared" si="24"/>
        <v>0</v>
      </c>
      <c r="N95" s="917">
        <f t="shared" si="24"/>
        <v>0</v>
      </c>
      <c r="O95" s="918">
        <f t="shared" si="25"/>
        <v>0</v>
      </c>
      <c r="P95" s="918">
        <f t="shared" si="26"/>
        <v>0</v>
      </c>
      <c r="Q95" s="918">
        <f t="shared" si="27"/>
        <v>0</v>
      </c>
      <c r="R95" s="918">
        <f t="shared" si="28"/>
        <v>0</v>
      </c>
      <c r="S95" s="1135">
        <f t="shared" si="29"/>
        <v>0</v>
      </c>
      <c r="T95" s="1099"/>
      <c r="U95" s="1099"/>
      <c r="V95" s="1099"/>
      <c r="W95" s="1099"/>
      <c r="X95" s="1099"/>
      <c r="Y95" s="1099"/>
      <c r="Z95" s="1099"/>
      <c r="AA95" s="1099"/>
      <c r="AB95" s="1099"/>
      <c r="AC95" s="1099"/>
      <c r="AD95" s="1099"/>
      <c r="AE95" s="1099"/>
    </row>
    <row r="96" spans="1:32" s="865" customFormat="1" ht="12.75" customHeight="1" outlineLevel="1" x14ac:dyDescent="0.25">
      <c r="A96" s="870" t="s">
        <v>370</v>
      </c>
      <c r="B96" s="870" t="s">
        <v>368</v>
      </c>
      <c r="C96" s="917">
        <f t="shared" si="24"/>
        <v>0</v>
      </c>
      <c r="D96" s="917">
        <f t="shared" si="24"/>
        <v>0</v>
      </c>
      <c r="E96" s="917">
        <f t="shared" si="24"/>
        <v>0</v>
      </c>
      <c r="F96" s="917">
        <f t="shared" si="24"/>
        <v>0</v>
      </c>
      <c r="G96" s="917">
        <f t="shared" si="24"/>
        <v>0</v>
      </c>
      <c r="H96" s="917">
        <f t="shared" si="24"/>
        <v>0</v>
      </c>
      <c r="I96" s="917">
        <f t="shared" si="24"/>
        <v>0</v>
      </c>
      <c r="J96" s="917">
        <f t="shared" si="24"/>
        <v>0</v>
      </c>
      <c r="K96" s="917">
        <f t="shared" si="24"/>
        <v>0</v>
      </c>
      <c r="L96" s="917">
        <f t="shared" si="24"/>
        <v>0</v>
      </c>
      <c r="M96" s="917">
        <f t="shared" si="24"/>
        <v>0</v>
      </c>
      <c r="N96" s="917">
        <f t="shared" si="24"/>
        <v>0</v>
      </c>
      <c r="O96" s="918">
        <f t="shared" si="25"/>
        <v>0</v>
      </c>
      <c r="P96" s="918">
        <f t="shared" si="26"/>
        <v>0</v>
      </c>
      <c r="Q96" s="918">
        <f t="shared" si="27"/>
        <v>0</v>
      </c>
      <c r="R96" s="918">
        <f t="shared" si="28"/>
        <v>0</v>
      </c>
      <c r="S96" s="1135">
        <f t="shared" si="29"/>
        <v>0</v>
      </c>
      <c r="T96" s="1099"/>
      <c r="U96" s="1099"/>
      <c r="V96" s="1099"/>
      <c r="W96" s="1099"/>
      <c r="X96" s="1099"/>
      <c r="Y96" s="1099"/>
      <c r="Z96" s="1099"/>
      <c r="AA96" s="1099"/>
      <c r="AB96" s="1099"/>
      <c r="AC96" s="1099"/>
      <c r="AD96" s="1099"/>
      <c r="AE96" s="1099"/>
    </row>
    <row r="97" spans="1:33" s="865" customFormat="1" ht="12.75" customHeight="1" outlineLevel="1" x14ac:dyDescent="0.25">
      <c r="A97" s="870" t="s">
        <v>371</v>
      </c>
      <c r="B97" s="870" t="s">
        <v>368</v>
      </c>
      <c r="C97" s="917">
        <f t="shared" si="24"/>
        <v>0</v>
      </c>
      <c r="D97" s="917">
        <f t="shared" si="24"/>
        <v>0</v>
      </c>
      <c r="E97" s="917">
        <f t="shared" si="24"/>
        <v>0</v>
      </c>
      <c r="F97" s="917">
        <f t="shared" si="24"/>
        <v>0</v>
      </c>
      <c r="G97" s="917">
        <f t="shared" si="24"/>
        <v>0</v>
      </c>
      <c r="H97" s="917">
        <f t="shared" si="24"/>
        <v>0</v>
      </c>
      <c r="I97" s="917">
        <f t="shared" si="24"/>
        <v>0</v>
      </c>
      <c r="J97" s="917">
        <f t="shared" si="24"/>
        <v>0</v>
      </c>
      <c r="K97" s="917">
        <f t="shared" si="24"/>
        <v>0</v>
      </c>
      <c r="L97" s="917">
        <f t="shared" si="24"/>
        <v>0</v>
      </c>
      <c r="M97" s="917">
        <f t="shared" si="24"/>
        <v>0</v>
      </c>
      <c r="N97" s="917">
        <f t="shared" si="24"/>
        <v>0</v>
      </c>
      <c r="O97" s="918">
        <f t="shared" si="25"/>
        <v>0</v>
      </c>
      <c r="P97" s="918">
        <f t="shared" si="26"/>
        <v>0</v>
      </c>
      <c r="Q97" s="918">
        <f t="shared" si="27"/>
        <v>0</v>
      </c>
      <c r="R97" s="918">
        <f t="shared" si="28"/>
        <v>0</v>
      </c>
      <c r="S97" s="1135">
        <f t="shared" si="29"/>
        <v>0</v>
      </c>
      <c r="T97" s="1099"/>
      <c r="U97" s="1099"/>
      <c r="V97" s="1099"/>
      <c r="W97" s="1099"/>
      <c r="X97" s="1099"/>
      <c r="Y97" s="1099"/>
      <c r="Z97" s="1099"/>
      <c r="AA97" s="1099"/>
      <c r="AB97" s="1099"/>
      <c r="AC97" s="1099"/>
      <c r="AD97" s="1099"/>
      <c r="AE97" s="1099"/>
    </row>
    <row r="98" spans="1:33" s="865" customFormat="1" ht="12.75" customHeight="1" outlineLevel="1" x14ac:dyDescent="0.25">
      <c r="A98" s="870" t="s">
        <v>372</v>
      </c>
      <c r="B98" s="870" t="s">
        <v>368</v>
      </c>
      <c r="C98" s="917">
        <f t="shared" si="24"/>
        <v>0</v>
      </c>
      <c r="D98" s="917">
        <f t="shared" si="24"/>
        <v>0</v>
      </c>
      <c r="E98" s="917">
        <f t="shared" si="24"/>
        <v>0</v>
      </c>
      <c r="F98" s="917">
        <f t="shared" si="24"/>
        <v>0</v>
      </c>
      <c r="G98" s="917">
        <f t="shared" si="24"/>
        <v>0</v>
      </c>
      <c r="H98" s="917">
        <f t="shared" si="24"/>
        <v>0</v>
      </c>
      <c r="I98" s="917">
        <f t="shared" si="24"/>
        <v>0</v>
      </c>
      <c r="J98" s="917">
        <f t="shared" si="24"/>
        <v>0</v>
      </c>
      <c r="K98" s="917">
        <f t="shared" si="24"/>
        <v>0</v>
      </c>
      <c r="L98" s="917">
        <f t="shared" si="24"/>
        <v>0</v>
      </c>
      <c r="M98" s="917">
        <f t="shared" si="24"/>
        <v>0</v>
      </c>
      <c r="N98" s="917">
        <f t="shared" si="24"/>
        <v>0</v>
      </c>
      <c r="O98" s="918">
        <f t="shared" si="25"/>
        <v>0</v>
      </c>
      <c r="P98" s="918">
        <f t="shared" si="26"/>
        <v>0</v>
      </c>
      <c r="Q98" s="918">
        <f t="shared" si="27"/>
        <v>0</v>
      </c>
      <c r="R98" s="918">
        <f t="shared" si="28"/>
        <v>0</v>
      </c>
      <c r="S98" s="1135">
        <f t="shared" si="29"/>
        <v>0</v>
      </c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</row>
    <row r="99" spans="1:33" s="865" customFormat="1" ht="12.75" customHeight="1" outlineLevel="1" x14ac:dyDescent="0.25">
      <c r="A99" s="870" t="s">
        <v>373</v>
      </c>
      <c r="B99" s="870" t="s">
        <v>366</v>
      </c>
      <c r="C99" s="917">
        <f t="shared" si="24"/>
        <v>0</v>
      </c>
      <c r="D99" s="917">
        <f t="shared" si="24"/>
        <v>0</v>
      </c>
      <c r="E99" s="917">
        <f t="shared" si="24"/>
        <v>0</v>
      </c>
      <c r="F99" s="917">
        <f t="shared" si="24"/>
        <v>0</v>
      </c>
      <c r="G99" s="917">
        <f>G65*G82</f>
        <v>0</v>
      </c>
      <c r="H99" s="917">
        <f t="shared" si="24"/>
        <v>0</v>
      </c>
      <c r="I99" s="917">
        <f t="shared" si="24"/>
        <v>0</v>
      </c>
      <c r="J99" s="917">
        <f t="shared" si="24"/>
        <v>0</v>
      </c>
      <c r="K99" s="917">
        <f t="shared" si="24"/>
        <v>0</v>
      </c>
      <c r="L99" s="917">
        <f t="shared" si="24"/>
        <v>0</v>
      </c>
      <c r="M99" s="917">
        <f t="shared" si="24"/>
        <v>0</v>
      </c>
      <c r="N99" s="917">
        <f t="shared" si="24"/>
        <v>0</v>
      </c>
      <c r="O99" s="918">
        <f t="shared" si="25"/>
        <v>0</v>
      </c>
      <c r="P99" s="918">
        <f t="shared" si="26"/>
        <v>0</v>
      </c>
      <c r="Q99" s="918">
        <f t="shared" si="27"/>
        <v>0</v>
      </c>
      <c r="R99" s="918">
        <f t="shared" si="28"/>
        <v>0</v>
      </c>
      <c r="S99" s="1135">
        <f t="shared" si="29"/>
        <v>0</v>
      </c>
      <c r="T99" s="1099"/>
      <c r="U99" s="1099"/>
      <c r="V99" s="1099"/>
      <c r="W99" s="1099"/>
      <c r="X99" s="1099"/>
      <c r="Y99" s="1099"/>
      <c r="Z99" s="1099"/>
      <c r="AA99" s="1099"/>
      <c r="AB99" s="1099"/>
      <c r="AC99" s="1099"/>
      <c r="AD99" s="1099"/>
      <c r="AE99" s="1099"/>
    </row>
    <row r="100" spans="1:33" s="865" customFormat="1" ht="12.75" customHeight="1" outlineLevel="1" x14ac:dyDescent="0.25">
      <c r="A100" s="870" t="s">
        <v>374</v>
      </c>
      <c r="B100" s="870" t="s">
        <v>368</v>
      </c>
      <c r="C100" s="917">
        <f t="shared" si="24"/>
        <v>0</v>
      </c>
      <c r="D100" s="917">
        <f t="shared" si="24"/>
        <v>0</v>
      </c>
      <c r="E100" s="917">
        <f t="shared" si="24"/>
        <v>0</v>
      </c>
      <c r="F100" s="917">
        <f t="shared" si="24"/>
        <v>0</v>
      </c>
      <c r="G100" s="917">
        <f t="shared" si="24"/>
        <v>0</v>
      </c>
      <c r="H100" s="917">
        <f t="shared" si="24"/>
        <v>0</v>
      </c>
      <c r="I100" s="917">
        <f t="shared" si="24"/>
        <v>0</v>
      </c>
      <c r="J100" s="917">
        <f t="shared" si="24"/>
        <v>0</v>
      </c>
      <c r="K100" s="917">
        <f t="shared" si="24"/>
        <v>0</v>
      </c>
      <c r="L100" s="917">
        <f t="shared" si="24"/>
        <v>0</v>
      </c>
      <c r="M100" s="917">
        <f t="shared" si="24"/>
        <v>0</v>
      </c>
      <c r="N100" s="917">
        <f t="shared" si="24"/>
        <v>0</v>
      </c>
      <c r="O100" s="918">
        <f t="shared" si="25"/>
        <v>0</v>
      </c>
      <c r="P100" s="918">
        <f t="shared" si="26"/>
        <v>0</v>
      </c>
      <c r="Q100" s="918">
        <f t="shared" si="27"/>
        <v>0</v>
      </c>
      <c r="R100" s="918">
        <f t="shared" si="28"/>
        <v>0</v>
      </c>
      <c r="S100" s="1135">
        <f t="shared" si="29"/>
        <v>0</v>
      </c>
      <c r="T100" s="1099"/>
      <c r="U100" s="1099"/>
      <c r="V100" s="1099"/>
      <c r="W100" s="1099"/>
      <c r="X100" s="1099"/>
      <c r="Y100" s="1099"/>
      <c r="Z100" s="1099"/>
      <c r="AA100" s="1099"/>
      <c r="AB100" s="1099"/>
      <c r="AC100" s="1099"/>
      <c r="AD100" s="1099"/>
      <c r="AE100" s="1099"/>
    </row>
    <row r="101" spans="1:33" s="865" customFormat="1" ht="12.75" customHeight="1" outlineLevel="1" x14ac:dyDescent="0.25">
      <c r="A101" s="870" t="s">
        <v>375</v>
      </c>
      <c r="B101" s="870" t="s">
        <v>366</v>
      </c>
      <c r="C101" s="917">
        <f t="shared" si="24"/>
        <v>0</v>
      </c>
      <c r="D101" s="917">
        <f t="shared" si="24"/>
        <v>0</v>
      </c>
      <c r="E101" s="917">
        <f t="shared" si="24"/>
        <v>0</v>
      </c>
      <c r="F101" s="917">
        <f t="shared" si="24"/>
        <v>0</v>
      </c>
      <c r="G101" s="917">
        <f t="shared" si="24"/>
        <v>0</v>
      </c>
      <c r="H101" s="917">
        <f t="shared" si="24"/>
        <v>0</v>
      </c>
      <c r="I101" s="917">
        <f t="shared" si="24"/>
        <v>0</v>
      </c>
      <c r="J101" s="917">
        <f t="shared" si="24"/>
        <v>0</v>
      </c>
      <c r="K101" s="917">
        <f t="shared" si="24"/>
        <v>0</v>
      </c>
      <c r="L101" s="917">
        <f t="shared" si="24"/>
        <v>0</v>
      </c>
      <c r="M101" s="917">
        <f t="shared" si="24"/>
        <v>0</v>
      </c>
      <c r="N101" s="917">
        <f t="shared" si="24"/>
        <v>0</v>
      </c>
      <c r="O101" s="918">
        <f t="shared" si="25"/>
        <v>0</v>
      </c>
      <c r="P101" s="918">
        <f t="shared" si="26"/>
        <v>0</v>
      </c>
      <c r="Q101" s="918">
        <f t="shared" si="27"/>
        <v>0</v>
      </c>
      <c r="R101" s="918">
        <f t="shared" si="28"/>
        <v>0</v>
      </c>
      <c r="S101" s="1135">
        <f t="shared" si="29"/>
        <v>0</v>
      </c>
      <c r="T101" s="1099"/>
      <c r="U101" s="1099"/>
      <c r="V101" s="1099"/>
      <c r="W101" s="1099"/>
      <c r="X101" s="1099"/>
      <c r="Y101" s="1099"/>
      <c r="Z101" s="1099"/>
      <c r="AA101" s="1099"/>
      <c r="AB101" s="1099"/>
      <c r="AC101" s="1099"/>
      <c r="AD101" s="1099"/>
      <c r="AE101" s="1099"/>
    </row>
    <row r="102" spans="1:33" s="865" customFormat="1" ht="12.75" customHeight="1" outlineLevel="1" x14ac:dyDescent="0.25">
      <c r="A102" s="870" t="s">
        <v>376</v>
      </c>
      <c r="B102" s="870" t="s">
        <v>368</v>
      </c>
      <c r="C102" s="917">
        <f t="shared" si="24"/>
        <v>0</v>
      </c>
      <c r="D102" s="917">
        <f t="shared" si="24"/>
        <v>0</v>
      </c>
      <c r="E102" s="917">
        <f t="shared" si="24"/>
        <v>0</v>
      </c>
      <c r="F102" s="917">
        <f t="shared" si="24"/>
        <v>0</v>
      </c>
      <c r="G102" s="917">
        <f t="shared" si="24"/>
        <v>0</v>
      </c>
      <c r="H102" s="917">
        <f t="shared" si="24"/>
        <v>0</v>
      </c>
      <c r="I102" s="917">
        <f t="shared" si="24"/>
        <v>0</v>
      </c>
      <c r="J102" s="917">
        <f t="shared" si="24"/>
        <v>0</v>
      </c>
      <c r="K102" s="917">
        <f t="shared" si="24"/>
        <v>0</v>
      </c>
      <c r="L102" s="917">
        <f t="shared" si="24"/>
        <v>0</v>
      </c>
      <c r="M102" s="917">
        <f t="shared" si="24"/>
        <v>0</v>
      </c>
      <c r="N102" s="917">
        <f t="shared" si="24"/>
        <v>0</v>
      </c>
      <c r="O102" s="918">
        <f t="shared" si="25"/>
        <v>0</v>
      </c>
      <c r="P102" s="918">
        <f t="shared" si="26"/>
        <v>0</v>
      </c>
      <c r="Q102" s="918">
        <f t="shared" si="27"/>
        <v>0</v>
      </c>
      <c r="R102" s="918">
        <f t="shared" si="28"/>
        <v>0</v>
      </c>
      <c r="S102" s="1135">
        <f t="shared" si="29"/>
        <v>0</v>
      </c>
      <c r="T102" s="1099"/>
      <c r="U102" s="1099"/>
      <c r="V102" s="1099"/>
      <c r="W102" s="1099"/>
      <c r="X102" s="1099"/>
      <c r="Y102" s="1099"/>
      <c r="Z102" s="1099"/>
      <c r="AA102" s="1099"/>
      <c r="AB102" s="1099"/>
      <c r="AC102" s="1099"/>
      <c r="AD102" s="1099"/>
      <c r="AE102" s="1099"/>
    </row>
    <row r="103" spans="1:33" s="865" customFormat="1" ht="12.75" customHeight="1" outlineLevel="1" x14ac:dyDescent="0.25">
      <c r="A103" s="870" t="s">
        <v>377</v>
      </c>
      <c r="B103" s="870" t="s">
        <v>365</v>
      </c>
      <c r="C103" s="917">
        <f t="shared" si="24"/>
        <v>0</v>
      </c>
      <c r="D103" s="917">
        <f t="shared" si="24"/>
        <v>0</v>
      </c>
      <c r="E103" s="917">
        <f t="shared" si="24"/>
        <v>0</v>
      </c>
      <c r="F103" s="917">
        <f t="shared" si="24"/>
        <v>0</v>
      </c>
      <c r="G103" s="917">
        <f t="shared" si="24"/>
        <v>0</v>
      </c>
      <c r="H103" s="917">
        <f t="shared" si="24"/>
        <v>0</v>
      </c>
      <c r="I103" s="917">
        <f t="shared" si="24"/>
        <v>0</v>
      </c>
      <c r="J103" s="917">
        <f t="shared" si="24"/>
        <v>0</v>
      </c>
      <c r="K103" s="917">
        <f t="shared" si="24"/>
        <v>0</v>
      </c>
      <c r="L103" s="917">
        <f t="shared" si="24"/>
        <v>0</v>
      </c>
      <c r="M103" s="917">
        <f t="shared" si="24"/>
        <v>0</v>
      </c>
      <c r="N103" s="917">
        <f t="shared" si="24"/>
        <v>0</v>
      </c>
      <c r="O103" s="918">
        <f t="shared" si="25"/>
        <v>0</v>
      </c>
      <c r="P103" s="918">
        <f t="shared" si="26"/>
        <v>0</v>
      </c>
      <c r="Q103" s="918">
        <f t="shared" si="27"/>
        <v>0</v>
      </c>
      <c r="R103" s="918">
        <f t="shared" si="28"/>
        <v>0</v>
      </c>
      <c r="S103" s="1135">
        <f t="shared" si="29"/>
        <v>0</v>
      </c>
      <c r="T103" s="1099"/>
      <c r="U103" s="1099"/>
      <c r="V103" s="1099"/>
      <c r="W103" s="1099"/>
      <c r="X103" s="1099"/>
      <c r="Y103" s="1099"/>
      <c r="Z103" s="1099"/>
      <c r="AA103" s="1099"/>
      <c r="AB103" s="1099"/>
      <c r="AC103" s="1099"/>
      <c r="AD103" s="1099"/>
      <c r="AE103" s="1099"/>
    </row>
    <row r="104" spans="1:33" s="914" customFormat="1" ht="12.75" customHeight="1" outlineLevel="1" x14ac:dyDescent="0.25">
      <c r="A104" s="870" t="s">
        <v>367</v>
      </c>
      <c r="B104" s="913"/>
      <c r="C104" s="917">
        <f t="shared" si="24"/>
        <v>0</v>
      </c>
      <c r="D104" s="917">
        <f t="shared" si="24"/>
        <v>0</v>
      </c>
      <c r="E104" s="917">
        <f t="shared" si="24"/>
        <v>0</v>
      </c>
      <c r="F104" s="917">
        <f t="shared" si="24"/>
        <v>0</v>
      </c>
      <c r="G104" s="917">
        <f t="shared" si="24"/>
        <v>0</v>
      </c>
      <c r="H104" s="917">
        <f t="shared" si="24"/>
        <v>0</v>
      </c>
      <c r="I104" s="917">
        <f t="shared" si="24"/>
        <v>0</v>
      </c>
      <c r="J104" s="917">
        <f t="shared" si="24"/>
        <v>0</v>
      </c>
      <c r="K104" s="917">
        <f t="shared" si="24"/>
        <v>0</v>
      </c>
      <c r="L104" s="917">
        <f t="shared" si="24"/>
        <v>0</v>
      </c>
      <c r="M104" s="917">
        <f t="shared" si="24"/>
        <v>0</v>
      </c>
      <c r="N104" s="917">
        <f t="shared" si="24"/>
        <v>0</v>
      </c>
      <c r="O104" s="918">
        <f t="shared" si="25"/>
        <v>0</v>
      </c>
      <c r="P104" s="918">
        <f t="shared" si="26"/>
        <v>0</v>
      </c>
      <c r="Q104" s="918">
        <f t="shared" si="27"/>
        <v>0</v>
      </c>
      <c r="R104" s="918">
        <f t="shared" si="28"/>
        <v>0</v>
      </c>
      <c r="S104" s="1135">
        <f t="shared" si="29"/>
        <v>0</v>
      </c>
      <c r="T104" s="1099"/>
      <c r="U104" s="1099"/>
      <c r="V104" s="1099"/>
      <c r="W104" s="1099"/>
      <c r="X104" s="1099"/>
      <c r="Y104" s="1099"/>
      <c r="Z104" s="1099"/>
      <c r="AA104" s="1099"/>
      <c r="AB104" s="1099"/>
      <c r="AC104" s="1099"/>
      <c r="AD104" s="1099"/>
      <c r="AE104" s="1099"/>
    </row>
    <row r="105" spans="1:33" s="865" customFormat="1" ht="12.75" customHeight="1" outlineLevel="1" x14ac:dyDescent="0.25">
      <c r="A105" s="884" t="s">
        <v>77</v>
      </c>
      <c r="B105" s="885" t="s">
        <v>206</v>
      </c>
      <c r="C105" s="903">
        <f t="shared" ref="C105:N105" si="30">SUM(C91:C103)</f>
        <v>0</v>
      </c>
      <c r="D105" s="919">
        <f t="shared" si="30"/>
        <v>0</v>
      </c>
      <c r="E105" s="919">
        <f t="shared" si="30"/>
        <v>0</v>
      </c>
      <c r="F105" s="919">
        <f t="shared" si="30"/>
        <v>0</v>
      </c>
      <c r="G105" s="919">
        <f t="shared" si="30"/>
        <v>0</v>
      </c>
      <c r="H105" s="919">
        <f t="shared" si="30"/>
        <v>0</v>
      </c>
      <c r="I105" s="919">
        <f t="shared" si="30"/>
        <v>0</v>
      </c>
      <c r="J105" s="919">
        <f t="shared" si="30"/>
        <v>0</v>
      </c>
      <c r="K105" s="919">
        <f t="shared" si="30"/>
        <v>0</v>
      </c>
      <c r="L105" s="919">
        <f t="shared" si="30"/>
        <v>0</v>
      </c>
      <c r="M105" s="919">
        <f t="shared" si="30"/>
        <v>0</v>
      </c>
      <c r="N105" s="919">
        <f t="shared" si="30"/>
        <v>0</v>
      </c>
      <c r="O105" s="919">
        <f t="shared" si="25"/>
        <v>0</v>
      </c>
      <c r="P105" s="919">
        <f t="shared" si="26"/>
        <v>0</v>
      </c>
      <c r="Q105" s="919">
        <f t="shared" si="27"/>
        <v>0</v>
      </c>
      <c r="R105" s="919">
        <f t="shared" si="28"/>
        <v>0</v>
      </c>
      <c r="S105" s="1136">
        <f t="shared" si="29"/>
        <v>0</v>
      </c>
      <c r="T105" s="1100"/>
      <c r="U105" s="1100"/>
      <c r="V105" s="1100"/>
      <c r="W105" s="1100"/>
      <c r="X105" s="1100"/>
      <c r="Y105" s="1100"/>
      <c r="Z105" s="1100"/>
      <c r="AA105" s="1100"/>
      <c r="AB105" s="1100"/>
      <c r="AC105" s="1100"/>
      <c r="AD105" s="1100"/>
      <c r="AE105" s="1101"/>
    </row>
    <row r="106" spans="1:33" ht="12.75" customHeight="1" outlineLevel="1" x14ac:dyDescent="0.25">
      <c r="T106" s="914"/>
      <c r="U106" s="914"/>
      <c r="V106" s="914"/>
      <c r="W106" s="914"/>
      <c r="X106" s="914"/>
      <c r="Y106" s="914"/>
      <c r="Z106" s="914"/>
      <c r="AA106" s="914"/>
      <c r="AB106" s="914"/>
      <c r="AC106" s="914"/>
      <c r="AD106" s="914"/>
      <c r="AE106" s="914"/>
      <c r="AF106" s="914"/>
    </row>
    <row r="107" spans="1:33" x14ac:dyDescent="0.25">
      <c r="A107" s="1460" t="s">
        <v>210</v>
      </c>
      <c r="B107" s="1460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2">
        <f t="shared" ref="S107" si="31">S11</f>
        <v>2022</v>
      </c>
      <c r="T107" s="1084"/>
      <c r="U107" s="1084"/>
      <c r="V107" s="1084"/>
      <c r="W107" s="1084"/>
      <c r="X107" s="1121"/>
      <c r="Y107" s="1084"/>
      <c r="Z107" s="1084"/>
      <c r="AA107" s="1084"/>
      <c r="AB107" s="1084"/>
      <c r="AC107" s="1121"/>
      <c r="AD107" s="1121"/>
      <c r="AE107" s="1121"/>
      <c r="AF107" s="914"/>
    </row>
    <row r="108" spans="1:33" s="860" customFormat="1" x14ac:dyDescent="0.25">
      <c r="A108" s="1461"/>
      <c r="B108" s="1461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3"/>
      <c r="T108" s="1084"/>
      <c r="U108" s="1084"/>
      <c r="V108" s="1084"/>
      <c r="W108" s="1084"/>
      <c r="X108" s="1121"/>
      <c r="Y108" s="1084"/>
      <c r="Z108" s="1084"/>
      <c r="AA108" s="1084"/>
      <c r="AB108" s="1084"/>
      <c r="AC108" s="1121"/>
      <c r="AD108" s="1121"/>
      <c r="AE108" s="1121"/>
      <c r="AF108" s="899"/>
    </row>
    <row r="109" spans="1:33" ht="12.75" customHeight="1" outlineLevel="1" x14ac:dyDescent="0.25">
      <c r="A109" s="870" t="s">
        <v>364</v>
      </c>
      <c r="B109" s="870" t="s">
        <v>364</v>
      </c>
      <c r="C109" s="882" t="e">
        <f>(C57-C91)*C42</f>
        <v>#DIV/0!</v>
      </c>
      <c r="D109" s="882" t="e">
        <f t="shared" ref="C109:N111" si="33">(D57-D91)*D42</f>
        <v>#DIV/0!</v>
      </c>
      <c r="E109" s="882" t="e">
        <f t="shared" si="33"/>
        <v>#DIV/0!</v>
      </c>
      <c r="F109" s="882" t="e">
        <f t="shared" si="33"/>
        <v>#DIV/0!</v>
      </c>
      <c r="G109" s="882" t="e">
        <f t="shared" si="33"/>
        <v>#DIV/0!</v>
      </c>
      <c r="H109" s="882" t="e">
        <f t="shared" si="33"/>
        <v>#DIV/0!</v>
      </c>
      <c r="I109" s="882" t="e">
        <f t="shared" si="33"/>
        <v>#DIV/0!</v>
      </c>
      <c r="J109" s="882" t="e">
        <f t="shared" si="33"/>
        <v>#DIV/0!</v>
      </c>
      <c r="K109" s="882" t="e">
        <f t="shared" si="33"/>
        <v>#DIV/0!</v>
      </c>
      <c r="L109" s="882" t="e">
        <f t="shared" si="33"/>
        <v>#DIV/0!</v>
      </c>
      <c r="M109" s="882" t="e">
        <f t="shared" si="33"/>
        <v>#DIV/0!</v>
      </c>
      <c r="N109" s="882" t="e">
        <f t="shared" si="33"/>
        <v>#DIV/0!</v>
      </c>
      <c r="O109" s="896" t="e">
        <f>SUM(C109:E109)</f>
        <v>#DIV/0!</v>
      </c>
      <c r="P109" s="896" t="e">
        <f>SUM(F109:H109)</f>
        <v>#DIV/0!</v>
      </c>
      <c r="Q109" s="896" t="e">
        <f>SUM(I109:K109)</f>
        <v>#DIV/0!</v>
      </c>
      <c r="R109" s="896" t="e">
        <f>SUM(L109:N109)</f>
        <v>#DIV/0!</v>
      </c>
      <c r="S109" s="1137" t="e">
        <f>SUM(O109:R109)</f>
        <v>#DIV/0!</v>
      </c>
      <c r="T109" s="1089"/>
      <c r="U109" s="1089"/>
      <c r="V109" s="1089"/>
      <c r="W109" s="1089"/>
      <c r="X109" s="1089"/>
      <c r="Y109" s="1089"/>
      <c r="Z109" s="1089"/>
      <c r="AA109" s="1089"/>
      <c r="AB109" s="1089"/>
      <c r="AC109" s="1089"/>
      <c r="AD109" s="1089"/>
      <c r="AE109" s="1089"/>
      <c r="AF109" s="865"/>
      <c r="AG109" s="865" t="e">
        <f t="shared" ref="AG109:AG123" si="34">ROUND(S109,2)=ROUND(SUM(O109:R109),2)</f>
        <v>#DIV/0!</v>
      </c>
    </row>
    <row r="110" spans="1:33" ht="12.75" customHeight="1" outlineLevel="1" x14ac:dyDescent="0.25">
      <c r="A110" s="870" t="s">
        <v>365</v>
      </c>
      <c r="B110" s="870" t="s">
        <v>365</v>
      </c>
      <c r="C110" s="882" t="e">
        <f t="shared" si="33"/>
        <v>#DIV/0!</v>
      </c>
      <c r="D110" s="882" t="e">
        <f t="shared" si="33"/>
        <v>#DIV/0!</v>
      </c>
      <c r="E110" s="882" t="e">
        <f t="shared" si="33"/>
        <v>#DIV/0!</v>
      </c>
      <c r="F110" s="882" t="e">
        <f t="shared" si="33"/>
        <v>#DIV/0!</v>
      </c>
      <c r="G110" s="882" t="e">
        <f t="shared" si="33"/>
        <v>#DIV/0!</v>
      </c>
      <c r="H110" s="882" t="e">
        <f t="shared" si="33"/>
        <v>#DIV/0!</v>
      </c>
      <c r="I110" s="882" t="e">
        <f t="shared" si="33"/>
        <v>#DIV/0!</v>
      </c>
      <c r="J110" s="882" t="e">
        <f t="shared" si="33"/>
        <v>#DIV/0!</v>
      </c>
      <c r="K110" s="882" t="e">
        <f t="shared" si="33"/>
        <v>#DIV/0!</v>
      </c>
      <c r="L110" s="882" t="e">
        <f t="shared" si="33"/>
        <v>#DIV/0!</v>
      </c>
      <c r="M110" s="882" t="e">
        <f t="shared" si="33"/>
        <v>#DIV/0!</v>
      </c>
      <c r="N110" s="882" t="e">
        <f t="shared" si="33"/>
        <v>#DIV/0!</v>
      </c>
      <c r="O110" s="896" t="e">
        <f t="shared" ref="O110:O122" si="35">SUM(C110:E110)</f>
        <v>#DIV/0!</v>
      </c>
      <c r="P110" s="896" t="e">
        <f t="shared" ref="P110:P122" si="36">SUM(F110:H110)</f>
        <v>#DIV/0!</v>
      </c>
      <c r="Q110" s="896" t="e">
        <f t="shared" ref="Q110:Q122" si="37">SUM(I110:K110)</f>
        <v>#DIV/0!</v>
      </c>
      <c r="R110" s="896" t="e">
        <f t="shared" ref="R110:R122" si="38">SUM(L110:N110)</f>
        <v>#DIV/0!</v>
      </c>
      <c r="S110" s="1137" t="e">
        <f t="shared" ref="S110:S122" si="39">SUM(O110:R110)</f>
        <v>#DIV/0!</v>
      </c>
      <c r="T110" s="1089"/>
      <c r="U110" s="1089"/>
      <c r="V110" s="1089"/>
      <c r="W110" s="1089"/>
      <c r="X110" s="1089"/>
      <c r="Y110" s="1089"/>
      <c r="Z110" s="1089"/>
      <c r="AA110" s="1089"/>
      <c r="AB110" s="1089"/>
      <c r="AC110" s="1089"/>
      <c r="AD110" s="1089"/>
      <c r="AE110" s="1089"/>
      <c r="AF110" s="865"/>
      <c r="AG110" s="865" t="e">
        <f t="shared" si="34"/>
        <v>#DIV/0!</v>
      </c>
    </row>
    <row r="111" spans="1:33" ht="12.75" customHeight="1" outlineLevel="1" x14ac:dyDescent="0.25">
      <c r="A111" s="870" t="s">
        <v>366</v>
      </c>
      <c r="B111" s="870" t="s">
        <v>366</v>
      </c>
      <c r="C111" s="882" t="e">
        <f>(C59-C93)*C44</f>
        <v>#DIV/0!</v>
      </c>
      <c r="D111" s="882" t="e">
        <f t="shared" si="33"/>
        <v>#DIV/0!</v>
      </c>
      <c r="E111" s="882" t="e">
        <f>(E59-E93)*E44</f>
        <v>#DIV/0!</v>
      </c>
      <c r="F111" s="882" t="e">
        <f t="shared" si="33"/>
        <v>#DIV/0!</v>
      </c>
      <c r="G111" s="882" t="e">
        <f t="shared" si="33"/>
        <v>#DIV/0!</v>
      </c>
      <c r="H111" s="882" t="e">
        <f t="shared" si="33"/>
        <v>#DIV/0!</v>
      </c>
      <c r="I111" s="882" t="e">
        <f t="shared" si="33"/>
        <v>#DIV/0!</v>
      </c>
      <c r="J111" s="882" t="e">
        <f t="shared" si="33"/>
        <v>#DIV/0!</v>
      </c>
      <c r="K111" s="882" t="e">
        <f t="shared" si="33"/>
        <v>#DIV/0!</v>
      </c>
      <c r="L111" s="882" t="e">
        <f t="shared" si="33"/>
        <v>#DIV/0!</v>
      </c>
      <c r="M111" s="882" t="e">
        <f t="shared" si="33"/>
        <v>#DIV/0!</v>
      </c>
      <c r="N111" s="882" t="e">
        <f>(N59-N93)*N44</f>
        <v>#DIV/0!</v>
      </c>
      <c r="O111" s="896" t="e">
        <f t="shared" si="35"/>
        <v>#DIV/0!</v>
      </c>
      <c r="P111" s="896" t="e">
        <f t="shared" si="36"/>
        <v>#DIV/0!</v>
      </c>
      <c r="Q111" s="896" t="e">
        <f t="shared" si="37"/>
        <v>#DIV/0!</v>
      </c>
      <c r="R111" s="896" t="e">
        <f t="shared" si="38"/>
        <v>#DIV/0!</v>
      </c>
      <c r="S111" s="1137" t="e">
        <f t="shared" si="39"/>
        <v>#DIV/0!</v>
      </c>
      <c r="T111" s="1089"/>
      <c r="U111" s="1089"/>
      <c r="V111" s="1089"/>
      <c r="W111" s="1089"/>
      <c r="X111" s="1089"/>
      <c r="Y111" s="1089"/>
      <c r="Z111" s="1089"/>
      <c r="AA111" s="1089"/>
      <c r="AB111" s="1089"/>
      <c r="AC111" s="1089"/>
      <c r="AD111" s="1089"/>
      <c r="AE111" s="1089"/>
      <c r="AF111" s="865"/>
      <c r="AG111" s="865" t="e">
        <f t="shared" si="34"/>
        <v>#DIV/0!</v>
      </c>
    </row>
    <row r="112" spans="1:33" ht="12.75" customHeight="1" outlineLevel="1" x14ac:dyDescent="0.25">
      <c r="A112" s="870" t="s">
        <v>368</v>
      </c>
      <c r="B112" s="870" t="s">
        <v>366</v>
      </c>
      <c r="C112" s="882" t="e">
        <f t="shared" ref="C112:N122" si="40">(C60-C94)*C45</f>
        <v>#DIV/0!</v>
      </c>
      <c r="D112" s="882" t="e">
        <f t="shared" si="40"/>
        <v>#DIV/0!</v>
      </c>
      <c r="E112" s="882" t="e">
        <f t="shared" si="40"/>
        <v>#DIV/0!</v>
      </c>
      <c r="F112" s="882" t="e">
        <f t="shared" si="40"/>
        <v>#DIV/0!</v>
      </c>
      <c r="G112" s="882" t="e">
        <f t="shared" si="40"/>
        <v>#DIV/0!</v>
      </c>
      <c r="H112" s="882" t="e">
        <f t="shared" si="40"/>
        <v>#DIV/0!</v>
      </c>
      <c r="I112" s="882" t="e">
        <f t="shared" si="40"/>
        <v>#DIV/0!</v>
      </c>
      <c r="J112" s="882" t="e">
        <f t="shared" si="40"/>
        <v>#DIV/0!</v>
      </c>
      <c r="K112" s="882" t="e">
        <f t="shared" si="40"/>
        <v>#DIV/0!</v>
      </c>
      <c r="L112" s="882" t="e">
        <f t="shared" si="40"/>
        <v>#DIV/0!</v>
      </c>
      <c r="M112" s="882" t="e">
        <f t="shared" si="40"/>
        <v>#DIV/0!</v>
      </c>
      <c r="N112" s="882" t="e">
        <f t="shared" si="40"/>
        <v>#DIV/0!</v>
      </c>
      <c r="O112" s="896" t="e">
        <f t="shared" si="35"/>
        <v>#DIV/0!</v>
      </c>
      <c r="P112" s="896" t="e">
        <f t="shared" si="36"/>
        <v>#DIV/0!</v>
      </c>
      <c r="Q112" s="896" t="e">
        <f t="shared" si="37"/>
        <v>#DIV/0!</v>
      </c>
      <c r="R112" s="896" t="e">
        <f t="shared" si="38"/>
        <v>#DIV/0!</v>
      </c>
      <c r="S112" s="1137" t="e">
        <f t="shared" si="39"/>
        <v>#DIV/0!</v>
      </c>
      <c r="T112" s="1089"/>
      <c r="U112" s="1089"/>
      <c r="V112" s="1089"/>
      <c r="W112" s="1089"/>
      <c r="X112" s="1089"/>
      <c r="Y112" s="1089"/>
      <c r="Z112" s="1089"/>
      <c r="AA112" s="1089"/>
      <c r="AB112" s="1089"/>
      <c r="AC112" s="1089"/>
      <c r="AD112" s="1089"/>
      <c r="AE112" s="1089"/>
      <c r="AF112" s="865"/>
      <c r="AG112" s="865" t="e">
        <f t="shared" si="34"/>
        <v>#DIV/0!</v>
      </c>
    </row>
    <row r="113" spans="1:35" ht="12.75" customHeight="1" outlineLevel="1" x14ac:dyDescent="0.25">
      <c r="A113" s="870" t="s">
        <v>369</v>
      </c>
      <c r="B113" s="870" t="s">
        <v>368</v>
      </c>
      <c r="C113" s="882" t="e">
        <f t="shared" si="40"/>
        <v>#DIV/0!</v>
      </c>
      <c r="D113" s="882" t="e">
        <f t="shared" si="40"/>
        <v>#DIV/0!</v>
      </c>
      <c r="E113" s="882" t="e">
        <f t="shared" si="40"/>
        <v>#DIV/0!</v>
      </c>
      <c r="F113" s="882" t="e">
        <f t="shared" si="40"/>
        <v>#DIV/0!</v>
      </c>
      <c r="G113" s="882" t="e">
        <f t="shared" si="40"/>
        <v>#DIV/0!</v>
      </c>
      <c r="H113" s="882" t="e">
        <f t="shared" si="40"/>
        <v>#DIV/0!</v>
      </c>
      <c r="I113" s="882" t="e">
        <f t="shared" si="40"/>
        <v>#DIV/0!</v>
      </c>
      <c r="J113" s="882" t="e">
        <f t="shared" si="40"/>
        <v>#DIV/0!</v>
      </c>
      <c r="K113" s="882" t="e">
        <f t="shared" si="40"/>
        <v>#DIV/0!</v>
      </c>
      <c r="L113" s="882" t="e">
        <f t="shared" si="40"/>
        <v>#DIV/0!</v>
      </c>
      <c r="M113" s="882" t="e">
        <f t="shared" si="40"/>
        <v>#DIV/0!</v>
      </c>
      <c r="N113" s="882" t="e">
        <f t="shared" si="40"/>
        <v>#DIV/0!</v>
      </c>
      <c r="O113" s="896" t="e">
        <f t="shared" si="35"/>
        <v>#DIV/0!</v>
      </c>
      <c r="P113" s="896" t="e">
        <f t="shared" si="36"/>
        <v>#DIV/0!</v>
      </c>
      <c r="Q113" s="896" t="e">
        <f t="shared" si="37"/>
        <v>#DIV/0!</v>
      </c>
      <c r="R113" s="896" t="e">
        <f t="shared" si="38"/>
        <v>#DIV/0!</v>
      </c>
      <c r="S113" s="1137" t="e">
        <f t="shared" si="39"/>
        <v>#DIV/0!</v>
      </c>
      <c r="T113" s="1089"/>
      <c r="U113" s="1089"/>
      <c r="V113" s="1089"/>
      <c r="W113" s="1089"/>
      <c r="X113" s="1089"/>
      <c r="Y113" s="1089"/>
      <c r="Z113" s="1089"/>
      <c r="AA113" s="1089"/>
      <c r="AB113" s="1089"/>
      <c r="AC113" s="1089"/>
      <c r="AD113" s="1089"/>
      <c r="AE113" s="1089"/>
      <c r="AF113" s="865"/>
      <c r="AG113" s="865" t="e">
        <f t="shared" si="34"/>
        <v>#DIV/0!</v>
      </c>
    </row>
    <row r="114" spans="1:35" ht="12.75" customHeight="1" outlineLevel="1" x14ac:dyDescent="0.25">
      <c r="A114" s="870" t="s">
        <v>370</v>
      </c>
      <c r="B114" s="870" t="s">
        <v>368</v>
      </c>
      <c r="C114" s="882" t="e">
        <f t="shared" si="40"/>
        <v>#DIV/0!</v>
      </c>
      <c r="D114" s="882" t="e">
        <f t="shared" si="40"/>
        <v>#DIV/0!</v>
      </c>
      <c r="E114" s="882" t="e">
        <f t="shared" si="40"/>
        <v>#DIV/0!</v>
      </c>
      <c r="F114" s="882" t="e">
        <f t="shared" si="40"/>
        <v>#DIV/0!</v>
      </c>
      <c r="G114" s="882" t="e">
        <f t="shared" si="40"/>
        <v>#DIV/0!</v>
      </c>
      <c r="H114" s="882" t="e">
        <f t="shared" si="40"/>
        <v>#DIV/0!</v>
      </c>
      <c r="I114" s="882" t="e">
        <f t="shared" si="40"/>
        <v>#DIV/0!</v>
      </c>
      <c r="J114" s="882" t="e">
        <f t="shared" si="40"/>
        <v>#DIV/0!</v>
      </c>
      <c r="K114" s="882" t="e">
        <f t="shared" si="40"/>
        <v>#DIV/0!</v>
      </c>
      <c r="L114" s="882" t="e">
        <f t="shared" si="40"/>
        <v>#DIV/0!</v>
      </c>
      <c r="M114" s="882" t="e">
        <f t="shared" si="40"/>
        <v>#DIV/0!</v>
      </c>
      <c r="N114" s="882" t="e">
        <f t="shared" si="40"/>
        <v>#DIV/0!</v>
      </c>
      <c r="O114" s="896" t="e">
        <f t="shared" si="35"/>
        <v>#DIV/0!</v>
      </c>
      <c r="P114" s="896" t="e">
        <f t="shared" si="36"/>
        <v>#DIV/0!</v>
      </c>
      <c r="Q114" s="896" t="e">
        <f t="shared" si="37"/>
        <v>#DIV/0!</v>
      </c>
      <c r="R114" s="896" t="e">
        <f t="shared" si="38"/>
        <v>#DIV/0!</v>
      </c>
      <c r="S114" s="1137" t="e">
        <f t="shared" si="39"/>
        <v>#DIV/0!</v>
      </c>
      <c r="T114" s="1089"/>
      <c r="U114" s="1089"/>
      <c r="V114" s="1089"/>
      <c r="W114" s="1089"/>
      <c r="X114" s="1089"/>
      <c r="Y114" s="1089"/>
      <c r="Z114" s="1089"/>
      <c r="AA114" s="1089"/>
      <c r="AB114" s="1089"/>
      <c r="AC114" s="1089"/>
      <c r="AD114" s="1089"/>
      <c r="AE114" s="1089"/>
      <c r="AF114" s="865"/>
      <c r="AG114" s="865" t="e">
        <f t="shared" si="34"/>
        <v>#DIV/0!</v>
      </c>
    </row>
    <row r="115" spans="1:35" ht="12.75" customHeight="1" outlineLevel="1" x14ac:dyDescent="0.25">
      <c r="A115" s="870" t="s">
        <v>371</v>
      </c>
      <c r="B115" s="870" t="s">
        <v>368</v>
      </c>
      <c r="C115" s="882" t="e">
        <f t="shared" si="40"/>
        <v>#DIV/0!</v>
      </c>
      <c r="D115" s="882" t="e">
        <f t="shared" si="40"/>
        <v>#DIV/0!</v>
      </c>
      <c r="E115" s="882" t="e">
        <f t="shared" si="40"/>
        <v>#DIV/0!</v>
      </c>
      <c r="F115" s="882" t="e">
        <f t="shared" si="40"/>
        <v>#DIV/0!</v>
      </c>
      <c r="G115" s="882" t="e">
        <f t="shared" si="40"/>
        <v>#DIV/0!</v>
      </c>
      <c r="H115" s="882" t="e">
        <f t="shared" si="40"/>
        <v>#DIV/0!</v>
      </c>
      <c r="I115" s="882" t="e">
        <f t="shared" si="40"/>
        <v>#DIV/0!</v>
      </c>
      <c r="J115" s="882" t="e">
        <f t="shared" si="40"/>
        <v>#DIV/0!</v>
      </c>
      <c r="K115" s="882" t="e">
        <f t="shared" si="40"/>
        <v>#DIV/0!</v>
      </c>
      <c r="L115" s="882" t="e">
        <f t="shared" si="40"/>
        <v>#DIV/0!</v>
      </c>
      <c r="M115" s="882" t="e">
        <f t="shared" si="40"/>
        <v>#DIV/0!</v>
      </c>
      <c r="N115" s="882" t="e">
        <f t="shared" si="40"/>
        <v>#DIV/0!</v>
      </c>
      <c r="O115" s="896" t="e">
        <f t="shared" si="35"/>
        <v>#DIV/0!</v>
      </c>
      <c r="P115" s="896" t="e">
        <f t="shared" si="36"/>
        <v>#DIV/0!</v>
      </c>
      <c r="Q115" s="896" t="e">
        <f t="shared" si="37"/>
        <v>#DIV/0!</v>
      </c>
      <c r="R115" s="896" t="e">
        <f t="shared" si="38"/>
        <v>#DIV/0!</v>
      </c>
      <c r="S115" s="1137" t="e">
        <f t="shared" si="39"/>
        <v>#DIV/0!</v>
      </c>
      <c r="T115" s="1089"/>
      <c r="U115" s="1089"/>
      <c r="V115" s="1089"/>
      <c r="W115" s="1089"/>
      <c r="X115" s="1089"/>
      <c r="Y115" s="1089"/>
      <c r="Z115" s="1089"/>
      <c r="AA115" s="1089"/>
      <c r="AB115" s="1089"/>
      <c r="AC115" s="1089"/>
      <c r="AD115" s="1089"/>
      <c r="AE115" s="1089"/>
      <c r="AF115" s="865"/>
      <c r="AG115" s="865" t="e">
        <f t="shared" si="34"/>
        <v>#DIV/0!</v>
      </c>
    </row>
    <row r="116" spans="1:35" ht="12.75" customHeight="1" outlineLevel="1" x14ac:dyDescent="0.25">
      <c r="A116" s="870" t="s">
        <v>372</v>
      </c>
      <c r="B116" s="870" t="s">
        <v>368</v>
      </c>
      <c r="C116" s="882" t="e">
        <f t="shared" si="40"/>
        <v>#DIV/0!</v>
      </c>
      <c r="D116" s="882" t="e">
        <f t="shared" si="40"/>
        <v>#DIV/0!</v>
      </c>
      <c r="E116" s="882" t="e">
        <f t="shared" si="40"/>
        <v>#DIV/0!</v>
      </c>
      <c r="F116" s="882" t="e">
        <f t="shared" si="40"/>
        <v>#DIV/0!</v>
      </c>
      <c r="G116" s="882" t="e">
        <f t="shared" si="40"/>
        <v>#DIV/0!</v>
      </c>
      <c r="H116" s="882" t="e">
        <f t="shared" si="40"/>
        <v>#DIV/0!</v>
      </c>
      <c r="I116" s="882" t="e">
        <f t="shared" si="40"/>
        <v>#DIV/0!</v>
      </c>
      <c r="J116" s="882" t="e">
        <f t="shared" si="40"/>
        <v>#DIV/0!</v>
      </c>
      <c r="K116" s="882" t="e">
        <f t="shared" si="40"/>
        <v>#DIV/0!</v>
      </c>
      <c r="L116" s="882" t="e">
        <f t="shared" si="40"/>
        <v>#DIV/0!</v>
      </c>
      <c r="M116" s="882" t="e">
        <f t="shared" si="40"/>
        <v>#DIV/0!</v>
      </c>
      <c r="N116" s="882" t="e">
        <f t="shared" si="40"/>
        <v>#DIV/0!</v>
      </c>
      <c r="O116" s="896" t="e">
        <f t="shared" si="35"/>
        <v>#DIV/0!</v>
      </c>
      <c r="P116" s="896" t="e">
        <f t="shared" si="36"/>
        <v>#DIV/0!</v>
      </c>
      <c r="Q116" s="896" t="e">
        <f t="shared" si="37"/>
        <v>#DIV/0!</v>
      </c>
      <c r="R116" s="896" t="e">
        <f t="shared" si="38"/>
        <v>#DIV/0!</v>
      </c>
      <c r="S116" s="1137" t="e">
        <f t="shared" si="39"/>
        <v>#DIV/0!</v>
      </c>
      <c r="T116" s="1089"/>
      <c r="U116" s="1089"/>
      <c r="V116" s="1089"/>
      <c r="W116" s="1089"/>
      <c r="X116" s="1089"/>
      <c r="Y116" s="1089"/>
      <c r="Z116" s="1089"/>
      <c r="AA116" s="1089"/>
      <c r="AB116" s="1089"/>
      <c r="AC116" s="1089"/>
      <c r="AD116" s="1089"/>
      <c r="AE116" s="1089"/>
      <c r="AF116" s="865"/>
      <c r="AG116" s="865" t="e">
        <f t="shared" si="34"/>
        <v>#DIV/0!</v>
      </c>
    </row>
    <row r="117" spans="1:35" ht="12.75" customHeight="1" outlineLevel="1" x14ac:dyDescent="0.25">
      <c r="A117" s="870" t="s">
        <v>373</v>
      </c>
      <c r="B117" s="870" t="s">
        <v>366</v>
      </c>
      <c r="C117" s="882" t="e">
        <f t="shared" si="40"/>
        <v>#DIV/0!</v>
      </c>
      <c r="D117" s="882" t="e">
        <f t="shared" si="40"/>
        <v>#DIV/0!</v>
      </c>
      <c r="E117" s="882" t="e">
        <f t="shared" si="40"/>
        <v>#DIV/0!</v>
      </c>
      <c r="F117" s="882" t="e">
        <f t="shared" si="40"/>
        <v>#DIV/0!</v>
      </c>
      <c r="G117" s="882" t="e">
        <f t="shared" si="40"/>
        <v>#DIV/0!</v>
      </c>
      <c r="H117" s="882" t="e">
        <f t="shared" si="40"/>
        <v>#DIV/0!</v>
      </c>
      <c r="I117" s="882" t="e">
        <f t="shared" si="40"/>
        <v>#DIV/0!</v>
      </c>
      <c r="J117" s="882" t="e">
        <f t="shared" si="40"/>
        <v>#DIV/0!</v>
      </c>
      <c r="K117" s="882" t="e">
        <f t="shared" si="40"/>
        <v>#DIV/0!</v>
      </c>
      <c r="L117" s="882" t="e">
        <f t="shared" si="40"/>
        <v>#DIV/0!</v>
      </c>
      <c r="M117" s="882" t="e">
        <f t="shared" si="40"/>
        <v>#DIV/0!</v>
      </c>
      <c r="N117" s="882" t="e">
        <f t="shared" si="40"/>
        <v>#DIV/0!</v>
      </c>
      <c r="O117" s="896" t="e">
        <f t="shared" si="35"/>
        <v>#DIV/0!</v>
      </c>
      <c r="P117" s="896" t="e">
        <f t="shared" si="36"/>
        <v>#DIV/0!</v>
      </c>
      <c r="Q117" s="896" t="e">
        <f t="shared" si="37"/>
        <v>#DIV/0!</v>
      </c>
      <c r="R117" s="896" t="e">
        <f t="shared" si="38"/>
        <v>#DIV/0!</v>
      </c>
      <c r="S117" s="1137" t="e">
        <f t="shared" si="39"/>
        <v>#DIV/0!</v>
      </c>
      <c r="T117" s="1089"/>
      <c r="U117" s="1089"/>
      <c r="V117" s="1089"/>
      <c r="W117" s="1089"/>
      <c r="X117" s="1089"/>
      <c r="Y117" s="1089"/>
      <c r="Z117" s="1089"/>
      <c r="AA117" s="1089"/>
      <c r="AB117" s="1089"/>
      <c r="AC117" s="1089"/>
      <c r="AD117" s="1089"/>
      <c r="AE117" s="1089"/>
      <c r="AF117" s="865"/>
      <c r="AG117" s="865" t="e">
        <f t="shared" si="34"/>
        <v>#DIV/0!</v>
      </c>
    </row>
    <row r="118" spans="1:35" ht="12.75" customHeight="1" outlineLevel="1" x14ac:dyDescent="0.25">
      <c r="A118" s="870" t="s">
        <v>374</v>
      </c>
      <c r="B118" s="870" t="s">
        <v>368</v>
      </c>
      <c r="C118" s="882" t="e">
        <f t="shared" si="40"/>
        <v>#DIV/0!</v>
      </c>
      <c r="D118" s="882" t="e">
        <f t="shared" si="40"/>
        <v>#DIV/0!</v>
      </c>
      <c r="E118" s="882" t="e">
        <f t="shared" si="40"/>
        <v>#DIV/0!</v>
      </c>
      <c r="F118" s="882" t="e">
        <f t="shared" si="40"/>
        <v>#DIV/0!</v>
      </c>
      <c r="G118" s="882" t="e">
        <f t="shared" si="40"/>
        <v>#DIV/0!</v>
      </c>
      <c r="H118" s="882" t="e">
        <f t="shared" si="40"/>
        <v>#DIV/0!</v>
      </c>
      <c r="I118" s="882" t="e">
        <f t="shared" si="40"/>
        <v>#DIV/0!</v>
      </c>
      <c r="J118" s="882" t="e">
        <f t="shared" si="40"/>
        <v>#DIV/0!</v>
      </c>
      <c r="K118" s="882" t="e">
        <f t="shared" si="40"/>
        <v>#DIV/0!</v>
      </c>
      <c r="L118" s="882" t="e">
        <f t="shared" si="40"/>
        <v>#DIV/0!</v>
      </c>
      <c r="M118" s="882" t="e">
        <f t="shared" si="40"/>
        <v>#DIV/0!</v>
      </c>
      <c r="N118" s="882" t="e">
        <f t="shared" si="40"/>
        <v>#DIV/0!</v>
      </c>
      <c r="O118" s="896" t="e">
        <f t="shared" si="35"/>
        <v>#DIV/0!</v>
      </c>
      <c r="P118" s="896" t="e">
        <f t="shared" si="36"/>
        <v>#DIV/0!</v>
      </c>
      <c r="Q118" s="896" t="e">
        <f t="shared" si="37"/>
        <v>#DIV/0!</v>
      </c>
      <c r="R118" s="896" t="e">
        <f t="shared" si="38"/>
        <v>#DIV/0!</v>
      </c>
      <c r="S118" s="1137" t="e">
        <f t="shared" si="39"/>
        <v>#DIV/0!</v>
      </c>
      <c r="T118" s="1089"/>
      <c r="U118" s="1089"/>
      <c r="V118" s="1089"/>
      <c r="W118" s="1089"/>
      <c r="X118" s="1089"/>
      <c r="Y118" s="1089"/>
      <c r="Z118" s="1089"/>
      <c r="AA118" s="1089"/>
      <c r="AB118" s="1089"/>
      <c r="AC118" s="1089"/>
      <c r="AD118" s="1089"/>
      <c r="AE118" s="1089"/>
      <c r="AF118" s="865"/>
      <c r="AG118" s="865" t="e">
        <f t="shared" si="34"/>
        <v>#DIV/0!</v>
      </c>
    </row>
    <row r="119" spans="1:35" ht="12.75" customHeight="1" outlineLevel="1" x14ac:dyDescent="0.25">
      <c r="A119" s="870" t="s">
        <v>375</v>
      </c>
      <c r="B119" s="870" t="s">
        <v>366</v>
      </c>
      <c r="C119" s="882" t="e">
        <f t="shared" si="40"/>
        <v>#DIV/0!</v>
      </c>
      <c r="D119" s="882" t="e">
        <f t="shared" si="40"/>
        <v>#DIV/0!</v>
      </c>
      <c r="E119" s="882" t="e">
        <f t="shared" si="40"/>
        <v>#DIV/0!</v>
      </c>
      <c r="F119" s="882" t="e">
        <f t="shared" si="40"/>
        <v>#DIV/0!</v>
      </c>
      <c r="G119" s="882" t="e">
        <f t="shared" si="40"/>
        <v>#DIV/0!</v>
      </c>
      <c r="H119" s="882" t="e">
        <f t="shared" si="40"/>
        <v>#DIV/0!</v>
      </c>
      <c r="I119" s="882" t="e">
        <f t="shared" si="40"/>
        <v>#DIV/0!</v>
      </c>
      <c r="J119" s="882" t="e">
        <f t="shared" si="40"/>
        <v>#DIV/0!</v>
      </c>
      <c r="K119" s="882" t="e">
        <f t="shared" si="40"/>
        <v>#DIV/0!</v>
      </c>
      <c r="L119" s="882" t="e">
        <f t="shared" si="40"/>
        <v>#DIV/0!</v>
      </c>
      <c r="M119" s="882" t="e">
        <f t="shared" si="40"/>
        <v>#DIV/0!</v>
      </c>
      <c r="N119" s="882" t="e">
        <f t="shared" si="40"/>
        <v>#DIV/0!</v>
      </c>
      <c r="O119" s="896" t="e">
        <f t="shared" si="35"/>
        <v>#DIV/0!</v>
      </c>
      <c r="P119" s="896" t="e">
        <f t="shared" si="36"/>
        <v>#DIV/0!</v>
      </c>
      <c r="Q119" s="896" t="e">
        <f t="shared" si="37"/>
        <v>#DIV/0!</v>
      </c>
      <c r="R119" s="896" t="e">
        <f t="shared" si="38"/>
        <v>#DIV/0!</v>
      </c>
      <c r="S119" s="1137" t="e">
        <f t="shared" si="39"/>
        <v>#DIV/0!</v>
      </c>
      <c r="T119" s="1089"/>
      <c r="U119" s="1089"/>
      <c r="V119" s="1089"/>
      <c r="W119" s="1089"/>
      <c r="X119" s="1089"/>
      <c r="Y119" s="1089"/>
      <c r="Z119" s="1089"/>
      <c r="AA119" s="1089"/>
      <c r="AB119" s="1089"/>
      <c r="AC119" s="1089"/>
      <c r="AD119" s="1089"/>
      <c r="AE119" s="1089"/>
      <c r="AF119" s="865"/>
      <c r="AG119" s="865" t="e">
        <f t="shared" si="34"/>
        <v>#DIV/0!</v>
      </c>
    </row>
    <row r="120" spans="1:35" ht="12.75" customHeight="1" outlineLevel="1" x14ac:dyDescent="0.25">
      <c r="A120" s="870" t="s">
        <v>376</v>
      </c>
      <c r="B120" s="870" t="s">
        <v>368</v>
      </c>
      <c r="C120" s="882" t="e">
        <f t="shared" si="40"/>
        <v>#DIV/0!</v>
      </c>
      <c r="D120" s="882" t="e">
        <f t="shared" si="40"/>
        <v>#DIV/0!</v>
      </c>
      <c r="E120" s="882" t="e">
        <f t="shared" si="40"/>
        <v>#DIV/0!</v>
      </c>
      <c r="F120" s="882" t="e">
        <f t="shared" si="40"/>
        <v>#DIV/0!</v>
      </c>
      <c r="G120" s="882" t="e">
        <f t="shared" si="40"/>
        <v>#DIV/0!</v>
      </c>
      <c r="H120" s="882" t="e">
        <f t="shared" si="40"/>
        <v>#DIV/0!</v>
      </c>
      <c r="I120" s="882" t="e">
        <f t="shared" si="40"/>
        <v>#DIV/0!</v>
      </c>
      <c r="J120" s="882" t="e">
        <f t="shared" si="40"/>
        <v>#DIV/0!</v>
      </c>
      <c r="K120" s="882" t="e">
        <f t="shared" si="40"/>
        <v>#DIV/0!</v>
      </c>
      <c r="L120" s="882" t="e">
        <f t="shared" si="40"/>
        <v>#DIV/0!</v>
      </c>
      <c r="M120" s="882" t="e">
        <f t="shared" si="40"/>
        <v>#DIV/0!</v>
      </c>
      <c r="N120" s="882" t="e">
        <f t="shared" si="40"/>
        <v>#DIV/0!</v>
      </c>
      <c r="O120" s="896" t="e">
        <f t="shared" si="35"/>
        <v>#DIV/0!</v>
      </c>
      <c r="P120" s="896" t="e">
        <f t="shared" si="36"/>
        <v>#DIV/0!</v>
      </c>
      <c r="Q120" s="896" t="e">
        <f t="shared" si="37"/>
        <v>#DIV/0!</v>
      </c>
      <c r="R120" s="896" t="e">
        <f t="shared" si="38"/>
        <v>#DIV/0!</v>
      </c>
      <c r="S120" s="1137" t="e">
        <f t="shared" si="39"/>
        <v>#DIV/0!</v>
      </c>
      <c r="T120" s="1089"/>
      <c r="U120" s="1089"/>
      <c r="V120" s="1089"/>
      <c r="W120" s="1089"/>
      <c r="X120" s="1089"/>
      <c r="Y120" s="1089"/>
      <c r="Z120" s="1089"/>
      <c r="AA120" s="1089"/>
      <c r="AB120" s="1089"/>
      <c r="AC120" s="1089"/>
      <c r="AD120" s="1089"/>
      <c r="AE120" s="1089"/>
      <c r="AF120" s="865"/>
      <c r="AG120" s="865" t="e">
        <f t="shared" si="34"/>
        <v>#DIV/0!</v>
      </c>
    </row>
    <row r="121" spans="1:35" ht="12.75" customHeight="1" outlineLevel="1" x14ac:dyDescent="0.25">
      <c r="A121" s="870" t="s">
        <v>377</v>
      </c>
      <c r="B121" s="870" t="s">
        <v>365</v>
      </c>
      <c r="C121" s="882" t="e">
        <f t="shared" si="40"/>
        <v>#DIV/0!</v>
      </c>
      <c r="D121" s="882" t="e">
        <f t="shared" si="40"/>
        <v>#DIV/0!</v>
      </c>
      <c r="E121" s="882" t="e">
        <f t="shared" si="40"/>
        <v>#DIV/0!</v>
      </c>
      <c r="F121" s="882" t="e">
        <f t="shared" si="40"/>
        <v>#DIV/0!</v>
      </c>
      <c r="G121" s="882" t="e">
        <f t="shared" si="40"/>
        <v>#DIV/0!</v>
      </c>
      <c r="H121" s="882" t="e">
        <f t="shared" si="40"/>
        <v>#DIV/0!</v>
      </c>
      <c r="I121" s="882" t="e">
        <f t="shared" si="40"/>
        <v>#DIV/0!</v>
      </c>
      <c r="J121" s="882" t="e">
        <f t="shared" si="40"/>
        <v>#DIV/0!</v>
      </c>
      <c r="K121" s="882" t="e">
        <f t="shared" si="40"/>
        <v>#DIV/0!</v>
      </c>
      <c r="L121" s="882" t="e">
        <f t="shared" si="40"/>
        <v>#DIV/0!</v>
      </c>
      <c r="M121" s="882" t="e">
        <f t="shared" si="40"/>
        <v>#DIV/0!</v>
      </c>
      <c r="N121" s="882" t="e">
        <f t="shared" si="40"/>
        <v>#DIV/0!</v>
      </c>
      <c r="O121" s="896" t="e">
        <f t="shared" si="35"/>
        <v>#DIV/0!</v>
      </c>
      <c r="P121" s="896" t="e">
        <f t="shared" si="36"/>
        <v>#DIV/0!</v>
      </c>
      <c r="Q121" s="896" t="e">
        <f t="shared" si="37"/>
        <v>#DIV/0!</v>
      </c>
      <c r="R121" s="896" t="e">
        <f t="shared" si="38"/>
        <v>#DIV/0!</v>
      </c>
      <c r="S121" s="1137" t="e">
        <f t="shared" si="39"/>
        <v>#DIV/0!</v>
      </c>
      <c r="T121" s="1089"/>
      <c r="U121" s="1089"/>
      <c r="V121" s="1089"/>
      <c r="W121" s="1089"/>
      <c r="X121" s="1089"/>
      <c r="Y121" s="1089"/>
      <c r="Z121" s="1089"/>
      <c r="AA121" s="1089"/>
      <c r="AB121" s="1089"/>
      <c r="AC121" s="1089"/>
      <c r="AD121" s="1089"/>
      <c r="AE121" s="1089"/>
      <c r="AF121" s="865"/>
      <c r="AG121" s="865" t="e">
        <f t="shared" si="34"/>
        <v>#DIV/0!</v>
      </c>
    </row>
    <row r="122" spans="1:35" s="914" customFormat="1" ht="12.75" customHeight="1" outlineLevel="1" x14ac:dyDescent="0.25">
      <c r="A122" s="870" t="s">
        <v>367</v>
      </c>
      <c r="B122" s="913"/>
      <c r="C122" s="882">
        <f>(C70-C104)*C55</f>
        <v>0</v>
      </c>
      <c r="D122" s="882">
        <f t="shared" si="40"/>
        <v>0</v>
      </c>
      <c r="E122" s="882">
        <f t="shared" si="40"/>
        <v>0</v>
      </c>
      <c r="F122" s="882">
        <f t="shared" si="40"/>
        <v>0</v>
      </c>
      <c r="G122" s="882">
        <f t="shared" si="40"/>
        <v>0</v>
      </c>
      <c r="H122" s="882">
        <f t="shared" si="40"/>
        <v>0</v>
      </c>
      <c r="I122" s="882">
        <f t="shared" si="40"/>
        <v>0</v>
      </c>
      <c r="J122" s="882">
        <f t="shared" si="40"/>
        <v>0</v>
      </c>
      <c r="K122" s="882">
        <f t="shared" si="40"/>
        <v>0</v>
      </c>
      <c r="L122" s="882">
        <f t="shared" si="40"/>
        <v>0</v>
      </c>
      <c r="M122" s="882">
        <f t="shared" si="40"/>
        <v>0</v>
      </c>
      <c r="N122" s="882">
        <f t="shared" si="40"/>
        <v>0</v>
      </c>
      <c r="O122" s="896">
        <f t="shared" si="35"/>
        <v>0</v>
      </c>
      <c r="P122" s="896">
        <f t="shared" si="36"/>
        <v>0</v>
      </c>
      <c r="Q122" s="896">
        <f t="shared" si="37"/>
        <v>0</v>
      </c>
      <c r="R122" s="896">
        <f t="shared" si="38"/>
        <v>0</v>
      </c>
      <c r="S122" s="1137">
        <f t="shared" si="39"/>
        <v>0</v>
      </c>
      <c r="T122" s="1089"/>
      <c r="U122" s="1089"/>
      <c r="V122" s="1089"/>
      <c r="W122" s="1089"/>
      <c r="X122" s="1089"/>
      <c r="Y122" s="1089"/>
      <c r="Z122" s="1089"/>
      <c r="AA122" s="1089"/>
      <c r="AB122" s="1089"/>
      <c r="AC122" s="1089"/>
      <c r="AD122" s="1089"/>
      <c r="AE122" s="1089"/>
      <c r="AF122" s="865"/>
      <c r="AG122" s="865" t="b">
        <f t="shared" si="34"/>
        <v>1</v>
      </c>
      <c r="AH122" s="850"/>
    </row>
    <row r="123" spans="1:35" x14ac:dyDescent="0.25">
      <c r="A123" s="884" t="s">
        <v>77</v>
      </c>
      <c r="B123" s="885" t="s">
        <v>211</v>
      </c>
      <c r="C123" s="887" t="e">
        <f>SUM(C109:C122)</f>
        <v>#DIV/0!</v>
      </c>
      <c r="D123" s="887" t="e">
        <f t="shared" ref="D123:S123" si="41">SUM(D109:D122)</f>
        <v>#DIV/0!</v>
      </c>
      <c r="E123" s="887" t="e">
        <f t="shared" si="41"/>
        <v>#DIV/0!</v>
      </c>
      <c r="F123" s="887" t="e">
        <f t="shared" si="41"/>
        <v>#DIV/0!</v>
      </c>
      <c r="G123" s="887" t="e">
        <f t="shared" si="41"/>
        <v>#DIV/0!</v>
      </c>
      <c r="H123" s="887" t="e">
        <f t="shared" si="41"/>
        <v>#DIV/0!</v>
      </c>
      <c r="I123" s="887" t="e">
        <f t="shared" si="41"/>
        <v>#DIV/0!</v>
      </c>
      <c r="J123" s="887" t="e">
        <f t="shared" si="41"/>
        <v>#DIV/0!</v>
      </c>
      <c r="K123" s="887" t="e">
        <f t="shared" si="41"/>
        <v>#DIV/0!</v>
      </c>
      <c r="L123" s="887" t="e">
        <f t="shared" si="41"/>
        <v>#DIV/0!</v>
      </c>
      <c r="M123" s="887" t="e">
        <f t="shared" si="41"/>
        <v>#DIV/0!</v>
      </c>
      <c r="N123" s="887" t="e">
        <f t="shared" si="41"/>
        <v>#DIV/0!</v>
      </c>
      <c r="O123" s="887" t="e">
        <f t="shared" si="41"/>
        <v>#DIV/0!</v>
      </c>
      <c r="P123" s="887" t="e">
        <f t="shared" si="41"/>
        <v>#DIV/0!</v>
      </c>
      <c r="Q123" s="887" t="e">
        <f t="shared" si="41"/>
        <v>#DIV/0!</v>
      </c>
      <c r="R123" s="887" t="e">
        <f t="shared" si="41"/>
        <v>#DIV/0!</v>
      </c>
      <c r="S123" s="1138" t="e">
        <f t="shared" si="41"/>
        <v>#DIV/0!</v>
      </c>
      <c r="T123" s="1091"/>
      <c r="U123" s="1091"/>
      <c r="V123" s="1091"/>
      <c r="W123" s="1091"/>
      <c r="X123" s="1091"/>
      <c r="Y123" s="1091"/>
      <c r="Z123" s="1091"/>
      <c r="AA123" s="1091"/>
      <c r="AB123" s="1091"/>
      <c r="AC123" s="1091"/>
      <c r="AD123" s="1091"/>
      <c r="AE123" s="1091"/>
      <c r="AF123" s="865"/>
      <c r="AG123" s="865" t="e">
        <f t="shared" si="34"/>
        <v>#DIV/0!</v>
      </c>
      <c r="AI123" s="920"/>
    </row>
    <row r="124" spans="1:35" ht="12.75" customHeight="1" outlineLevel="1" x14ac:dyDescent="0.25">
      <c r="H124" s="921"/>
      <c r="Q124" s="921"/>
      <c r="R124" s="922"/>
      <c r="S124" s="922"/>
      <c r="T124" s="914"/>
      <c r="U124" s="914"/>
      <c r="V124" s="914"/>
      <c r="W124" s="914"/>
      <c r="X124" s="914"/>
      <c r="Y124" s="914"/>
      <c r="Z124" s="914"/>
      <c r="AA124" s="914"/>
      <c r="AB124" s="914"/>
      <c r="AC124" s="914"/>
      <c r="AD124" s="914"/>
      <c r="AE124" s="914"/>
      <c r="AF124" s="914"/>
    </row>
    <row r="125" spans="1:35" ht="12.75" customHeight="1" outlineLevel="1" x14ac:dyDescent="0.25">
      <c r="A125" s="1457" t="s">
        <v>212</v>
      </c>
      <c r="B125" s="1458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9">
        <f t="shared" ref="S125" si="42">S11</f>
        <v>2022</v>
      </c>
      <c r="T125" s="1084"/>
      <c r="U125" s="1084"/>
      <c r="V125" s="1084"/>
      <c r="W125" s="1084"/>
      <c r="X125" s="1122"/>
      <c r="Y125" s="1084"/>
      <c r="Z125" s="1084"/>
      <c r="AA125" s="1084"/>
      <c r="AB125" s="1084"/>
      <c r="AC125" s="1122"/>
      <c r="AD125" s="1121"/>
      <c r="AE125" s="1121"/>
      <c r="AF125" s="914"/>
    </row>
    <row r="126" spans="1:35" s="860" customFormat="1" ht="12.75" customHeight="1" outlineLevel="1" x14ac:dyDescent="0.25">
      <c r="A126" s="1457"/>
      <c r="B126" s="1458"/>
      <c r="C126" s="859" t="str">
        <f t="shared" ref="C126:R126" si="43">C12</f>
        <v>факт</v>
      </c>
      <c r="D126" s="859" t="str">
        <f t="shared" si="43"/>
        <v>факт</v>
      </c>
      <c r="E126" s="859" t="str">
        <f t="shared" si="43"/>
        <v>факт</v>
      </c>
      <c r="F126" s="859" t="str">
        <f t="shared" si="43"/>
        <v>факт</v>
      </c>
      <c r="G126" s="859" t="str">
        <f t="shared" si="43"/>
        <v>факт</v>
      </c>
      <c r="H126" s="859" t="str">
        <f t="shared" si="43"/>
        <v>факт</v>
      </c>
      <c r="I126" s="859" t="str">
        <f t="shared" si="43"/>
        <v>факт</v>
      </c>
      <c r="J126" s="859" t="str">
        <f t="shared" si="43"/>
        <v>факт</v>
      </c>
      <c r="K126" s="859" t="str">
        <f t="shared" si="43"/>
        <v>факт</v>
      </c>
      <c r="L126" s="859" t="str">
        <f t="shared" si="43"/>
        <v>факт</v>
      </c>
      <c r="M126" s="859" t="str">
        <f t="shared" si="43"/>
        <v>факт</v>
      </c>
      <c r="N126" s="859" t="str">
        <f t="shared" si="43"/>
        <v>факт</v>
      </c>
      <c r="O126" s="859" t="str">
        <f t="shared" si="43"/>
        <v>план</v>
      </c>
      <c r="P126" s="859" t="str">
        <f t="shared" si="43"/>
        <v>план</v>
      </c>
      <c r="Q126" s="859" t="str">
        <f t="shared" si="43"/>
        <v>план</v>
      </c>
      <c r="R126" s="859" t="str">
        <f t="shared" si="43"/>
        <v>план</v>
      </c>
      <c r="S126" s="1459"/>
      <c r="T126" s="1084"/>
      <c r="U126" s="1084"/>
      <c r="V126" s="1084"/>
      <c r="W126" s="1084"/>
      <c r="X126" s="1122"/>
      <c r="Y126" s="1084"/>
      <c r="Z126" s="1084"/>
      <c r="AA126" s="1084"/>
      <c r="AB126" s="1084"/>
      <c r="AC126" s="1122"/>
      <c r="AD126" s="1121"/>
      <c r="AE126" s="1121"/>
      <c r="AF126" s="899"/>
    </row>
    <row r="127" spans="1:35" ht="12.75" customHeight="1" outlineLevel="1" x14ac:dyDescent="0.25">
      <c r="A127" s="870" t="s">
        <v>364</v>
      </c>
      <c r="B127" s="870" t="s">
        <v>364</v>
      </c>
      <c r="C127" s="882" t="e">
        <f t="shared" ref="C127:N140" si="44">(C57-C91)*C$25-C109</f>
        <v>#DIV/0!</v>
      </c>
      <c r="D127" s="882" t="e">
        <f t="shared" si="44"/>
        <v>#DIV/0!</v>
      </c>
      <c r="E127" s="882" t="e">
        <f t="shared" si="44"/>
        <v>#DIV/0!</v>
      </c>
      <c r="F127" s="882" t="e">
        <f t="shared" si="44"/>
        <v>#DIV/0!</v>
      </c>
      <c r="G127" s="882" t="e">
        <f t="shared" si="44"/>
        <v>#DIV/0!</v>
      </c>
      <c r="H127" s="882" t="e">
        <f t="shared" si="44"/>
        <v>#DIV/0!</v>
      </c>
      <c r="I127" s="882" t="e">
        <f t="shared" si="44"/>
        <v>#DIV/0!</v>
      </c>
      <c r="J127" s="882" t="e">
        <f t="shared" si="44"/>
        <v>#DIV/0!</v>
      </c>
      <c r="K127" s="882" t="e">
        <f t="shared" si="44"/>
        <v>#DIV/0!</v>
      </c>
      <c r="L127" s="882" t="e">
        <f t="shared" si="44"/>
        <v>#DIV/0!</v>
      </c>
      <c r="M127" s="882" t="e">
        <f t="shared" si="44"/>
        <v>#DIV/0!</v>
      </c>
      <c r="N127" s="882" t="e">
        <f t="shared" si="44"/>
        <v>#DIV/0!</v>
      </c>
      <c r="O127" s="896" t="e">
        <f>SUM(C127:E127)</f>
        <v>#DIV/0!</v>
      </c>
      <c r="P127" s="896" t="e">
        <f>SUM(F127:H127)</f>
        <v>#DIV/0!</v>
      </c>
      <c r="Q127" s="896" t="e">
        <f>SUM(I127:K127)</f>
        <v>#DIV/0!</v>
      </c>
      <c r="R127" s="896" t="e">
        <f>SUM(L127:N127)</f>
        <v>#DIV/0!</v>
      </c>
      <c r="S127" s="1137" t="e">
        <f>SUM(O127:R127)</f>
        <v>#DIV/0!</v>
      </c>
      <c r="T127" s="1089"/>
      <c r="U127" s="1089"/>
      <c r="V127" s="1089"/>
      <c r="W127" s="1089"/>
      <c r="X127" s="1089"/>
      <c r="Y127" s="1089"/>
      <c r="Z127" s="1089"/>
      <c r="AA127" s="1089"/>
      <c r="AB127" s="1089"/>
      <c r="AC127" s="1089"/>
      <c r="AD127" s="1089"/>
      <c r="AE127" s="1089"/>
      <c r="AF127" s="865"/>
      <c r="AG127" s="865" t="e">
        <f t="shared" ref="AG127:AG141" si="45">ROUND(S127,2)=ROUND(SUM(O127:R127),2)</f>
        <v>#DIV/0!</v>
      </c>
    </row>
    <row r="128" spans="1:35" ht="12.75" customHeight="1" outlineLevel="1" x14ac:dyDescent="0.25">
      <c r="A128" s="870" t="s">
        <v>365</v>
      </c>
      <c r="B128" s="870" t="s">
        <v>365</v>
      </c>
      <c r="C128" s="882" t="e">
        <f t="shared" si="44"/>
        <v>#DIV/0!</v>
      </c>
      <c r="D128" s="882" t="e">
        <f t="shared" si="44"/>
        <v>#DIV/0!</v>
      </c>
      <c r="E128" s="882" t="e">
        <f t="shared" si="44"/>
        <v>#DIV/0!</v>
      </c>
      <c r="F128" s="882" t="e">
        <f t="shared" si="44"/>
        <v>#DIV/0!</v>
      </c>
      <c r="G128" s="882" t="e">
        <f t="shared" si="44"/>
        <v>#DIV/0!</v>
      </c>
      <c r="H128" s="882" t="e">
        <f t="shared" si="44"/>
        <v>#DIV/0!</v>
      </c>
      <c r="I128" s="882" t="e">
        <f t="shared" si="44"/>
        <v>#DIV/0!</v>
      </c>
      <c r="J128" s="882" t="e">
        <f t="shared" si="44"/>
        <v>#DIV/0!</v>
      </c>
      <c r="K128" s="882" t="e">
        <f t="shared" si="44"/>
        <v>#DIV/0!</v>
      </c>
      <c r="L128" s="882" t="e">
        <f t="shared" si="44"/>
        <v>#DIV/0!</v>
      </c>
      <c r="M128" s="882" t="e">
        <f t="shared" si="44"/>
        <v>#DIV/0!</v>
      </c>
      <c r="N128" s="882" t="e">
        <f t="shared" si="44"/>
        <v>#DIV/0!</v>
      </c>
      <c r="O128" s="896" t="e">
        <f t="shared" ref="O128:O140" si="46">SUM(C128:E128)</f>
        <v>#DIV/0!</v>
      </c>
      <c r="P128" s="896" t="e">
        <f t="shared" ref="P128:P140" si="47">SUM(F128:H128)</f>
        <v>#DIV/0!</v>
      </c>
      <c r="Q128" s="896" t="e">
        <f t="shared" ref="Q128:Q140" si="48">SUM(I128:K128)</f>
        <v>#DIV/0!</v>
      </c>
      <c r="R128" s="896" t="e">
        <f t="shared" ref="R128:R140" si="49">SUM(L128:N128)</f>
        <v>#DIV/0!</v>
      </c>
      <c r="S128" s="1137" t="e">
        <f t="shared" ref="S128:S140" si="50">SUM(O128:R128)</f>
        <v>#DIV/0!</v>
      </c>
      <c r="T128" s="1089"/>
      <c r="U128" s="1089"/>
      <c r="V128" s="1089"/>
      <c r="W128" s="1089"/>
      <c r="X128" s="1089"/>
      <c r="Y128" s="1089"/>
      <c r="Z128" s="1089"/>
      <c r="AA128" s="1089"/>
      <c r="AB128" s="1089"/>
      <c r="AC128" s="1089"/>
      <c r="AD128" s="1089"/>
      <c r="AE128" s="1089"/>
      <c r="AF128" s="865"/>
      <c r="AG128" s="865" t="e">
        <f t="shared" si="45"/>
        <v>#DIV/0!</v>
      </c>
    </row>
    <row r="129" spans="1:33" ht="12.75" customHeight="1" outlineLevel="1" x14ac:dyDescent="0.25">
      <c r="A129" s="870" t="s">
        <v>366</v>
      </c>
      <c r="B129" s="870" t="s">
        <v>366</v>
      </c>
      <c r="C129" s="882" t="e">
        <f t="shared" si="44"/>
        <v>#DIV/0!</v>
      </c>
      <c r="D129" s="882" t="e">
        <f t="shared" si="44"/>
        <v>#DIV/0!</v>
      </c>
      <c r="E129" s="882" t="e">
        <f t="shared" si="44"/>
        <v>#DIV/0!</v>
      </c>
      <c r="F129" s="882" t="e">
        <f t="shared" si="44"/>
        <v>#DIV/0!</v>
      </c>
      <c r="G129" s="882" t="e">
        <f t="shared" si="44"/>
        <v>#DIV/0!</v>
      </c>
      <c r="H129" s="882" t="e">
        <f t="shared" si="44"/>
        <v>#DIV/0!</v>
      </c>
      <c r="I129" s="882" t="e">
        <f t="shared" si="44"/>
        <v>#DIV/0!</v>
      </c>
      <c r="J129" s="882" t="e">
        <f t="shared" si="44"/>
        <v>#DIV/0!</v>
      </c>
      <c r="K129" s="882" t="e">
        <f t="shared" si="44"/>
        <v>#DIV/0!</v>
      </c>
      <c r="L129" s="882" t="e">
        <f t="shared" si="44"/>
        <v>#DIV/0!</v>
      </c>
      <c r="M129" s="882" t="e">
        <f t="shared" si="44"/>
        <v>#DIV/0!</v>
      </c>
      <c r="N129" s="882" t="e">
        <f t="shared" si="44"/>
        <v>#DIV/0!</v>
      </c>
      <c r="O129" s="896" t="e">
        <f t="shared" si="46"/>
        <v>#DIV/0!</v>
      </c>
      <c r="P129" s="896" t="e">
        <f t="shared" si="47"/>
        <v>#DIV/0!</v>
      </c>
      <c r="Q129" s="896" t="e">
        <f t="shared" si="48"/>
        <v>#DIV/0!</v>
      </c>
      <c r="R129" s="896" t="e">
        <f t="shared" si="49"/>
        <v>#DIV/0!</v>
      </c>
      <c r="S129" s="1137" t="e">
        <f t="shared" si="50"/>
        <v>#DIV/0!</v>
      </c>
      <c r="T129" s="1089"/>
      <c r="U129" s="1089"/>
      <c r="V129" s="1089"/>
      <c r="W129" s="1089"/>
      <c r="X129" s="1089"/>
      <c r="Y129" s="1089"/>
      <c r="Z129" s="1089"/>
      <c r="AA129" s="1089"/>
      <c r="AB129" s="1089"/>
      <c r="AC129" s="1089"/>
      <c r="AD129" s="1089"/>
      <c r="AE129" s="1089"/>
      <c r="AF129" s="865"/>
      <c r="AG129" s="865" t="e">
        <f t="shared" si="45"/>
        <v>#DIV/0!</v>
      </c>
    </row>
    <row r="130" spans="1:33" ht="12.75" customHeight="1" outlineLevel="1" x14ac:dyDescent="0.25">
      <c r="A130" s="870" t="s">
        <v>368</v>
      </c>
      <c r="B130" s="870" t="s">
        <v>366</v>
      </c>
      <c r="C130" s="882" t="e">
        <f t="shared" si="44"/>
        <v>#DIV/0!</v>
      </c>
      <c r="D130" s="882" t="e">
        <f t="shared" si="44"/>
        <v>#DIV/0!</v>
      </c>
      <c r="E130" s="882" t="e">
        <f t="shared" si="44"/>
        <v>#DIV/0!</v>
      </c>
      <c r="F130" s="882" t="e">
        <f t="shared" si="44"/>
        <v>#DIV/0!</v>
      </c>
      <c r="G130" s="882" t="e">
        <f t="shared" si="44"/>
        <v>#DIV/0!</v>
      </c>
      <c r="H130" s="882" t="e">
        <f t="shared" si="44"/>
        <v>#DIV/0!</v>
      </c>
      <c r="I130" s="882" t="e">
        <f t="shared" si="44"/>
        <v>#DIV/0!</v>
      </c>
      <c r="J130" s="882" t="e">
        <f t="shared" si="44"/>
        <v>#DIV/0!</v>
      </c>
      <c r="K130" s="882" t="e">
        <f t="shared" si="44"/>
        <v>#DIV/0!</v>
      </c>
      <c r="L130" s="882" t="e">
        <f t="shared" si="44"/>
        <v>#DIV/0!</v>
      </c>
      <c r="M130" s="882" t="e">
        <f t="shared" si="44"/>
        <v>#DIV/0!</v>
      </c>
      <c r="N130" s="882" t="e">
        <f t="shared" si="44"/>
        <v>#DIV/0!</v>
      </c>
      <c r="O130" s="896" t="e">
        <f t="shared" si="46"/>
        <v>#DIV/0!</v>
      </c>
      <c r="P130" s="896" t="e">
        <f t="shared" si="47"/>
        <v>#DIV/0!</v>
      </c>
      <c r="Q130" s="896" t="e">
        <f t="shared" si="48"/>
        <v>#DIV/0!</v>
      </c>
      <c r="R130" s="896" t="e">
        <f t="shared" si="49"/>
        <v>#DIV/0!</v>
      </c>
      <c r="S130" s="1137" t="e">
        <f t="shared" si="50"/>
        <v>#DIV/0!</v>
      </c>
      <c r="T130" s="1089"/>
      <c r="U130" s="1089"/>
      <c r="V130" s="1089"/>
      <c r="W130" s="1089"/>
      <c r="X130" s="1089"/>
      <c r="Y130" s="1089"/>
      <c r="Z130" s="1089"/>
      <c r="AA130" s="1089"/>
      <c r="AB130" s="1089"/>
      <c r="AC130" s="1089"/>
      <c r="AD130" s="1089"/>
      <c r="AE130" s="1089"/>
      <c r="AF130" s="865"/>
      <c r="AG130" s="865" t="e">
        <f t="shared" si="45"/>
        <v>#DIV/0!</v>
      </c>
    </row>
    <row r="131" spans="1:33" ht="12.75" customHeight="1" outlineLevel="1" x14ac:dyDescent="0.25">
      <c r="A131" s="870" t="s">
        <v>369</v>
      </c>
      <c r="B131" s="870" t="s">
        <v>368</v>
      </c>
      <c r="C131" s="882" t="e">
        <f t="shared" si="44"/>
        <v>#DIV/0!</v>
      </c>
      <c r="D131" s="882" t="e">
        <f t="shared" si="44"/>
        <v>#DIV/0!</v>
      </c>
      <c r="E131" s="882" t="e">
        <f t="shared" si="44"/>
        <v>#DIV/0!</v>
      </c>
      <c r="F131" s="882" t="e">
        <f t="shared" si="44"/>
        <v>#DIV/0!</v>
      </c>
      <c r="G131" s="882" t="e">
        <f t="shared" si="44"/>
        <v>#DIV/0!</v>
      </c>
      <c r="H131" s="882" t="e">
        <f t="shared" si="44"/>
        <v>#DIV/0!</v>
      </c>
      <c r="I131" s="882" t="e">
        <f t="shared" si="44"/>
        <v>#DIV/0!</v>
      </c>
      <c r="J131" s="882" t="e">
        <f t="shared" si="44"/>
        <v>#DIV/0!</v>
      </c>
      <c r="K131" s="882" t="e">
        <f t="shared" si="44"/>
        <v>#DIV/0!</v>
      </c>
      <c r="L131" s="882" t="e">
        <f t="shared" si="44"/>
        <v>#DIV/0!</v>
      </c>
      <c r="M131" s="882" t="e">
        <f t="shared" si="44"/>
        <v>#DIV/0!</v>
      </c>
      <c r="N131" s="882" t="e">
        <f t="shared" si="44"/>
        <v>#DIV/0!</v>
      </c>
      <c r="O131" s="896" t="e">
        <f t="shared" si="46"/>
        <v>#DIV/0!</v>
      </c>
      <c r="P131" s="896" t="e">
        <f t="shared" si="47"/>
        <v>#DIV/0!</v>
      </c>
      <c r="Q131" s="896" t="e">
        <f t="shared" si="48"/>
        <v>#DIV/0!</v>
      </c>
      <c r="R131" s="896" t="e">
        <f t="shared" si="49"/>
        <v>#DIV/0!</v>
      </c>
      <c r="S131" s="1137" t="e">
        <f t="shared" si="50"/>
        <v>#DIV/0!</v>
      </c>
      <c r="T131" s="1089"/>
      <c r="U131" s="1089"/>
      <c r="V131" s="1089"/>
      <c r="W131" s="1089"/>
      <c r="X131" s="1089"/>
      <c r="Y131" s="1089"/>
      <c r="Z131" s="1089"/>
      <c r="AA131" s="1089"/>
      <c r="AB131" s="1089"/>
      <c r="AC131" s="1089"/>
      <c r="AD131" s="1089"/>
      <c r="AE131" s="1089"/>
      <c r="AF131" s="865"/>
      <c r="AG131" s="865" t="e">
        <f t="shared" si="45"/>
        <v>#DIV/0!</v>
      </c>
    </row>
    <row r="132" spans="1:33" ht="12.75" customHeight="1" outlineLevel="1" x14ac:dyDescent="0.25">
      <c r="A132" s="870" t="s">
        <v>370</v>
      </c>
      <c r="B132" s="870" t="s">
        <v>368</v>
      </c>
      <c r="C132" s="882" t="e">
        <f t="shared" si="44"/>
        <v>#DIV/0!</v>
      </c>
      <c r="D132" s="882" t="e">
        <f t="shared" si="44"/>
        <v>#DIV/0!</v>
      </c>
      <c r="E132" s="882" t="e">
        <f t="shared" si="44"/>
        <v>#DIV/0!</v>
      </c>
      <c r="F132" s="882" t="e">
        <f t="shared" si="44"/>
        <v>#DIV/0!</v>
      </c>
      <c r="G132" s="882" t="e">
        <f t="shared" si="44"/>
        <v>#DIV/0!</v>
      </c>
      <c r="H132" s="882" t="e">
        <f t="shared" si="44"/>
        <v>#DIV/0!</v>
      </c>
      <c r="I132" s="882" t="e">
        <f t="shared" si="44"/>
        <v>#DIV/0!</v>
      </c>
      <c r="J132" s="882" t="e">
        <f t="shared" si="44"/>
        <v>#DIV/0!</v>
      </c>
      <c r="K132" s="882" t="e">
        <f t="shared" si="44"/>
        <v>#DIV/0!</v>
      </c>
      <c r="L132" s="882" t="e">
        <f t="shared" si="44"/>
        <v>#DIV/0!</v>
      </c>
      <c r="M132" s="882" t="e">
        <f t="shared" si="44"/>
        <v>#DIV/0!</v>
      </c>
      <c r="N132" s="882" t="e">
        <f t="shared" si="44"/>
        <v>#DIV/0!</v>
      </c>
      <c r="O132" s="896" t="e">
        <f t="shared" si="46"/>
        <v>#DIV/0!</v>
      </c>
      <c r="P132" s="896" t="e">
        <f t="shared" si="47"/>
        <v>#DIV/0!</v>
      </c>
      <c r="Q132" s="896" t="e">
        <f t="shared" si="48"/>
        <v>#DIV/0!</v>
      </c>
      <c r="R132" s="896" t="e">
        <f t="shared" si="49"/>
        <v>#DIV/0!</v>
      </c>
      <c r="S132" s="1137" t="e">
        <f t="shared" si="50"/>
        <v>#DIV/0!</v>
      </c>
      <c r="T132" s="1089"/>
      <c r="U132" s="1089"/>
      <c r="V132" s="1089"/>
      <c r="W132" s="1089"/>
      <c r="X132" s="1089"/>
      <c r="Y132" s="1089"/>
      <c r="Z132" s="1089"/>
      <c r="AA132" s="1089"/>
      <c r="AB132" s="1089"/>
      <c r="AC132" s="1089"/>
      <c r="AD132" s="1089"/>
      <c r="AE132" s="1089"/>
      <c r="AF132" s="865"/>
      <c r="AG132" s="865" t="e">
        <f t="shared" si="45"/>
        <v>#DIV/0!</v>
      </c>
    </row>
    <row r="133" spans="1:33" ht="12.75" customHeight="1" outlineLevel="1" x14ac:dyDescent="0.25">
      <c r="A133" s="870" t="s">
        <v>371</v>
      </c>
      <c r="B133" s="870" t="s">
        <v>368</v>
      </c>
      <c r="C133" s="882" t="e">
        <f t="shared" si="44"/>
        <v>#DIV/0!</v>
      </c>
      <c r="D133" s="882" t="e">
        <f t="shared" si="44"/>
        <v>#DIV/0!</v>
      </c>
      <c r="E133" s="882" t="e">
        <f t="shared" si="44"/>
        <v>#DIV/0!</v>
      </c>
      <c r="F133" s="882" t="e">
        <f t="shared" si="44"/>
        <v>#DIV/0!</v>
      </c>
      <c r="G133" s="882" t="e">
        <f t="shared" si="44"/>
        <v>#DIV/0!</v>
      </c>
      <c r="H133" s="882" t="e">
        <f t="shared" si="44"/>
        <v>#DIV/0!</v>
      </c>
      <c r="I133" s="882" t="e">
        <f t="shared" si="44"/>
        <v>#DIV/0!</v>
      </c>
      <c r="J133" s="882" t="e">
        <f t="shared" si="44"/>
        <v>#DIV/0!</v>
      </c>
      <c r="K133" s="882" t="e">
        <f t="shared" si="44"/>
        <v>#DIV/0!</v>
      </c>
      <c r="L133" s="882" t="e">
        <f t="shared" si="44"/>
        <v>#DIV/0!</v>
      </c>
      <c r="M133" s="882" t="e">
        <f t="shared" si="44"/>
        <v>#DIV/0!</v>
      </c>
      <c r="N133" s="882" t="e">
        <f t="shared" si="44"/>
        <v>#DIV/0!</v>
      </c>
      <c r="O133" s="896" t="e">
        <f t="shared" si="46"/>
        <v>#DIV/0!</v>
      </c>
      <c r="P133" s="896" t="e">
        <f t="shared" si="47"/>
        <v>#DIV/0!</v>
      </c>
      <c r="Q133" s="896" t="e">
        <f t="shared" si="48"/>
        <v>#DIV/0!</v>
      </c>
      <c r="R133" s="896" t="e">
        <f t="shared" si="49"/>
        <v>#DIV/0!</v>
      </c>
      <c r="S133" s="1137" t="e">
        <f t="shared" si="50"/>
        <v>#DIV/0!</v>
      </c>
      <c r="T133" s="1089"/>
      <c r="U133" s="1089"/>
      <c r="V133" s="1089"/>
      <c r="W133" s="1089"/>
      <c r="X133" s="1089"/>
      <c r="Y133" s="1089"/>
      <c r="Z133" s="1089"/>
      <c r="AA133" s="1089"/>
      <c r="AB133" s="1089"/>
      <c r="AC133" s="1089"/>
      <c r="AD133" s="1089"/>
      <c r="AE133" s="1089"/>
      <c r="AF133" s="865"/>
      <c r="AG133" s="865" t="e">
        <f t="shared" si="45"/>
        <v>#DIV/0!</v>
      </c>
    </row>
    <row r="134" spans="1:33" ht="12.75" customHeight="1" outlineLevel="1" x14ac:dyDescent="0.25">
      <c r="A134" s="870" t="s">
        <v>372</v>
      </c>
      <c r="B134" s="870" t="s">
        <v>368</v>
      </c>
      <c r="C134" s="882" t="e">
        <f t="shared" si="44"/>
        <v>#DIV/0!</v>
      </c>
      <c r="D134" s="882" t="e">
        <f t="shared" si="44"/>
        <v>#DIV/0!</v>
      </c>
      <c r="E134" s="882" t="e">
        <f t="shared" si="44"/>
        <v>#DIV/0!</v>
      </c>
      <c r="F134" s="882" t="e">
        <f t="shared" si="44"/>
        <v>#DIV/0!</v>
      </c>
      <c r="G134" s="882" t="e">
        <f t="shared" si="44"/>
        <v>#DIV/0!</v>
      </c>
      <c r="H134" s="882" t="e">
        <f t="shared" si="44"/>
        <v>#DIV/0!</v>
      </c>
      <c r="I134" s="882" t="e">
        <f t="shared" si="44"/>
        <v>#DIV/0!</v>
      </c>
      <c r="J134" s="882" t="e">
        <f t="shared" si="44"/>
        <v>#DIV/0!</v>
      </c>
      <c r="K134" s="882" t="e">
        <f t="shared" si="44"/>
        <v>#DIV/0!</v>
      </c>
      <c r="L134" s="882" t="e">
        <f t="shared" si="44"/>
        <v>#DIV/0!</v>
      </c>
      <c r="M134" s="882" t="e">
        <f t="shared" si="44"/>
        <v>#DIV/0!</v>
      </c>
      <c r="N134" s="882" t="e">
        <f t="shared" si="44"/>
        <v>#DIV/0!</v>
      </c>
      <c r="O134" s="896" t="e">
        <f t="shared" si="46"/>
        <v>#DIV/0!</v>
      </c>
      <c r="P134" s="896" t="e">
        <f t="shared" si="47"/>
        <v>#DIV/0!</v>
      </c>
      <c r="Q134" s="896" t="e">
        <f t="shared" si="48"/>
        <v>#DIV/0!</v>
      </c>
      <c r="R134" s="896" t="e">
        <f t="shared" si="49"/>
        <v>#DIV/0!</v>
      </c>
      <c r="S134" s="1137" t="e">
        <f t="shared" si="50"/>
        <v>#DIV/0!</v>
      </c>
      <c r="T134" s="1089"/>
      <c r="U134" s="1089"/>
      <c r="V134" s="1089"/>
      <c r="W134" s="1089"/>
      <c r="X134" s="1089"/>
      <c r="Y134" s="1089"/>
      <c r="Z134" s="1089"/>
      <c r="AA134" s="1089"/>
      <c r="AB134" s="1089"/>
      <c r="AC134" s="1089"/>
      <c r="AD134" s="1089"/>
      <c r="AE134" s="1089"/>
      <c r="AF134" s="865"/>
      <c r="AG134" s="865" t="e">
        <f t="shared" si="45"/>
        <v>#DIV/0!</v>
      </c>
    </row>
    <row r="135" spans="1:33" ht="12.75" customHeight="1" outlineLevel="1" x14ac:dyDescent="0.25">
      <c r="A135" s="870" t="s">
        <v>373</v>
      </c>
      <c r="B135" s="870" t="s">
        <v>366</v>
      </c>
      <c r="C135" s="882" t="e">
        <f t="shared" si="44"/>
        <v>#DIV/0!</v>
      </c>
      <c r="D135" s="882" t="e">
        <f t="shared" si="44"/>
        <v>#DIV/0!</v>
      </c>
      <c r="E135" s="882" t="e">
        <f t="shared" si="44"/>
        <v>#DIV/0!</v>
      </c>
      <c r="F135" s="882" t="e">
        <f t="shared" si="44"/>
        <v>#DIV/0!</v>
      </c>
      <c r="G135" s="882" t="e">
        <f t="shared" si="44"/>
        <v>#DIV/0!</v>
      </c>
      <c r="H135" s="882" t="e">
        <f t="shared" si="44"/>
        <v>#DIV/0!</v>
      </c>
      <c r="I135" s="882" t="e">
        <f t="shared" si="44"/>
        <v>#DIV/0!</v>
      </c>
      <c r="J135" s="882" t="e">
        <f t="shared" si="44"/>
        <v>#DIV/0!</v>
      </c>
      <c r="K135" s="882" t="e">
        <f t="shared" si="44"/>
        <v>#DIV/0!</v>
      </c>
      <c r="L135" s="882" t="e">
        <f t="shared" si="44"/>
        <v>#DIV/0!</v>
      </c>
      <c r="M135" s="882" t="e">
        <f t="shared" si="44"/>
        <v>#DIV/0!</v>
      </c>
      <c r="N135" s="882" t="e">
        <f t="shared" si="44"/>
        <v>#DIV/0!</v>
      </c>
      <c r="O135" s="896" t="e">
        <f t="shared" si="46"/>
        <v>#DIV/0!</v>
      </c>
      <c r="P135" s="896" t="e">
        <f t="shared" si="47"/>
        <v>#DIV/0!</v>
      </c>
      <c r="Q135" s="896" t="e">
        <f t="shared" si="48"/>
        <v>#DIV/0!</v>
      </c>
      <c r="R135" s="896" t="e">
        <f t="shared" si="49"/>
        <v>#DIV/0!</v>
      </c>
      <c r="S135" s="1137" t="e">
        <f t="shared" si="50"/>
        <v>#DIV/0!</v>
      </c>
      <c r="T135" s="1089"/>
      <c r="U135" s="1089"/>
      <c r="V135" s="1089"/>
      <c r="W135" s="1089"/>
      <c r="X135" s="1089"/>
      <c r="Y135" s="1089"/>
      <c r="Z135" s="1089"/>
      <c r="AA135" s="1089"/>
      <c r="AB135" s="1089"/>
      <c r="AC135" s="1089"/>
      <c r="AD135" s="1089"/>
      <c r="AE135" s="1089"/>
      <c r="AF135" s="865"/>
      <c r="AG135" s="865" t="e">
        <f t="shared" si="45"/>
        <v>#DIV/0!</v>
      </c>
    </row>
    <row r="136" spans="1:33" ht="12.75" customHeight="1" outlineLevel="1" x14ac:dyDescent="0.25">
      <c r="A136" s="870" t="s">
        <v>374</v>
      </c>
      <c r="B136" s="870" t="s">
        <v>368</v>
      </c>
      <c r="C136" s="882" t="e">
        <f t="shared" si="44"/>
        <v>#DIV/0!</v>
      </c>
      <c r="D136" s="882" t="e">
        <f t="shared" si="44"/>
        <v>#DIV/0!</v>
      </c>
      <c r="E136" s="882" t="e">
        <f t="shared" si="44"/>
        <v>#DIV/0!</v>
      </c>
      <c r="F136" s="882" t="e">
        <f t="shared" si="44"/>
        <v>#DIV/0!</v>
      </c>
      <c r="G136" s="882" t="e">
        <f t="shared" si="44"/>
        <v>#DIV/0!</v>
      </c>
      <c r="H136" s="882" t="e">
        <f t="shared" si="44"/>
        <v>#DIV/0!</v>
      </c>
      <c r="I136" s="882" t="e">
        <f t="shared" si="44"/>
        <v>#DIV/0!</v>
      </c>
      <c r="J136" s="882" t="e">
        <f t="shared" si="44"/>
        <v>#DIV/0!</v>
      </c>
      <c r="K136" s="882" t="e">
        <f t="shared" si="44"/>
        <v>#DIV/0!</v>
      </c>
      <c r="L136" s="882" t="e">
        <f t="shared" si="44"/>
        <v>#DIV/0!</v>
      </c>
      <c r="M136" s="882" t="e">
        <f t="shared" si="44"/>
        <v>#DIV/0!</v>
      </c>
      <c r="N136" s="882" t="e">
        <f t="shared" si="44"/>
        <v>#DIV/0!</v>
      </c>
      <c r="O136" s="896" t="e">
        <f t="shared" si="46"/>
        <v>#DIV/0!</v>
      </c>
      <c r="P136" s="896" t="e">
        <f t="shared" si="47"/>
        <v>#DIV/0!</v>
      </c>
      <c r="Q136" s="896" t="e">
        <f t="shared" si="48"/>
        <v>#DIV/0!</v>
      </c>
      <c r="R136" s="896" t="e">
        <f t="shared" si="49"/>
        <v>#DIV/0!</v>
      </c>
      <c r="S136" s="1137" t="e">
        <f t="shared" si="50"/>
        <v>#DIV/0!</v>
      </c>
      <c r="T136" s="1089"/>
      <c r="U136" s="1089"/>
      <c r="V136" s="1089"/>
      <c r="W136" s="1089"/>
      <c r="X136" s="1089"/>
      <c r="Y136" s="1089"/>
      <c r="Z136" s="1089"/>
      <c r="AA136" s="1089"/>
      <c r="AB136" s="1089"/>
      <c r="AC136" s="1089"/>
      <c r="AD136" s="1089"/>
      <c r="AE136" s="1089"/>
      <c r="AF136" s="865"/>
      <c r="AG136" s="865" t="e">
        <f t="shared" si="45"/>
        <v>#DIV/0!</v>
      </c>
    </row>
    <row r="137" spans="1:33" ht="12.75" customHeight="1" outlineLevel="1" x14ac:dyDescent="0.25">
      <c r="A137" s="870" t="s">
        <v>375</v>
      </c>
      <c r="B137" s="870" t="s">
        <v>366</v>
      </c>
      <c r="C137" s="882" t="e">
        <f t="shared" si="44"/>
        <v>#DIV/0!</v>
      </c>
      <c r="D137" s="882" t="e">
        <f t="shared" si="44"/>
        <v>#DIV/0!</v>
      </c>
      <c r="E137" s="882" t="e">
        <f t="shared" si="44"/>
        <v>#DIV/0!</v>
      </c>
      <c r="F137" s="882" t="e">
        <f t="shared" si="44"/>
        <v>#DIV/0!</v>
      </c>
      <c r="G137" s="882" t="e">
        <f t="shared" si="44"/>
        <v>#DIV/0!</v>
      </c>
      <c r="H137" s="882" t="e">
        <f t="shared" si="44"/>
        <v>#DIV/0!</v>
      </c>
      <c r="I137" s="882" t="e">
        <f t="shared" si="44"/>
        <v>#DIV/0!</v>
      </c>
      <c r="J137" s="882" t="e">
        <f t="shared" si="44"/>
        <v>#DIV/0!</v>
      </c>
      <c r="K137" s="882" t="e">
        <f t="shared" si="44"/>
        <v>#DIV/0!</v>
      </c>
      <c r="L137" s="882" t="e">
        <f t="shared" si="44"/>
        <v>#DIV/0!</v>
      </c>
      <c r="M137" s="882" t="e">
        <f t="shared" si="44"/>
        <v>#DIV/0!</v>
      </c>
      <c r="N137" s="882" t="e">
        <f t="shared" si="44"/>
        <v>#DIV/0!</v>
      </c>
      <c r="O137" s="896" t="e">
        <f t="shared" si="46"/>
        <v>#DIV/0!</v>
      </c>
      <c r="P137" s="896" t="e">
        <f t="shared" si="47"/>
        <v>#DIV/0!</v>
      </c>
      <c r="Q137" s="896" t="e">
        <f t="shared" si="48"/>
        <v>#DIV/0!</v>
      </c>
      <c r="R137" s="896" t="e">
        <f t="shared" si="49"/>
        <v>#DIV/0!</v>
      </c>
      <c r="S137" s="1137" t="e">
        <f t="shared" si="50"/>
        <v>#DIV/0!</v>
      </c>
      <c r="T137" s="1089"/>
      <c r="U137" s="1089"/>
      <c r="V137" s="1089"/>
      <c r="W137" s="1089"/>
      <c r="X137" s="1089"/>
      <c r="Y137" s="1089"/>
      <c r="Z137" s="1089"/>
      <c r="AA137" s="1089"/>
      <c r="AB137" s="1089"/>
      <c r="AC137" s="1089"/>
      <c r="AD137" s="1089"/>
      <c r="AE137" s="1089"/>
      <c r="AF137" s="865"/>
      <c r="AG137" s="865" t="e">
        <f t="shared" si="45"/>
        <v>#DIV/0!</v>
      </c>
    </row>
    <row r="138" spans="1:33" ht="12.75" customHeight="1" outlineLevel="1" x14ac:dyDescent="0.25">
      <c r="A138" s="870" t="s">
        <v>376</v>
      </c>
      <c r="B138" s="870" t="s">
        <v>368</v>
      </c>
      <c r="C138" s="882" t="e">
        <f t="shared" si="44"/>
        <v>#DIV/0!</v>
      </c>
      <c r="D138" s="882" t="e">
        <f t="shared" si="44"/>
        <v>#DIV/0!</v>
      </c>
      <c r="E138" s="882" t="e">
        <f t="shared" si="44"/>
        <v>#DIV/0!</v>
      </c>
      <c r="F138" s="882" t="e">
        <f t="shared" si="44"/>
        <v>#DIV/0!</v>
      </c>
      <c r="G138" s="882" t="e">
        <f t="shared" si="44"/>
        <v>#DIV/0!</v>
      </c>
      <c r="H138" s="882" t="e">
        <f t="shared" si="44"/>
        <v>#DIV/0!</v>
      </c>
      <c r="I138" s="882" t="e">
        <f t="shared" si="44"/>
        <v>#DIV/0!</v>
      </c>
      <c r="J138" s="882" t="e">
        <f t="shared" si="44"/>
        <v>#DIV/0!</v>
      </c>
      <c r="K138" s="882" t="e">
        <f t="shared" si="44"/>
        <v>#DIV/0!</v>
      </c>
      <c r="L138" s="882" t="e">
        <f t="shared" si="44"/>
        <v>#DIV/0!</v>
      </c>
      <c r="M138" s="882" t="e">
        <f t="shared" si="44"/>
        <v>#DIV/0!</v>
      </c>
      <c r="N138" s="882" t="e">
        <f t="shared" si="44"/>
        <v>#DIV/0!</v>
      </c>
      <c r="O138" s="896" t="e">
        <f t="shared" si="46"/>
        <v>#DIV/0!</v>
      </c>
      <c r="P138" s="896" t="e">
        <f t="shared" si="47"/>
        <v>#DIV/0!</v>
      </c>
      <c r="Q138" s="896" t="e">
        <f t="shared" si="48"/>
        <v>#DIV/0!</v>
      </c>
      <c r="R138" s="896" t="e">
        <f t="shared" si="49"/>
        <v>#DIV/0!</v>
      </c>
      <c r="S138" s="1137" t="e">
        <f t="shared" si="50"/>
        <v>#DIV/0!</v>
      </c>
      <c r="T138" s="1089"/>
      <c r="U138" s="1089"/>
      <c r="V138" s="1089"/>
      <c r="W138" s="1089"/>
      <c r="X138" s="1089"/>
      <c r="Y138" s="1089"/>
      <c r="Z138" s="1089"/>
      <c r="AA138" s="1089"/>
      <c r="AB138" s="1089"/>
      <c r="AC138" s="1089"/>
      <c r="AD138" s="1089"/>
      <c r="AE138" s="1089"/>
      <c r="AF138" s="865"/>
      <c r="AG138" s="865" t="e">
        <f t="shared" si="45"/>
        <v>#DIV/0!</v>
      </c>
    </row>
    <row r="139" spans="1:33" ht="12.75" customHeight="1" outlineLevel="1" x14ac:dyDescent="0.25">
      <c r="A139" s="870" t="s">
        <v>377</v>
      </c>
      <c r="B139" s="870" t="s">
        <v>365</v>
      </c>
      <c r="C139" s="882" t="e">
        <f t="shared" si="44"/>
        <v>#DIV/0!</v>
      </c>
      <c r="D139" s="882" t="e">
        <f t="shared" si="44"/>
        <v>#DIV/0!</v>
      </c>
      <c r="E139" s="882" t="e">
        <f t="shared" si="44"/>
        <v>#DIV/0!</v>
      </c>
      <c r="F139" s="882" t="e">
        <f t="shared" si="44"/>
        <v>#DIV/0!</v>
      </c>
      <c r="G139" s="882" t="e">
        <f t="shared" si="44"/>
        <v>#DIV/0!</v>
      </c>
      <c r="H139" s="882" t="e">
        <f t="shared" si="44"/>
        <v>#DIV/0!</v>
      </c>
      <c r="I139" s="882" t="e">
        <f t="shared" si="44"/>
        <v>#DIV/0!</v>
      </c>
      <c r="J139" s="882" t="e">
        <f t="shared" si="44"/>
        <v>#DIV/0!</v>
      </c>
      <c r="K139" s="882" t="e">
        <f t="shared" si="44"/>
        <v>#DIV/0!</v>
      </c>
      <c r="L139" s="882" t="e">
        <f t="shared" si="44"/>
        <v>#DIV/0!</v>
      </c>
      <c r="M139" s="882" t="e">
        <f t="shared" si="44"/>
        <v>#DIV/0!</v>
      </c>
      <c r="N139" s="882" t="e">
        <f t="shared" si="44"/>
        <v>#DIV/0!</v>
      </c>
      <c r="O139" s="896" t="e">
        <f t="shared" si="46"/>
        <v>#DIV/0!</v>
      </c>
      <c r="P139" s="896" t="e">
        <f t="shared" si="47"/>
        <v>#DIV/0!</v>
      </c>
      <c r="Q139" s="896" t="e">
        <f t="shared" si="48"/>
        <v>#DIV/0!</v>
      </c>
      <c r="R139" s="896" t="e">
        <f t="shared" si="49"/>
        <v>#DIV/0!</v>
      </c>
      <c r="S139" s="1137" t="e">
        <f t="shared" si="50"/>
        <v>#DIV/0!</v>
      </c>
      <c r="T139" s="1089"/>
      <c r="U139" s="1089"/>
      <c r="V139" s="1089"/>
      <c r="W139" s="1089"/>
      <c r="X139" s="1089"/>
      <c r="Y139" s="1089"/>
      <c r="Z139" s="1089"/>
      <c r="AA139" s="1089"/>
      <c r="AB139" s="1089"/>
      <c r="AC139" s="1089"/>
      <c r="AD139" s="1089"/>
      <c r="AE139" s="1089"/>
      <c r="AF139" s="865"/>
      <c r="AG139" s="865" t="e">
        <f t="shared" si="45"/>
        <v>#DIV/0!</v>
      </c>
    </row>
    <row r="140" spans="1:33" s="914" customFormat="1" ht="12.75" customHeight="1" outlineLevel="1" x14ac:dyDescent="0.25">
      <c r="A140" s="870" t="s">
        <v>367</v>
      </c>
      <c r="B140" s="913"/>
      <c r="C140" s="882" t="e">
        <f>(C70-C104)*C$25-C122</f>
        <v>#DIV/0!</v>
      </c>
      <c r="D140" s="882" t="e">
        <f t="shared" si="44"/>
        <v>#DIV/0!</v>
      </c>
      <c r="E140" s="882" t="e">
        <f t="shared" si="44"/>
        <v>#DIV/0!</v>
      </c>
      <c r="F140" s="882" t="e">
        <f t="shared" si="44"/>
        <v>#DIV/0!</v>
      </c>
      <c r="G140" s="882" t="e">
        <f t="shared" si="44"/>
        <v>#DIV/0!</v>
      </c>
      <c r="H140" s="882" t="e">
        <f t="shared" si="44"/>
        <v>#DIV/0!</v>
      </c>
      <c r="I140" s="882" t="e">
        <f t="shared" si="44"/>
        <v>#DIV/0!</v>
      </c>
      <c r="J140" s="882" t="e">
        <f t="shared" si="44"/>
        <v>#DIV/0!</v>
      </c>
      <c r="K140" s="882" t="e">
        <f t="shared" si="44"/>
        <v>#DIV/0!</v>
      </c>
      <c r="L140" s="882" t="e">
        <f t="shared" si="44"/>
        <v>#DIV/0!</v>
      </c>
      <c r="M140" s="882" t="e">
        <f t="shared" si="44"/>
        <v>#DIV/0!</v>
      </c>
      <c r="N140" s="882" t="e">
        <f t="shared" si="44"/>
        <v>#DIV/0!</v>
      </c>
      <c r="O140" s="896" t="e">
        <f t="shared" si="46"/>
        <v>#DIV/0!</v>
      </c>
      <c r="P140" s="896" t="e">
        <f t="shared" si="47"/>
        <v>#DIV/0!</v>
      </c>
      <c r="Q140" s="896" t="e">
        <f t="shared" si="48"/>
        <v>#DIV/0!</v>
      </c>
      <c r="R140" s="896" t="e">
        <f t="shared" si="49"/>
        <v>#DIV/0!</v>
      </c>
      <c r="S140" s="1137" t="e">
        <f t="shared" si="50"/>
        <v>#DIV/0!</v>
      </c>
      <c r="T140" s="1089"/>
      <c r="U140" s="1089"/>
      <c r="V140" s="1089"/>
      <c r="W140" s="1089"/>
      <c r="X140" s="1089"/>
      <c r="Y140" s="1089"/>
      <c r="Z140" s="1089"/>
      <c r="AA140" s="1089"/>
      <c r="AB140" s="1089"/>
      <c r="AC140" s="1089"/>
      <c r="AD140" s="1089"/>
      <c r="AE140" s="1089"/>
      <c r="AF140" s="865"/>
      <c r="AG140" s="865" t="e">
        <f t="shared" si="45"/>
        <v>#DIV/0!</v>
      </c>
    </row>
    <row r="141" spans="1:33" ht="12.75" customHeight="1" outlineLevel="1" x14ac:dyDescent="0.25">
      <c r="A141" s="884" t="s">
        <v>77</v>
      </c>
      <c r="B141" s="885"/>
      <c r="C141" s="887" t="e">
        <f>SUM(C127:C140)</f>
        <v>#DIV/0!</v>
      </c>
      <c r="D141" s="887" t="e">
        <f t="shared" ref="D141:S141" si="51">SUM(D127:D140)</f>
        <v>#DIV/0!</v>
      </c>
      <c r="E141" s="887" t="e">
        <f t="shared" si="51"/>
        <v>#DIV/0!</v>
      </c>
      <c r="F141" s="887" t="e">
        <f t="shared" si="51"/>
        <v>#DIV/0!</v>
      </c>
      <c r="G141" s="887" t="e">
        <f t="shared" si="51"/>
        <v>#DIV/0!</v>
      </c>
      <c r="H141" s="887" t="e">
        <f t="shared" si="51"/>
        <v>#DIV/0!</v>
      </c>
      <c r="I141" s="887" t="e">
        <f t="shared" si="51"/>
        <v>#DIV/0!</v>
      </c>
      <c r="J141" s="887" t="e">
        <f t="shared" si="51"/>
        <v>#DIV/0!</v>
      </c>
      <c r="K141" s="887" t="e">
        <f t="shared" si="51"/>
        <v>#DIV/0!</v>
      </c>
      <c r="L141" s="887" t="e">
        <f t="shared" si="51"/>
        <v>#DIV/0!</v>
      </c>
      <c r="M141" s="887" t="e">
        <f t="shared" si="51"/>
        <v>#DIV/0!</v>
      </c>
      <c r="N141" s="887" t="e">
        <f t="shared" si="51"/>
        <v>#DIV/0!</v>
      </c>
      <c r="O141" s="887" t="e">
        <f t="shared" si="51"/>
        <v>#DIV/0!</v>
      </c>
      <c r="P141" s="887" t="e">
        <f t="shared" si="51"/>
        <v>#DIV/0!</v>
      </c>
      <c r="Q141" s="887" t="e">
        <f t="shared" si="51"/>
        <v>#DIV/0!</v>
      </c>
      <c r="R141" s="887" t="e">
        <f t="shared" si="51"/>
        <v>#DIV/0!</v>
      </c>
      <c r="S141" s="1138" t="e">
        <f t="shared" si="51"/>
        <v>#DIV/0!</v>
      </c>
      <c r="T141" s="1091"/>
      <c r="U141" s="1091"/>
      <c r="V141" s="1091"/>
      <c r="W141" s="1091"/>
      <c r="X141" s="1091"/>
      <c r="Y141" s="1091"/>
      <c r="Z141" s="1091"/>
      <c r="AA141" s="1091"/>
      <c r="AB141" s="1091"/>
      <c r="AC141" s="1091"/>
      <c r="AD141" s="1091"/>
      <c r="AE141" s="1091"/>
      <c r="AF141" s="865"/>
      <c r="AG141" s="865" t="e">
        <f t="shared" si="45"/>
        <v>#DIV/0!</v>
      </c>
    </row>
    <row r="142" spans="1:33" ht="12.75" customHeight="1" outlineLevel="1" x14ac:dyDescent="0.25">
      <c r="T142" s="914"/>
      <c r="U142" s="914"/>
      <c r="V142" s="914"/>
      <c r="W142" s="914"/>
      <c r="X142" s="914"/>
      <c r="Y142" s="914"/>
      <c r="Z142" s="914"/>
      <c r="AA142" s="914"/>
      <c r="AB142" s="914"/>
      <c r="AC142" s="914"/>
      <c r="AD142" s="914"/>
      <c r="AE142" s="914"/>
      <c r="AF142" s="914"/>
    </row>
    <row r="143" spans="1:33" ht="15" x14ac:dyDescent="0.25">
      <c r="L143"/>
      <c r="M143"/>
      <c r="N143"/>
      <c r="S143" s="920"/>
      <c r="T143" s="1103"/>
      <c r="U143" s="1103"/>
      <c r="V143" s="1103"/>
      <c r="W143" s="1103"/>
      <c r="X143" s="1103"/>
      <c r="Y143" s="1103"/>
      <c r="Z143" s="1103"/>
      <c r="AA143" s="1103"/>
      <c r="AB143" s="1103"/>
      <c r="AC143" s="1103"/>
      <c r="AD143" s="1103"/>
      <c r="AE143" s="1103"/>
      <c r="AF143" s="914"/>
    </row>
    <row r="144" spans="1:33" x14ac:dyDescent="0.25">
      <c r="T144" s="914"/>
      <c r="U144" s="914"/>
      <c r="V144" s="914"/>
      <c r="W144" s="914"/>
      <c r="X144" s="914"/>
      <c r="Y144" s="914"/>
      <c r="Z144" s="914"/>
      <c r="AA144" s="914"/>
      <c r="AB144" s="914"/>
      <c r="AC144" s="914"/>
      <c r="AD144" s="914"/>
      <c r="AE144" s="914"/>
      <c r="AF144" s="914"/>
    </row>
    <row r="145" spans="1:32" x14ac:dyDescent="0.25">
      <c r="F145" s="921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</row>
    <row r="146" spans="1:32" x14ac:dyDescent="0.25">
      <c r="C146" s="923"/>
      <c r="S146" s="920"/>
      <c r="T146" s="914"/>
      <c r="U146" s="914"/>
      <c r="V146" s="914"/>
      <c r="W146" s="914"/>
      <c r="X146" s="914"/>
      <c r="Y146" s="914"/>
      <c r="Z146" s="914"/>
      <c r="AA146" s="914"/>
      <c r="AB146" s="914"/>
      <c r="AC146" s="914"/>
      <c r="AD146" s="914"/>
      <c r="AE146" s="914"/>
      <c r="AF146" s="914"/>
    </row>
    <row r="147" spans="1:32" x14ac:dyDescent="0.25">
      <c r="D147" s="924"/>
      <c r="T147" s="914"/>
      <c r="U147" s="914"/>
      <c r="V147" s="914"/>
      <c r="W147" s="914"/>
      <c r="X147" s="914"/>
      <c r="Y147" s="914"/>
      <c r="Z147" s="914"/>
      <c r="AA147" s="914"/>
      <c r="AB147" s="914"/>
      <c r="AC147" s="914"/>
      <c r="AD147" s="914"/>
      <c r="AE147" s="914"/>
      <c r="AF147" s="914"/>
    </row>
    <row r="148" spans="1:32" x14ac:dyDescent="0.25">
      <c r="T148" s="914"/>
      <c r="U148" s="914"/>
      <c r="V148" s="914"/>
      <c r="W148" s="914"/>
      <c r="X148" s="914"/>
      <c r="Y148" s="914"/>
      <c r="Z148" s="914"/>
      <c r="AA148" s="914"/>
      <c r="AB148" s="914"/>
      <c r="AC148" s="914"/>
      <c r="AD148" s="914"/>
      <c r="AE148" s="914"/>
      <c r="AF148" s="914"/>
    </row>
    <row r="149" spans="1:32" ht="15" x14ac:dyDescent="0.25">
      <c r="A149" s="925" t="s">
        <v>213</v>
      </c>
      <c r="B149" s="926"/>
      <c r="C149" s="927"/>
      <c r="D149" s="927"/>
      <c r="E149" s="927"/>
      <c r="F149" s="927"/>
      <c r="G149" s="927"/>
      <c r="H149" s="927"/>
      <c r="I149" s="927"/>
      <c r="J149" s="927"/>
      <c r="K149" s="927"/>
      <c r="L149" s="927"/>
      <c r="M149" s="927"/>
      <c r="N149" s="927"/>
      <c r="O149" s="927"/>
      <c r="P149" s="927"/>
      <c r="Q149" s="927"/>
      <c r="R149" s="927"/>
      <c r="S149" s="927"/>
      <c r="T149" s="1104"/>
      <c r="U149" s="1104"/>
      <c r="V149" s="1104"/>
      <c r="W149" s="1104"/>
      <c r="X149" s="1104"/>
      <c r="Y149" s="1104"/>
      <c r="Z149" s="1104"/>
      <c r="AA149" s="1104"/>
      <c r="AB149" s="1104"/>
      <c r="AC149" s="1104"/>
      <c r="AD149" s="1104"/>
      <c r="AE149" s="1104"/>
      <c r="AF149" s="914"/>
    </row>
    <row r="150" spans="1:32" ht="15" x14ac:dyDescent="0.25">
      <c r="A150" s="928" t="s">
        <v>214</v>
      </c>
      <c r="B150" s="926"/>
      <c r="C150" s="929"/>
      <c r="D150" s="929"/>
      <c r="E150" s="929"/>
      <c r="F150" s="929"/>
      <c r="G150" s="929"/>
      <c r="H150" s="929"/>
      <c r="I150" s="929"/>
      <c r="J150" s="929"/>
      <c r="K150" s="929"/>
      <c r="L150" s="929"/>
      <c r="M150" s="929"/>
      <c r="N150" s="929"/>
      <c r="O150" s="929"/>
      <c r="P150" s="929"/>
      <c r="Q150" s="929"/>
      <c r="R150" s="929"/>
      <c r="S150" s="1139"/>
      <c r="T150" s="1102"/>
      <c r="U150" s="1102"/>
      <c r="V150" s="1102"/>
      <c r="W150" s="1102"/>
      <c r="X150" s="1102"/>
      <c r="Y150" s="1102"/>
      <c r="Z150" s="1102"/>
      <c r="AA150" s="1102"/>
      <c r="AB150" s="1102"/>
      <c r="AC150" s="1102"/>
      <c r="AD150" s="1102"/>
      <c r="AE150" s="1102"/>
      <c r="AF150" s="914"/>
    </row>
    <row r="151" spans="1:32" ht="15" x14ac:dyDescent="0.25">
      <c r="A151" s="930" t="s">
        <v>215</v>
      </c>
      <c r="B151" s="926"/>
      <c r="C151" s="931">
        <f>C14</f>
        <v>0</v>
      </c>
      <c r="D151" s="931">
        <f t="shared" ref="D151:S151" si="52">D14</f>
        <v>0</v>
      </c>
      <c r="E151" s="931">
        <f t="shared" si="52"/>
        <v>0</v>
      </c>
      <c r="F151" s="931">
        <f t="shared" si="52"/>
        <v>0</v>
      </c>
      <c r="G151" s="931">
        <f t="shared" si="52"/>
        <v>0</v>
      </c>
      <c r="H151" s="931">
        <f t="shared" si="52"/>
        <v>0</v>
      </c>
      <c r="I151" s="931">
        <f t="shared" si="52"/>
        <v>0</v>
      </c>
      <c r="J151" s="931">
        <f t="shared" si="52"/>
        <v>0</v>
      </c>
      <c r="K151" s="931">
        <f t="shared" si="52"/>
        <v>0</v>
      </c>
      <c r="L151" s="931">
        <f t="shared" si="52"/>
        <v>0</v>
      </c>
      <c r="M151" s="931">
        <f t="shared" si="52"/>
        <v>0</v>
      </c>
      <c r="N151" s="931">
        <f t="shared" si="52"/>
        <v>0</v>
      </c>
      <c r="O151" s="931">
        <f t="shared" si="52"/>
        <v>0</v>
      </c>
      <c r="P151" s="931">
        <f t="shared" si="52"/>
        <v>0</v>
      </c>
      <c r="Q151" s="931">
        <f t="shared" si="52"/>
        <v>0</v>
      </c>
      <c r="R151" s="931">
        <f t="shared" si="52"/>
        <v>0</v>
      </c>
      <c r="S151" s="1140">
        <f t="shared" si="52"/>
        <v>0</v>
      </c>
      <c r="T151" s="1105"/>
      <c r="U151" s="1105"/>
      <c r="V151" s="1105"/>
      <c r="W151" s="1105"/>
      <c r="X151" s="1105"/>
      <c r="Y151" s="1105"/>
      <c r="Z151" s="1105"/>
      <c r="AA151" s="1105"/>
      <c r="AB151" s="1105"/>
      <c r="AC151" s="1106"/>
      <c r="AD151" s="1105"/>
      <c r="AE151" s="1105"/>
      <c r="AF151" s="914"/>
    </row>
    <row r="152" spans="1:32" ht="15" x14ac:dyDescent="0.25">
      <c r="A152" s="930" t="s">
        <v>216</v>
      </c>
      <c r="B152" s="926"/>
      <c r="C152" s="932">
        <f t="shared" ref="C152:S152" si="53">C20</f>
        <v>0</v>
      </c>
      <c r="D152" s="932">
        <f t="shared" si="53"/>
        <v>0</v>
      </c>
      <c r="E152" s="932">
        <f t="shared" si="53"/>
        <v>0</v>
      </c>
      <c r="F152" s="932">
        <f t="shared" si="53"/>
        <v>0</v>
      </c>
      <c r="G152" s="932">
        <f t="shared" si="53"/>
        <v>0</v>
      </c>
      <c r="H152" s="932">
        <f t="shared" si="53"/>
        <v>0</v>
      </c>
      <c r="I152" s="932">
        <f t="shared" si="53"/>
        <v>0</v>
      </c>
      <c r="J152" s="932">
        <f t="shared" si="53"/>
        <v>0</v>
      </c>
      <c r="K152" s="932">
        <f t="shared" si="53"/>
        <v>0</v>
      </c>
      <c r="L152" s="932">
        <f t="shared" si="53"/>
        <v>0</v>
      </c>
      <c r="M152" s="932">
        <f t="shared" si="53"/>
        <v>0</v>
      </c>
      <c r="N152" s="932">
        <f t="shared" si="53"/>
        <v>0</v>
      </c>
      <c r="O152" s="932">
        <f t="shared" si="53"/>
        <v>0</v>
      </c>
      <c r="P152" s="932">
        <f t="shared" si="53"/>
        <v>0</v>
      </c>
      <c r="Q152" s="932">
        <f t="shared" si="53"/>
        <v>0</v>
      </c>
      <c r="R152" s="932">
        <f t="shared" si="53"/>
        <v>0</v>
      </c>
      <c r="S152" s="1141">
        <f t="shared" si="53"/>
        <v>0</v>
      </c>
      <c r="T152" s="1107"/>
      <c r="U152" s="1108"/>
      <c r="V152" s="1108"/>
      <c r="W152" s="1108"/>
      <c r="X152" s="1108"/>
      <c r="Y152" s="1108"/>
      <c r="Z152" s="1108"/>
      <c r="AA152" s="1108"/>
      <c r="AB152" s="1108"/>
      <c r="AC152" s="1107"/>
      <c r="AD152" s="1108"/>
      <c r="AE152" s="1108"/>
      <c r="AF152" s="914"/>
    </row>
    <row r="153" spans="1:32" ht="15" x14ac:dyDescent="0.25">
      <c r="A153" s="933" t="s">
        <v>217</v>
      </c>
      <c r="B153" s="926"/>
      <c r="C153" s="934"/>
      <c r="D153" s="934"/>
      <c r="E153" s="934"/>
      <c r="F153" s="934"/>
      <c r="G153" s="934"/>
      <c r="H153" s="934"/>
      <c r="I153" s="934"/>
      <c r="J153" s="934"/>
      <c r="K153" s="934"/>
      <c r="L153" s="934"/>
      <c r="M153" s="934"/>
      <c r="N153" s="934"/>
      <c r="O153" s="934"/>
      <c r="P153" s="934"/>
      <c r="Q153" s="934"/>
      <c r="R153" s="934"/>
      <c r="S153" s="1142"/>
      <c r="T153" s="1109"/>
      <c r="U153" s="1109"/>
      <c r="V153" s="1109"/>
      <c r="W153" s="1109"/>
      <c r="X153" s="1109"/>
      <c r="Y153" s="1109"/>
      <c r="Z153" s="1109"/>
      <c r="AA153" s="1109"/>
      <c r="AB153" s="1109"/>
      <c r="AC153" s="1109"/>
      <c r="AD153" s="1109"/>
      <c r="AE153" s="1109"/>
      <c r="AF153" s="914"/>
    </row>
    <row r="154" spans="1:32" ht="15" x14ac:dyDescent="0.25">
      <c r="A154" s="935" t="s">
        <v>218</v>
      </c>
      <c r="B154" s="926"/>
      <c r="C154" s="1171"/>
      <c r="D154" s="1171"/>
      <c r="E154" s="1171"/>
      <c r="F154" s="1171"/>
      <c r="G154" s="1171"/>
      <c r="H154" s="1171"/>
      <c r="I154" s="1171"/>
      <c r="J154" s="1171"/>
      <c r="K154" s="1171"/>
      <c r="L154" s="1171"/>
      <c r="M154" s="1171"/>
      <c r="N154" s="1171"/>
      <c r="O154" s="1171"/>
      <c r="P154" s="1171"/>
      <c r="Q154" s="1171"/>
      <c r="R154" s="1171"/>
      <c r="S154" s="1172"/>
      <c r="T154" s="1110"/>
      <c r="U154" s="1110"/>
      <c r="V154" s="1110"/>
      <c r="W154" s="1110"/>
      <c r="X154" s="1110"/>
      <c r="Y154" s="1110"/>
      <c r="Z154" s="1110"/>
      <c r="AA154" s="1110"/>
      <c r="AB154" s="1110"/>
      <c r="AC154" s="1110"/>
      <c r="AD154" s="1110"/>
      <c r="AE154" s="1110"/>
      <c r="AF154" s="914"/>
    </row>
    <row r="155" spans="1:32" ht="15" x14ac:dyDescent="0.25">
      <c r="A155" s="935" t="s">
        <v>219</v>
      </c>
      <c r="B155" s="926"/>
      <c r="C155" s="1171"/>
      <c r="D155" s="1171"/>
      <c r="E155" s="1171"/>
      <c r="F155" s="1171"/>
      <c r="G155" s="1171"/>
      <c r="H155" s="1171"/>
      <c r="I155" s="1171"/>
      <c r="J155" s="1171"/>
      <c r="K155" s="1171"/>
      <c r="L155" s="1171"/>
      <c r="M155" s="1171"/>
      <c r="N155" s="1171"/>
      <c r="O155" s="1171"/>
      <c r="P155" s="1171"/>
      <c r="Q155" s="1171"/>
      <c r="R155" s="1171"/>
      <c r="S155" s="1172"/>
      <c r="T155" s="1110"/>
      <c r="U155" s="1110"/>
      <c r="V155" s="1110"/>
      <c r="W155" s="1110"/>
      <c r="X155" s="1110"/>
      <c r="Y155" s="1110"/>
      <c r="Z155" s="1110"/>
      <c r="AA155" s="1110"/>
      <c r="AB155" s="1110"/>
      <c r="AC155" s="1110"/>
      <c r="AD155" s="1110"/>
      <c r="AE155" s="1110"/>
      <c r="AF155" s="914"/>
    </row>
    <row r="156" spans="1:32" x14ac:dyDescent="0.2">
      <c r="A156" s="937"/>
      <c r="B156" s="926"/>
      <c r="C156" s="938"/>
      <c r="D156" s="938"/>
      <c r="E156" s="938"/>
      <c r="F156" s="938"/>
      <c r="G156" s="938"/>
      <c r="H156" s="938"/>
      <c r="I156" s="938"/>
      <c r="J156" s="938"/>
      <c r="K156" s="938"/>
      <c r="L156" s="938"/>
      <c r="M156" s="938"/>
      <c r="N156" s="938"/>
      <c r="O156" s="938"/>
      <c r="P156" s="938"/>
      <c r="Q156" s="938"/>
      <c r="R156" s="938"/>
      <c r="S156" s="1144"/>
      <c r="T156" s="955"/>
      <c r="U156" s="955"/>
      <c r="V156" s="955"/>
      <c r="W156" s="955"/>
      <c r="X156" s="955"/>
      <c r="Y156" s="955"/>
      <c r="Z156" s="955"/>
      <c r="AA156" s="955"/>
      <c r="AB156" s="955"/>
      <c r="AC156" s="955"/>
      <c r="AD156" s="955"/>
      <c r="AE156" s="955"/>
      <c r="AF156" s="914"/>
    </row>
    <row r="157" spans="1:32" x14ac:dyDescent="0.2">
      <c r="A157" s="939" t="s">
        <v>220</v>
      </c>
      <c r="B157" s="926"/>
      <c r="C157" s="938"/>
      <c r="D157" s="938"/>
      <c r="E157" s="938"/>
      <c r="F157" s="938"/>
      <c r="G157" s="938"/>
      <c r="H157" s="938"/>
      <c r="I157" s="938"/>
      <c r="J157" s="938"/>
      <c r="K157" s="938"/>
      <c r="L157" s="938"/>
      <c r="M157" s="938"/>
      <c r="N157" s="938"/>
      <c r="O157" s="938"/>
      <c r="P157" s="938"/>
      <c r="Q157" s="938"/>
      <c r="R157" s="938"/>
      <c r="S157" s="1144"/>
      <c r="T157" s="955"/>
      <c r="U157" s="955"/>
      <c r="V157" s="955"/>
      <c r="W157" s="955"/>
      <c r="X157" s="955"/>
      <c r="Y157" s="955"/>
      <c r="Z157" s="955"/>
      <c r="AA157" s="955"/>
      <c r="AB157" s="955"/>
      <c r="AC157" s="955"/>
      <c r="AD157" s="955"/>
      <c r="AE157" s="955"/>
      <c r="AF157" s="914"/>
    </row>
    <row r="158" spans="1:32" x14ac:dyDescent="0.2">
      <c r="A158" s="940" t="s">
        <v>221</v>
      </c>
      <c r="B158" s="926"/>
      <c r="C158" s="941"/>
      <c r="D158" s="941"/>
      <c r="E158" s="941"/>
      <c r="F158" s="941"/>
      <c r="G158" s="941"/>
      <c r="H158" s="941"/>
      <c r="I158" s="941"/>
      <c r="J158" s="941"/>
      <c r="K158" s="941"/>
      <c r="L158" s="941"/>
      <c r="M158" s="941"/>
      <c r="N158" s="941"/>
      <c r="O158" s="941"/>
      <c r="P158" s="941"/>
      <c r="Q158" s="941"/>
      <c r="R158" s="941"/>
      <c r="S158" s="1145"/>
      <c r="T158" s="1105"/>
      <c r="U158" s="1105"/>
      <c r="V158" s="1105"/>
      <c r="W158" s="1105"/>
      <c r="X158" s="1105"/>
      <c r="Y158" s="1105"/>
      <c r="Z158" s="1105"/>
      <c r="AA158" s="1105"/>
      <c r="AB158" s="1105"/>
      <c r="AC158" s="1105"/>
      <c r="AD158" s="1105"/>
      <c r="AE158" s="1105"/>
      <c r="AF158" s="914"/>
    </row>
    <row r="159" spans="1:32" x14ac:dyDescent="0.2">
      <c r="A159" s="942" t="s">
        <v>222</v>
      </c>
      <c r="B159" s="926"/>
      <c r="C159" s="943"/>
      <c r="D159" s="943"/>
      <c r="E159" s="943"/>
      <c r="F159" s="943"/>
      <c r="G159" s="943"/>
      <c r="H159" s="943"/>
      <c r="I159" s="943"/>
      <c r="J159" s="943"/>
      <c r="K159" s="943"/>
      <c r="L159" s="943"/>
      <c r="M159" s="943"/>
      <c r="N159" s="943"/>
      <c r="O159" s="944"/>
      <c r="P159" s="944"/>
      <c r="Q159" s="944"/>
      <c r="R159" s="944"/>
      <c r="S159" s="1146"/>
      <c r="T159" s="1105"/>
      <c r="U159" s="1105"/>
      <c r="V159" s="1105"/>
      <c r="W159" s="1105"/>
      <c r="X159" s="1105"/>
      <c r="Y159" s="1105"/>
      <c r="Z159" s="1105"/>
      <c r="AA159" s="1105"/>
      <c r="AB159" s="1105"/>
      <c r="AC159" s="1105"/>
      <c r="AD159" s="1105"/>
      <c r="AE159" s="1105"/>
      <c r="AF159" s="914"/>
    </row>
    <row r="160" spans="1:32" x14ac:dyDescent="0.2">
      <c r="A160" s="942" t="s">
        <v>223</v>
      </c>
      <c r="B160" s="926"/>
      <c r="C160" s="943"/>
      <c r="D160" s="943"/>
      <c r="E160" s="943"/>
      <c r="F160" s="943"/>
      <c r="G160" s="943"/>
      <c r="H160" s="943"/>
      <c r="I160" s="943"/>
      <c r="J160" s="943"/>
      <c r="K160" s="943"/>
      <c r="L160" s="943"/>
      <c r="M160" s="943"/>
      <c r="N160" s="943"/>
      <c r="O160" s="944"/>
      <c r="P160" s="944"/>
      <c r="Q160" s="944"/>
      <c r="R160" s="944"/>
      <c r="S160" s="1146"/>
      <c r="T160" s="1105"/>
      <c r="U160" s="1105"/>
      <c r="V160" s="1105"/>
      <c r="W160" s="1105"/>
      <c r="X160" s="1105"/>
      <c r="Y160" s="1105"/>
      <c r="Z160" s="1105"/>
      <c r="AA160" s="1105"/>
      <c r="AB160" s="1105"/>
      <c r="AC160" s="1105"/>
      <c r="AD160" s="1105"/>
      <c r="AE160" s="1105"/>
      <c r="AF160" s="914"/>
    </row>
    <row r="161" spans="1:32" x14ac:dyDescent="0.2">
      <c r="A161" s="945" t="s">
        <v>224</v>
      </c>
      <c r="B161" s="926"/>
      <c r="C161" s="943"/>
      <c r="D161" s="943"/>
      <c r="E161" s="943"/>
      <c r="F161" s="943"/>
      <c r="G161" s="943"/>
      <c r="H161" s="943"/>
      <c r="I161" s="943"/>
      <c r="J161" s="943"/>
      <c r="K161" s="943"/>
      <c r="L161" s="943"/>
      <c r="M161" s="943"/>
      <c r="N161" s="943"/>
      <c r="O161" s="931"/>
      <c r="P161" s="931"/>
      <c r="Q161" s="931"/>
      <c r="R161" s="931"/>
      <c r="S161" s="1140"/>
      <c r="T161" s="1105"/>
      <c r="U161" s="1105"/>
      <c r="V161" s="1105"/>
      <c r="W161" s="1105"/>
      <c r="X161" s="1105"/>
      <c r="Y161" s="1105"/>
      <c r="Z161" s="1105"/>
      <c r="AA161" s="1105"/>
      <c r="AB161" s="1105"/>
      <c r="AC161" s="1105"/>
      <c r="AD161" s="1105"/>
      <c r="AE161" s="1105"/>
      <c r="AF161" s="914"/>
    </row>
    <row r="162" spans="1:32" x14ac:dyDescent="0.2">
      <c r="A162" s="942"/>
      <c r="B162" s="926"/>
      <c r="C162" s="944"/>
      <c r="D162" s="944"/>
      <c r="E162" s="944"/>
      <c r="F162" s="944"/>
      <c r="G162" s="944"/>
      <c r="H162" s="944"/>
      <c r="I162" s="944"/>
      <c r="J162" s="944"/>
      <c r="K162" s="944"/>
      <c r="L162" s="944"/>
      <c r="M162" s="944"/>
      <c r="N162" s="944"/>
      <c r="O162" s="944"/>
      <c r="P162" s="944"/>
      <c r="Q162" s="944"/>
      <c r="R162" s="944"/>
      <c r="S162" s="1146"/>
      <c r="T162" s="1105"/>
      <c r="U162" s="1105"/>
      <c r="V162" s="1105"/>
      <c r="W162" s="1105"/>
      <c r="X162" s="1105"/>
      <c r="Y162" s="1105"/>
      <c r="Z162" s="1105"/>
      <c r="AA162" s="1105"/>
      <c r="AB162" s="1105"/>
      <c r="AC162" s="1105"/>
      <c r="AD162" s="1105"/>
      <c r="AE162" s="1105"/>
      <c r="AF162" s="914"/>
    </row>
    <row r="163" spans="1:32" x14ac:dyDescent="0.2">
      <c r="A163" s="940" t="s">
        <v>225</v>
      </c>
      <c r="B163" s="926"/>
      <c r="C163" s="941">
        <f t="shared" ref="C163:S163" si="54">((C164-C165-C170)*C152+C155)*(1+C168)</f>
        <v>0</v>
      </c>
      <c r="D163" s="941">
        <f t="shared" si="54"/>
        <v>0</v>
      </c>
      <c r="E163" s="941">
        <f t="shared" si="54"/>
        <v>0</v>
      </c>
      <c r="F163" s="941">
        <f t="shared" si="54"/>
        <v>0</v>
      </c>
      <c r="G163" s="941">
        <f t="shared" si="54"/>
        <v>0</v>
      </c>
      <c r="H163" s="941">
        <f t="shared" si="54"/>
        <v>0</v>
      </c>
      <c r="I163" s="941">
        <f t="shared" si="54"/>
        <v>0</v>
      </c>
      <c r="J163" s="941">
        <f t="shared" si="54"/>
        <v>0</v>
      </c>
      <c r="K163" s="941">
        <f t="shared" si="54"/>
        <v>0</v>
      </c>
      <c r="L163" s="941">
        <f t="shared" si="54"/>
        <v>0</v>
      </c>
      <c r="M163" s="941">
        <f t="shared" si="54"/>
        <v>0</v>
      </c>
      <c r="N163" s="941">
        <f t="shared" si="54"/>
        <v>0</v>
      </c>
      <c r="O163" s="941">
        <f t="shared" si="54"/>
        <v>0</v>
      </c>
      <c r="P163" s="941">
        <f t="shared" si="54"/>
        <v>0</v>
      </c>
      <c r="Q163" s="941">
        <f t="shared" si="54"/>
        <v>0</v>
      </c>
      <c r="R163" s="941">
        <f t="shared" si="54"/>
        <v>0</v>
      </c>
      <c r="S163" s="1145">
        <f t="shared" si="54"/>
        <v>0</v>
      </c>
      <c r="T163" s="1105"/>
      <c r="U163" s="1105"/>
      <c r="V163" s="1105"/>
      <c r="W163" s="1105"/>
      <c r="X163" s="1105"/>
      <c r="Y163" s="1105"/>
      <c r="Z163" s="1105"/>
      <c r="AA163" s="1105"/>
      <c r="AB163" s="1105"/>
      <c r="AC163" s="1105"/>
      <c r="AD163" s="1105"/>
      <c r="AE163" s="1105"/>
      <c r="AF163" s="914"/>
    </row>
    <row r="164" spans="1:32" x14ac:dyDescent="0.2">
      <c r="A164" s="942" t="s">
        <v>226</v>
      </c>
      <c r="B164" s="926"/>
      <c r="C164" s="943"/>
      <c r="D164" s="943"/>
      <c r="E164" s="943"/>
      <c r="F164" s="943"/>
      <c r="G164" s="943"/>
      <c r="H164" s="943"/>
      <c r="I164" s="943"/>
      <c r="J164" s="943"/>
      <c r="K164" s="943"/>
      <c r="L164" s="943"/>
      <c r="M164" s="943"/>
      <c r="N164" s="943"/>
      <c r="O164" s="944"/>
      <c r="P164" s="944"/>
      <c r="Q164" s="944"/>
      <c r="R164" s="944"/>
      <c r="S164" s="1146"/>
      <c r="T164" s="1105"/>
      <c r="U164" s="1105"/>
      <c r="V164" s="1105"/>
      <c r="W164" s="1105"/>
      <c r="X164" s="1105"/>
      <c r="Y164" s="1105"/>
      <c r="Z164" s="1105"/>
      <c r="AA164" s="1105"/>
      <c r="AB164" s="1105"/>
      <c r="AC164" s="1105"/>
      <c r="AD164" s="1105"/>
      <c r="AE164" s="1105"/>
      <c r="AF164" s="914"/>
    </row>
    <row r="165" spans="1:32" x14ac:dyDescent="0.2">
      <c r="A165" s="942" t="s">
        <v>227</v>
      </c>
      <c r="B165" s="926"/>
      <c r="C165" s="943"/>
      <c r="D165" s="943"/>
      <c r="E165" s="943"/>
      <c r="F165" s="943"/>
      <c r="G165" s="943"/>
      <c r="H165" s="943"/>
      <c r="I165" s="943"/>
      <c r="J165" s="943"/>
      <c r="K165" s="943"/>
      <c r="L165" s="943"/>
      <c r="M165" s="943"/>
      <c r="N165" s="943"/>
      <c r="O165" s="944"/>
      <c r="P165" s="944"/>
      <c r="Q165" s="944"/>
      <c r="R165" s="944"/>
      <c r="S165" s="1146"/>
      <c r="T165" s="1105"/>
      <c r="U165" s="1105"/>
      <c r="V165" s="1105"/>
      <c r="W165" s="1105"/>
      <c r="X165" s="1105"/>
      <c r="Y165" s="1105"/>
      <c r="Z165" s="1105"/>
      <c r="AA165" s="1105"/>
      <c r="AB165" s="1105"/>
      <c r="AC165" s="1105"/>
      <c r="AD165" s="1105"/>
      <c r="AE165" s="1105"/>
      <c r="AF165" s="914"/>
    </row>
    <row r="166" spans="1:32" x14ac:dyDescent="0.2">
      <c r="A166" s="945" t="s">
        <v>228</v>
      </c>
      <c r="B166" s="926"/>
      <c r="C166" s="943"/>
      <c r="D166" s="943"/>
      <c r="E166" s="943"/>
      <c r="F166" s="943"/>
      <c r="G166" s="943"/>
      <c r="H166" s="943"/>
      <c r="I166" s="943"/>
      <c r="J166" s="943"/>
      <c r="K166" s="943"/>
      <c r="L166" s="943"/>
      <c r="M166" s="943"/>
      <c r="N166" s="943"/>
      <c r="O166" s="931"/>
      <c r="P166" s="931"/>
      <c r="Q166" s="931"/>
      <c r="R166" s="931"/>
      <c r="S166" s="1140"/>
      <c r="T166" s="1105"/>
      <c r="U166" s="1105"/>
      <c r="V166" s="1105"/>
      <c r="W166" s="1105"/>
      <c r="X166" s="1105"/>
      <c r="Y166" s="1105"/>
      <c r="Z166" s="1105"/>
      <c r="AA166" s="1105"/>
      <c r="AB166" s="1105"/>
      <c r="AC166" s="1105"/>
      <c r="AD166" s="1105"/>
      <c r="AE166" s="1105"/>
      <c r="AF166" s="914"/>
    </row>
    <row r="167" spans="1:32" x14ac:dyDescent="0.2">
      <c r="A167" s="942"/>
      <c r="B167" s="926"/>
      <c r="C167" s="944"/>
      <c r="D167" s="944"/>
      <c r="E167" s="944"/>
      <c r="F167" s="944"/>
      <c r="G167" s="944"/>
      <c r="H167" s="944"/>
      <c r="I167" s="944"/>
      <c r="J167" s="944"/>
      <c r="K167" s="944"/>
      <c r="L167" s="944"/>
      <c r="M167" s="944"/>
      <c r="N167" s="944"/>
      <c r="O167" s="944"/>
      <c r="P167" s="944"/>
      <c r="Q167" s="944"/>
      <c r="R167" s="944"/>
      <c r="S167" s="1146"/>
      <c r="T167" s="1105"/>
      <c r="U167" s="1105"/>
      <c r="V167" s="1105"/>
      <c r="W167" s="1105"/>
      <c r="X167" s="1105"/>
      <c r="Y167" s="1105"/>
      <c r="Z167" s="1105"/>
      <c r="AA167" s="1105"/>
      <c r="AB167" s="1105"/>
      <c r="AC167" s="1105"/>
      <c r="AD167" s="1105"/>
      <c r="AE167" s="1105"/>
      <c r="AF167" s="914"/>
    </row>
    <row r="168" spans="1:32" ht="15" x14ac:dyDescent="0.25">
      <c r="A168" s="946" t="s">
        <v>229</v>
      </c>
      <c r="B168" s="926"/>
      <c r="C168" s="947"/>
      <c r="D168" s="947"/>
      <c r="E168" s="947"/>
      <c r="F168" s="947"/>
      <c r="G168" s="947"/>
      <c r="H168" s="947"/>
      <c r="I168" s="947"/>
      <c r="J168" s="947"/>
      <c r="K168" s="947"/>
      <c r="L168" s="947"/>
      <c r="M168" s="947"/>
      <c r="N168" s="947"/>
      <c r="O168" s="947"/>
      <c r="P168" s="947"/>
      <c r="Q168" s="947"/>
      <c r="R168" s="947"/>
      <c r="S168" s="1147"/>
      <c r="T168" s="1111"/>
      <c r="U168" s="1111"/>
      <c r="V168" s="1111"/>
      <c r="W168" s="1111"/>
      <c r="X168" s="1111"/>
      <c r="Y168" s="1111"/>
      <c r="Z168" s="1111"/>
      <c r="AA168" s="1111"/>
      <c r="AB168" s="1111"/>
      <c r="AC168" s="1111"/>
      <c r="AD168" s="1111"/>
      <c r="AE168" s="1111"/>
      <c r="AF168" s="914"/>
    </row>
    <row r="169" spans="1:32" ht="15" x14ac:dyDescent="0.25">
      <c r="A169" s="948" t="s">
        <v>230</v>
      </c>
      <c r="B169" s="926"/>
      <c r="C169" s="949">
        <f>IF(C171&lt;=15,0,IF(AND(C171&gt;15,C171&lt;=20),ROUNDDOWN((C171*7.3-109.5)*35%,1),IF(AND(C171&gt;20,C171&lt;=25),ROUNDDOWN((C171*7.3-146)*45%+12.78,1),(ROUNDDOWN((C171*7.3-182.5)*30%+29.2,1)))))*(1-C22)*30%</f>
        <v>0</v>
      </c>
      <c r="D169" s="949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49">
        <f t="shared" si="55"/>
        <v>0</v>
      </c>
      <c r="F169" s="949">
        <f t="shared" si="55"/>
        <v>0</v>
      </c>
      <c r="G169" s="949">
        <f t="shared" si="55"/>
        <v>0</v>
      </c>
      <c r="H169" s="949">
        <f t="shared" si="55"/>
        <v>0</v>
      </c>
      <c r="I169" s="949">
        <f t="shared" si="55"/>
        <v>0</v>
      </c>
      <c r="J169" s="949">
        <f t="shared" si="55"/>
        <v>0</v>
      </c>
      <c r="K169" s="949">
        <f t="shared" si="55"/>
        <v>0</v>
      </c>
      <c r="L169" s="949">
        <f t="shared" si="55"/>
        <v>0</v>
      </c>
      <c r="M169" s="949">
        <f t="shared" si="55"/>
        <v>0</v>
      </c>
      <c r="N169" s="949">
        <f t="shared" si="55"/>
        <v>0</v>
      </c>
      <c r="O169" s="949">
        <f t="shared" si="55"/>
        <v>0</v>
      </c>
      <c r="P169" s="949">
        <f t="shared" si="55"/>
        <v>0</v>
      </c>
      <c r="Q169" s="949">
        <f t="shared" si="55"/>
        <v>0</v>
      </c>
      <c r="R169" s="949">
        <f t="shared" si="55"/>
        <v>0</v>
      </c>
      <c r="S169" s="1148">
        <f t="shared" si="55"/>
        <v>0</v>
      </c>
      <c r="T169" s="1112"/>
      <c r="U169" s="1112"/>
      <c r="V169" s="1112"/>
      <c r="W169" s="1112"/>
      <c r="X169" s="1112"/>
      <c r="Y169" s="1112"/>
      <c r="Z169" s="1112"/>
      <c r="AA169" s="1112"/>
      <c r="AB169" s="1112"/>
      <c r="AC169" s="1112"/>
      <c r="AD169" s="1112"/>
      <c r="AE169" s="1112"/>
      <c r="AF169" s="914"/>
    </row>
    <row r="170" spans="1:32" ht="15" x14ac:dyDescent="0.25">
      <c r="A170" s="950" t="s">
        <v>231</v>
      </c>
      <c r="B170" s="926"/>
      <c r="C170" s="951">
        <f t="shared" ref="C170:S170" si="56">C169</f>
        <v>0</v>
      </c>
      <c r="D170" s="951">
        <f t="shared" si="56"/>
        <v>0</v>
      </c>
      <c r="E170" s="951">
        <f t="shared" si="56"/>
        <v>0</v>
      </c>
      <c r="F170" s="951">
        <f t="shared" si="56"/>
        <v>0</v>
      </c>
      <c r="G170" s="951">
        <f t="shared" si="56"/>
        <v>0</v>
      </c>
      <c r="H170" s="951">
        <f t="shared" si="56"/>
        <v>0</v>
      </c>
      <c r="I170" s="951">
        <f t="shared" si="56"/>
        <v>0</v>
      </c>
      <c r="J170" s="951">
        <f t="shared" si="56"/>
        <v>0</v>
      </c>
      <c r="K170" s="951">
        <f t="shared" si="56"/>
        <v>0</v>
      </c>
      <c r="L170" s="951">
        <f t="shared" si="56"/>
        <v>0</v>
      </c>
      <c r="M170" s="951">
        <f t="shared" si="56"/>
        <v>0</v>
      </c>
      <c r="N170" s="951">
        <f t="shared" si="56"/>
        <v>0</v>
      </c>
      <c r="O170" s="951">
        <f t="shared" si="56"/>
        <v>0</v>
      </c>
      <c r="P170" s="951">
        <f t="shared" si="56"/>
        <v>0</v>
      </c>
      <c r="Q170" s="951">
        <f t="shared" si="56"/>
        <v>0</v>
      </c>
      <c r="R170" s="951">
        <f t="shared" si="56"/>
        <v>0</v>
      </c>
      <c r="S170" s="1149">
        <f t="shared" si="56"/>
        <v>0</v>
      </c>
      <c r="T170" s="1112"/>
      <c r="U170" s="1112"/>
      <c r="V170" s="1112"/>
      <c r="W170" s="1112"/>
      <c r="X170" s="1112"/>
      <c r="Y170" s="1112"/>
      <c r="Z170" s="1112"/>
      <c r="AA170" s="1112"/>
      <c r="AB170" s="1112"/>
      <c r="AC170" s="1112"/>
      <c r="AD170" s="1112"/>
      <c r="AE170" s="1112"/>
      <c r="AF170" s="914"/>
    </row>
    <row r="171" spans="1:32" ht="15" x14ac:dyDescent="0.25">
      <c r="A171" s="952" t="s">
        <v>232</v>
      </c>
      <c r="B171" s="953" t="s">
        <v>233</v>
      </c>
      <c r="C171" s="954"/>
      <c r="D171" s="954"/>
      <c r="E171" s="954"/>
      <c r="F171" s="954"/>
      <c r="G171" s="954"/>
      <c r="H171" s="954"/>
      <c r="I171" s="954"/>
      <c r="J171" s="954"/>
      <c r="K171" s="954"/>
      <c r="L171" s="954"/>
      <c r="M171" s="954"/>
      <c r="N171" s="954"/>
      <c r="O171" s="951"/>
      <c r="P171" s="951"/>
      <c r="Q171" s="951"/>
      <c r="R171" s="951"/>
      <c r="S171" s="1149"/>
      <c r="T171" s="955"/>
      <c r="U171" s="955"/>
      <c r="V171" s="955"/>
      <c r="W171" s="955"/>
      <c r="X171" s="955"/>
      <c r="Y171" s="955"/>
      <c r="Z171" s="955"/>
      <c r="AA171" s="955"/>
      <c r="AB171" s="955"/>
      <c r="AC171" s="955"/>
      <c r="AD171" s="955"/>
      <c r="AE171" s="955"/>
      <c r="AF171" s="914"/>
    </row>
    <row r="172" spans="1:32" ht="15" x14ac:dyDescent="0.25">
      <c r="A172" s="956"/>
      <c r="B172" s="926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102"/>
      <c r="U172" s="1102"/>
      <c r="V172" s="1102"/>
      <c r="W172" s="1102"/>
      <c r="X172" s="1102"/>
      <c r="Y172" s="1102"/>
      <c r="Z172" s="1102"/>
      <c r="AA172" s="1102"/>
      <c r="AB172" s="1102"/>
      <c r="AC172" s="1102"/>
      <c r="AD172" s="1102"/>
      <c r="AE172" s="1102"/>
      <c r="AF172" s="914"/>
    </row>
    <row r="173" spans="1:32" ht="15" x14ac:dyDescent="0.25">
      <c r="A173" s="957" t="s">
        <v>234</v>
      </c>
      <c r="B173" s="926"/>
      <c r="C173" s="958">
        <f>+DATE(C10,1,1)</f>
        <v>44562</v>
      </c>
      <c r="D173" s="958">
        <f>C173</f>
        <v>44562</v>
      </c>
      <c r="E173" s="958">
        <f t="shared" ref="E173:S173" si="57">D173</f>
        <v>44562</v>
      </c>
      <c r="F173" s="958">
        <f t="shared" si="57"/>
        <v>44562</v>
      </c>
      <c r="G173" s="958">
        <f t="shared" si="57"/>
        <v>44562</v>
      </c>
      <c r="H173" s="958">
        <f t="shared" si="57"/>
        <v>44562</v>
      </c>
      <c r="I173" s="958">
        <f t="shared" si="57"/>
        <v>44562</v>
      </c>
      <c r="J173" s="958">
        <f t="shared" si="57"/>
        <v>44562</v>
      </c>
      <c r="K173" s="958">
        <f t="shared" si="57"/>
        <v>44562</v>
      </c>
      <c r="L173" s="958">
        <f t="shared" si="57"/>
        <v>44562</v>
      </c>
      <c r="M173" s="958">
        <f t="shared" si="57"/>
        <v>44562</v>
      </c>
      <c r="N173" s="958">
        <f t="shared" si="57"/>
        <v>44562</v>
      </c>
      <c r="O173" s="958">
        <f t="shared" si="57"/>
        <v>44562</v>
      </c>
      <c r="P173" s="958">
        <f t="shared" si="57"/>
        <v>44562</v>
      </c>
      <c r="Q173" s="958">
        <f t="shared" si="57"/>
        <v>44562</v>
      </c>
      <c r="R173" s="958">
        <f t="shared" si="57"/>
        <v>44562</v>
      </c>
      <c r="S173" s="958">
        <f t="shared" si="57"/>
        <v>44562</v>
      </c>
      <c r="T173" s="1104"/>
      <c r="U173" s="1104"/>
      <c r="V173" s="1104"/>
      <c r="W173" s="1104"/>
      <c r="X173" s="1104"/>
      <c r="Y173" s="1104"/>
      <c r="Z173" s="1104"/>
      <c r="AA173" s="1104"/>
      <c r="AB173" s="1104"/>
      <c r="AC173" s="1104"/>
      <c r="AD173" s="1104"/>
      <c r="AE173" s="1104"/>
      <c r="AF173" s="914"/>
    </row>
    <row r="174" spans="1:32" ht="25.5" x14ac:dyDescent="0.25">
      <c r="A174" s="959" t="s">
        <v>235</v>
      </c>
      <c r="B174" s="926"/>
      <c r="C174" s="960"/>
      <c r="D174" s="960"/>
      <c r="E174" s="960"/>
      <c r="F174" s="960"/>
      <c r="G174" s="960"/>
      <c r="H174" s="960"/>
      <c r="I174" s="960"/>
      <c r="J174" s="960"/>
      <c r="K174" s="960"/>
      <c r="L174" s="960"/>
      <c r="M174" s="960"/>
      <c r="N174" s="960"/>
      <c r="O174" s="960"/>
      <c r="P174" s="960"/>
      <c r="Q174" s="960"/>
      <c r="R174" s="960"/>
      <c r="S174" s="1150"/>
      <c r="T174" s="1113"/>
      <c r="U174" s="1113"/>
      <c r="V174" s="1113"/>
      <c r="W174" s="1113"/>
      <c r="X174" s="1113"/>
      <c r="Y174" s="1113"/>
      <c r="Z174" s="1113"/>
      <c r="AA174" s="1113"/>
      <c r="AB174" s="1113"/>
      <c r="AC174" s="1113"/>
      <c r="AD174" s="1113"/>
      <c r="AE174" s="1113"/>
      <c r="AF174" s="914"/>
    </row>
    <row r="175" spans="1:32" x14ac:dyDescent="0.25">
      <c r="A175" s="961" t="s">
        <v>236</v>
      </c>
      <c r="B175" s="962"/>
      <c r="C175" s="963">
        <f>C179-C181</f>
        <v>0</v>
      </c>
      <c r="D175" s="963">
        <f t="shared" ref="C175:S176" si="58">D179-D181</f>
        <v>0</v>
      </c>
      <c r="E175" s="963">
        <f t="shared" si="58"/>
        <v>0</v>
      </c>
      <c r="F175" s="963">
        <f t="shared" si="58"/>
        <v>0</v>
      </c>
      <c r="G175" s="963">
        <f t="shared" si="58"/>
        <v>0</v>
      </c>
      <c r="H175" s="963">
        <f t="shared" si="58"/>
        <v>0</v>
      </c>
      <c r="I175" s="963">
        <f t="shared" si="58"/>
        <v>0</v>
      </c>
      <c r="J175" s="963">
        <f t="shared" si="58"/>
        <v>0</v>
      </c>
      <c r="K175" s="963">
        <f t="shared" si="58"/>
        <v>0</v>
      </c>
      <c r="L175" s="963">
        <f t="shared" si="58"/>
        <v>0</v>
      </c>
      <c r="M175" s="963">
        <f t="shared" si="58"/>
        <v>0</v>
      </c>
      <c r="N175" s="963">
        <f t="shared" si="58"/>
        <v>0</v>
      </c>
      <c r="O175" s="963">
        <f t="shared" si="58"/>
        <v>0</v>
      </c>
      <c r="P175" s="963">
        <f t="shared" si="58"/>
        <v>0</v>
      </c>
      <c r="Q175" s="963">
        <f t="shared" si="58"/>
        <v>0</v>
      </c>
      <c r="R175" s="963">
        <f t="shared" si="58"/>
        <v>0</v>
      </c>
      <c r="S175" s="1151">
        <f t="shared" si="58"/>
        <v>0</v>
      </c>
      <c r="T175" s="1113"/>
      <c r="U175" s="1113"/>
      <c r="V175" s="1113"/>
      <c r="W175" s="1113"/>
      <c r="X175" s="1113"/>
      <c r="Y175" s="1113"/>
      <c r="Z175" s="1113"/>
      <c r="AA175" s="1113"/>
      <c r="AB175" s="1113"/>
      <c r="AC175" s="1113"/>
      <c r="AD175" s="1113"/>
      <c r="AE175" s="1113"/>
      <c r="AF175" s="914"/>
    </row>
    <row r="176" spans="1:32" x14ac:dyDescent="0.25">
      <c r="A176" s="961" t="s">
        <v>237</v>
      </c>
      <c r="B176" s="962"/>
      <c r="C176" s="963">
        <f t="shared" si="58"/>
        <v>0</v>
      </c>
      <c r="D176" s="963">
        <f t="shared" si="58"/>
        <v>0</v>
      </c>
      <c r="E176" s="963">
        <f t="shared" si="58"/>
        <v>0</v>
      </c>
      <c r="F176" s="963">
        <f t="shared" si="58"/>
        <v>0</v>
      </c>
      <c r="G176" s="963">
        <f t="shared" si="58"/>
        <v>0</v>
      </c>
      <c r="H176" s="963">
        <f t="shared" si="58"/>
        <v>0</v>
      </c>
      <c r="I176" s="963">
        <f t="shared" si="58"/>
        <v>0</v>
      </c>
      <c r="J176" s="963">
        <f t="shared" si="58"/>
        <v>0</v>
      </c>
      <c r="K176" s="963">
        <f t="shared" si="58"/>
        <v>0</v>
      </c>
      <c r="L176" s="963">
        <f t="shared" si="58"/>
        <v>0</v>
      </c>
      <c r="M176" s="963">
        <f t="shared" si="58"/>
        <v>0</v>
      </c>
      <c r="N176" s="963">
        <f t="shared" si="58"/>
        <v>0</v>
      </c>
      <c r="O176" s="963">
        <f t="shared" si="58"/>
        <v>0</v>
      </c>
      <c r="P176" s="963">
        <f t="shared" si="58"/>
        <v>0</v>
      </c>
      <c r="Q176" s="963">
        <f t="shared" si="58"/>
        <v>0</v>
      </c>
      <c r="R176" s="963">
        <f t="shared" si="58"/>
        <v>0</v>
      </c>
      <c r="S176" s="1151">
        <f t="shared" si="58"/>
        <v>0</v>
      </c>
      <c r="T176" s="1113"/>
      <c r="U176" s="1113"/>
      <c r="V176" s="1113"/>
      <c r="W176" s="1113"/>
      <c r="X176" s="1113"/>
      <c r="Y176" s="1113"/>
      <c r="Z176" s="1113"/>
      <c r="AA176" s="1113"/>
      <c r="AB176" s="1113"/>
      <c r="AC176" s="1113"/>
      <c r="AD176" s="1113"/>
      <c r="AE176" s="1113"/>
      <c r="AF176" s="914"/>
    </row>
    <row r="177" spans="1:32" x14ac:dyDescent="0.25">
      <c r="A177" s="964" t="s">
        <v>238</v>
      </c>
      <c r="B177" s="962"/>
      <c r="C177" s="1167"/>
      <c r="D177" s="1167"/>
      <c r="E177" s="1167"/>
      <c r="F177" s="1167"/>
      <c r="G177" s="1167"/>
      <c r="H177" s="1167"/>
      <c r="I177" s="1167"/>
      <c r="J177" s="1167"/>
      <c r="K177" s="1167"/>
      <c r="L177" s="1167"/>
      <c r="M177" s="1167"/>
      <c r="N177" s="1167"/>
      <c r="O177" s="1167"/>
      <c r="P177" s="1167"/>
      <c r="Q177" s="1167"/>
      <c r="R177" s="1167"/>
      <c r="S177" s="1168"/>
      <c r="T177" s="1114"/>
      <c r="U177" s="1114"/>
      <c r="V177" s="1114"/>
      <c r="W177" s="1114"/>
      <c r="X177" s="1114"/>
      <c r="Y177" s="1114"/>
      <c r="Z177" s="1114"/>
      <c r="AA177" s="1114"/>
      <c r="AB177" s="1114"/>
      <c r="AC177" s="1114"/>
      <c r="AD177" s="1114"/>
      <c r="AE177" s="1114"/>
      <c r="AF177" s="914"/>
    </row>
    <row r="178" spans="1:32" x14ac:dyDescent="0.25">
      <c r="A178" s="964" t="s">
        <v>239</v>
      </c>
      <c r="B178" s="962"/>
      <c r="C178" s="1167"/>
      <c r="D178" s="1167"/>
      <c r="E178" s="1167"/>
      <c r="F178" s="1167"/>
      <c r="G178" s="1167"/>
      <c r="H178" s="1167"/>
      <c r="I178" s="1167"/>
      <c r="J178" s="1167"/>
      <c r="K178" s="1167"/>
      <c r="L178" s="1167"/>
      <c r="M178" s="1167"/>
      <c r="N178" s="1167"/>
      <c r="O178" s="1167"/>
      <c r="P178" s="1167"/>
      <c r="Q178" s="1167"/>
      <c r="R178" s="1167"/>
      <c r="S178" s="1168"/>
      <c r="T178" s="1114"/>
      <c r="U178" s="1114"/>
      <c r="V178" s="1114"/>
      <c r="W178" s="1114"/>
      <c r="X178" s="1114"/>
      <c r="Y178" s="1114"/>
      <c r="Z178" s="1114"/>
      <c r="AA178" s="1114"/>
      <c r="AB178" s="1114"/>
      <c r="AC178" s="1114"/>
      <c r="AD178" s="1114"/>
      <c r="AE178" s="1114"/>
      <c r="AF178" s="914"/>
    </row>
    <row r="179" spans="1:32" x14ac:dyDescent="0.25">
      <c r="A179" s="964" t="s">
        <v>221</v>
      </c>
      <c r="B179" s="962"/>
      <c r="C179" s="966"/>
      <c r="D179" s="966"/>
      <c r="E179" s="966"/>
      <c r="F179" s="966"/>
      <c r="G179" s="966"/>
      <c r="H179" s="966"/>
      <c r="I179" s="966"/>
      <c r="J179" s="966"/>
      <c r="K179" s="966"/>
      <c r="L179" s="966"/>
      <c r="M179" s="966"/>
      <c r="N179" s="966"/>
      <c r="O179" s="966"/>
      <c r="P179" s="966"/>
      <c r="Q179" s="966"/>
      <c r="R179" s="966"/>
      <c r="S179" s="1153"/>
      <c r="T179" s="1115"/>
      <c r="U179" s="1115"/>
      <c r="V179" s="1115"/>
      <c r="W179" s="1115"/>
      <c r="X179" s="1115"/>
      <c r="Y179" s="1115"/>
      <c r="Z179" s="1115"/>
      <c r="AA179" s="1115"/>
      <c r="AB179" s="1115"/>
      <c r="AC179" s="1115"/>
      <c r="AD179" s="1115"/>
      <c r="AE179" s="1115"/>
      <c r="AF179" s="914"/>
    </row>
    <row r="180" spans="1:32" x14ac:dyDescent="0.25">
      <c r="A180" s="964" t="s">
        <v>225</v>
      </c>
      <c r="B180" s="962"/>
      <c r="C180" s="966">
        <f t="shared" ref="C180:S180" si="59">C163</f>
        <v>0</v>
      </c>
      <c r="D180" s="966">
        <f t="shared" si="59"/>
        <v>0</v>
      </c>
      <c r="E180" s="966">
        <f t="shared" si="59"/>
        <v>0</v>
      </c>
      <c r="F180" s="966">
        <f t="shared" si="59"/>
        <v>0</v>
      </c>
      <c r="G180" s="966">
        <f t="shared" si="59"/>
        <v>0</v>
      </c>
      <c r="H180" s="966">
        <f t="shared" si="59"/>
        <v>0</v>
      </c>
      <c r="I180" s="966">
        <f t="shared" si="59"/>
        <v>0</v>
      </c>
      <c r="J180" s="966">
        <f t="shared" si="59"/>
        <v>0</v>
      </c>
      <c r="K180" s="966">
        <f t="shared" si="59"/>
        <v>0</v>
      </c>
      <c r="L180" s="966">
        <f t="shared" si="59"/>
        <v>0</v>
      </c>
      <c r="M180" s="966">
        <f t="shared" si="59"/>
        <v>0</v>
      </c>
      <c r="N180" s="966">
        <f t="shared" si="59"/>
        <v>0</v>
      </c>
      <c r="O180" s="966">
        <f t="shared" si="59"/>
        <v>0</v>
      </c>
      <c r="P180" s="966">
        <f t="shared" si="59"/>
        <v>0</v>
      </c>
      <c r="Q180" s="966">
        <f t="shared" si="59"/>
        <v>0</v>
      </c>
      <c r="R180" s="966">
        <f t="shared" si="59"/>
        <v>0</v>
      </c>
      <c r="S180" s="1153">
        <f t="shared" si="59"/>
        <v>0</v>
      </c>
      <c r="T180" s="1115"/>
      <c r="U180" s="1115"/>
      <c r="V180" s="1115"/>
      <c r="W180" s="1115"/>
      <c r="X180" s="1115"/>
      <c r="Y180" s="1115"/>
      <c r="Z180" s="1115"/>
      <c r="AA180" s="1115"/>
      <c r="AB180" s="1115"/>
      <c r="AC180" s="1115"/>
      <c r="AD180" s="1115"/>
      <c r="AE180" s="1115"/>
      <c r="AF180" s="914"/>
    </row>
    <row r="181" spans="1:32" x14ac:dyDescent="0.25">
      <c r="A181" s="964" t="s">
        <v>240</v>
      </c>
      <c r="B181" s="962"/>
      <c r="C181" s="1169"/>
      <c r="D181" s="1169"/>
      <c r="E181" s="1169"/>
      <c r="F181" s="1169"/>
      <c r="G181" s="1169"/>
      <c r="H181" s="1169"/>
      <c r="I181" s="1169"/>
      <c r="J181" s="1169"/>
      <c r="K181" s="1169"/>
      <c r="L181" s="1169"/>
      <c r="M181" s="1169"/>
      <c r="N181" s="1169"/>
      <c r="O181" s="1169"/>
      <c r="P181" s="1169"/>
      <c r="Q181" s="1169"/>
      <c r="R181" s="1169"/>
      <c r="S181" s="1170"/>
      <c r="T181" s="1113"/>
      <c r="U181" s="1113"/>
      <c r="V181" s="1113"/>
      <c r="W181" s="1113"/>
      <c r="X181" s="1113"/>
      <c r="Y181" s="1113"/>
      <c r="Z181" s="1113"/>
      <c r="AA181" s="1113"/>
      <c r="AB181" s="1113"/>
      <c r="AC181" s="1113"/>
      <c r="AD181" s="1113"/>
      <c r="AE181" s="1113"/>
      <c r="AF181" s="914"/>
    </row>
    <row r="182" spans="1:32" x14ac:dyDescent="0.25">
      <c r="A182" s="964" t="s">
        <v>241</v>
      </c>
      <c r="B182" s="962"/>
      <c r="C182" s="1169"/>
      <c r="D182" s="1169"/>
      <c r="E182" s="1169"/>
      <c r="F182" s="1169"/>
      <c r="G182" s="1169"/>
      <c r="H182" s="1169"/>
      <c r="I182" s="1169"/>
      <c r="J182" s="1169"/>
      <c r="K182" s="1169"/>
      <c r="L182" s="1169"/>
      <c r="M182" s="1169"/>
      <c r="N182" s="1169"/>
      <c r="O182" s="1169"/>
      <c r="P182" s="1169"/>
      <c r="Q182" s="1169"/>
      <c r="R182" s="1169"/>
      <c r="S182" s="1170"/>
      <c r="T182" s="1113"/>
      <c r="U182" s="1113"/>
      <c r="V182" s="1113"/>
      <c r="W182" s="1113"/>
      <c r="X182" s="1113"/>
      <c r="Y182" s="1113"/>
      <c r="Z182" s="1113"/>
      <c r="AA182" s="1113"/>
      <c r="AB182" s="1113"/>
      <c r="AC182" s="1113"/>
      <c r="AD182" s="1113"/>
      <c r="AE182" s="1113"/>
      <c r="AF182" s="914"/>
    </row>
    <row r="183" spans="1:32" x14ac:dyDescent="0.25">
      <c r="A183" s="964" t="s">
        <v>242</v>
      </c>
      <c r="B183" s="962"/>
      <c r="C183" s="963">
        <f t="shared" ref="C183:S184" si="60">IF(2000+C175&gt;2000,2000,IF(2000+C175&lt;0,0,(2000+C175)))</f>
        <v>2000</v>
      </c>
      <c r="D183" s="963">
        <f t="shared" si="60"/>
        <v>2000</v>
      </c>
      <c r="E183" s="963">
        <f t="shared" si="60"/>
        <v>2000</v>
      </c>
      <c r="F183" s="963">
        <f t="shared" si="60"/>
        <v>2000</v>
      </c>
      <c r="G183" s="963">
        <f t="shared" si="60"/>
        <v>2000</v>
      </c>
      <c r="H183" s="963">
        <f t="shared" si="60"/>
        <v>2000</v>
      </c>
      <c r="I183" s="963">
        <f t="shared" si="60"/>
        <v>2000</v>
      </c>
      <c r="J183" s="963">
        <f t="shared" si="60"/>
        <v>2000</v>
      </c>
      <c r="K183" s="963">
        <f t="shared" si="60"/>
        <v>2000</v>
      </c>
      <c r="L183" s="963">
        <f t="shared" si="60"/>
        <v>2000</v>
      </c>
      <c r="M183" s="963">
        <f t="shared" si="60"/>
        <v>2000</v>
      </c>
      <c r="N183" s="963">
        <f t="shared" si="60"/>
        <v>2000</v>
      </c>
      <c r="O183" s="963">
        <f t="shared" si="60"/>
        <v>2000</v>
      </c>
      <c r="P183" s="963">
        <f t="shared" si="60"/>
        <v>2000</v>
      </c>
      <c r="Q183" s="963">
        <f t="shared" si="60"/>
        <v>2000</v>
      </c>
      <c r="R183" s="963">
        <f t="shared" si="60"/>
        <v>2000</v>
      </c>
      <c r="S183" s="1151">
        <f t="shared" si="60"/>
        <v>2000</v>
      </c>
      <c r="T183" s="1113"/>
      <c r="U183" s="1113"/>
      <c r="V183" s="1113"/>
      <c r="W183" s="1113"/>
      <c r="X183" s="1113"/>
      <c r="Y183" s="1113"/>
      <c r="Z183" s="1113"/>
      <c r="AA183" s="1113"/>
      <c r="AB183" s="1113"/>
      <c r="AC183" s="1113"/>
      <c r="AD183" s="1113"/>
      <c r="AE183" s="1113"/>
      <c r="AF183" s="914"/>
    </row>
    <row r="184" spans="1:32" x14ac:dyDescent="0.25">
      <c r="A184" s="964" t="s">
        <v>243</v>
      </c>
      <c r="B184" s="962"/>
      <c r="C184" s="963">
        <f>IF(2000+C176&gt;2000,2000,IF(2000+C176&lt;0,0,(2000+C176)))</f>
        <v>2000</v>
      </c>
      <c r="D184" s="963">
        <f t="shared" si="60"/>
        <v>2000</v>
      </c>
      <c r="E184" s="963">
        <f t="shared" si="60"/>
        <v>2000</v>
      </c>
      <c r="F184" s="963">
        <f t="shared" si="60"/>
        <v>2000</v>
      </c>
      <c r="G184" s="963">
        <f t="shared" si="60"/>
        <v>2000</v>
      </c>
      <c r="H184" s="963">
        <f t="shared" si="60"/>
        <v>2000</v>
      </c>
      <c r="I184" s="963">
        <f t="shared" si="60"/>
        <v>2000</v>
      </c>
      <c r="J184" s="963">
        <f t="shared" si="60"/>
        <v>2000</v>
      </c>
      <c r="K184" s="963">
        <f t="shared" si="60"/>
        <v>2000</v>
      </c>
      <c r="L184" s="963">
        <f t="shared" si="60"/>
        <v>2000</v>
      </c>
      <c r="M184" s="963">
        <f t="shared" si="60"/>
        <v>2000</v>
      </c>
      <c r="N184" s="963">
        <f t="shared" si="60"/>
        <v>2000</v>
      </c>
      <c r="O184" s="963">
        <f t="shared" si="60"/>
        <v>2000</v>
      </c>
      <c r="P184" s="963">
        <f t="shared" si="60"/>
        <v>2000</v>
      </c>
      <c r="Q184" s="963">
        <f t="shared" si="60"/>
        <v>2000</v>
      </c>
      <c r="R184" s="963">
        <f t="shared" si="60"/>
        <v>2000</v>
      </c>
      <c r="S184" s="1151">
        <f t="shared" si="60"/>
        <v>2000</v>
      </c>
      <c r="T184" s="1113"/>
      <c r="U184" s="1113"/>
      <c r="V184" s="1113"/>
      <c r="W184" s="1113"/>
      <c r="X184" s="1113"/>
      <c r="Y184" s="1113"/>
      <c r="Z184" s="1113"/>
      <c r="AA184" s="1113"/>
      <c r="AB184" s="1113"/>
      <c r="AC184" s="1113"/>
      <c r="AD184" s="1113"/>
      <c r="AE184" s="1113"/>
      <c r="AF184" s="914"/>
    </row>
    <row r="185" spans="1:32" x14ac:dyDescent="0.25">
      <c r="A185" s="964" t="s">
        <v>244</v>
      </c>
      <c r="B185" s="962"/>
      <c r="C185" s="1169"/>
      <c r="D185" s="1169"/>
      <c r="E185" s="1169"/>
      <c r="F185" s="1169"/>
      <c r="G185" s="1169"/>
      <c r="H185" s="1169"/>
      <c r="I185" s="1169"/>
      <c r="J185" s="1169"/>
      <c r="K185" s="1169"/>
      <c r="L185" s="1169"/>
      <c r="M185" s="1169"/>
      <c r="N185" s="1169"/>
      <c r="O185" s="1169"/>
      <c r="P185" s="1169"/>
      <c r="Q185" s="1169"/>
      <c r="R185" s="1169"/>
      <c r="S185" s="1170"/>
      <c r="T185" s="1113"/>
      <c r="U185" s="1113"/>
      <c r="V185" s="1113"/>
      <c r="W185" s="1113"/>
      <c r="X185" s="1113"/>
      <c r="Y185" s="1113"/>
      <c r="Z185" s="1113"/>
      <c r="AA185" s="1113"/>
      <c r="AB185" s="1113"/>
      <c r="AC185" s="1113"/>
      <c r="AD185" s="1113"/>
      <c r="AE185" s="1113"/>
      <c r="AF185" s="914"/>
    </row>
    <row r="186" spans="1:32" x14ac:dyDescent="0.25">
      <c r="A186" s="964" t="s">
        <v>245</v>
      </c>
      <c r="B186" s="962"/>
      <c r="C186" s="1169"/>
      <c r="D186" s="1169"/>
      <c r="E186" s="1169"/>
      <c r="F186" s="1169"/>
      <c r="G186" s="1169"/>
      <c r="H186" s="1169"/>
      <c r="I186" s="1169"/>
      <c r="J186" s="1169"/>
      <c r="K186" s="1169"/>
      <c r="L186" s="1169"/>
      <c r="M186" s="1169"/>
      <c r="N186" s="1169"/>
      <c r="O186" s="1169"/>
      <c r="P186" s="1169"/>
      <c r="Q186" s="1169"/>
      <c r="R186" s="1169"/>
      <c r="S186" s="1170"/>
      <c r="T186" s="1113"/>
      <c r="U186" s="1113"/>
      <c r="V186" s="1113"/>
      <c r="W186" s="1113"/>
      <c r="X186" s="1113"/>
      <c r="Y186" s="1113"/>
      <c r="Z186" s="1113"/>
      <c r="AA186" s="1113"/>
      <c r="AB186" s="1113"/>
      <c r="AC186" s="1113"/>
      <c r="AD186" s="1113"/>
      <c r="AE186" s="1113"/>
      <c r="AF186" s="914"/>
    </row>
    <row r="187" spans="1:32" x14ac:dyDescent="0.25">
      <c r="A187" s="964" t="s">
        <v>246</v>
      </c>
      <c r="B187" s="962"/>
      <c r="C187" s="963">
        <f t="shared" ref="C187:S188" si="61">C179-C185</f>
        <v>0</v>
      </c>
      <c r="D187" s="963">
        <f t="shared" si="61"/>
        <v>0</v>
      </c>
      <c r="E187" s="963">
        <f t="shared" si="61"/>
        <v>0</v>
      </c>
      <c r="F187" s="963">
        <f t="shared" si="61"/>
        <v>0</v>
      </c>
      <c r="G187" s="963">
        <f t="shared" si="61"/>
        <v>0</v>
      </c>
      <c r="H187" s="963">
        <f t="shared" si="61"/>
        <v>0</v>
      </c>
      <c r="I187" s="963">
        <f t="shared" si="61"/>
        <v>0</v>
      </c>
      <c r="J187" s="963">
        <f t="shared" si="61"/>
        <v>0</v>
      </c>
      <c r="K187" s="963">
        <f t="shared" si="61"/>
        <v>0</v>
      </c>
      <c r="L187" s="963">
        <f t="shared" si="61"/>
        <v>0</v>
      </c>
      <c r="M187" s="963">
        <f t="shared" si="61"/>
        <v>0</v>
      </c>
      <c r="N187" s="963">
        <f t="shared" si="61"/>
        <v>0</v>
      </c>
      <c r="O187" s="963">
        <f t="shared" si="61"/>
        <v>0</v>
      </c>
      <c r="P187" s="963">
        <f t="shared" si="61"/>
        <v>0</v>
      </c>
      <c r="Q187" s="963">
        <f t="shared" si="61"/>
        <v>0</v>
      </c>
      <c r="R187" s="963">
        <f t="shared" si="61"/>
        <v>0</v>
      </c>
      <c r="S187" s="1151">
        <f t="shared" si="61"/>
        <v>0</v>
      </c>
      <c r="T187" s="1113"/>
      <c r="U187" s="1113"/>
      <c r="V187" s="1113"/>
      <c r="W187" s="1113"/>
      <c r="X187" s="1113"/>
      <c r="Y187" s="1113"/>
      <c r="Z187" s="1113"/>
      <c r="AA187" s="1113"/>
      <c r="AB187" s="1113"/>
      <c r="AC187" s="1113"/>
      <c r="AD187" s="1113"/>
      <c r="AE187" s="1113"/>
      <c r="AF187" s="914"/>
    </row>
    <row r="188" spans="1:32" x14ac:dyDescent="0.25">
      <c r="A188" s="964" t="s">
        <v>247</v>
      </c>
      <c r="B188" s="962"/>
      <c r="C188" s="963">
        <f t="shared" si="61"/>
        <v>0</v>
      </c>
      <c r="D188" s="963">
        <f t="shared" si="61"/>
        <v>0</v>
      </c>
      <c r="E188" s="963">
        <f t="shared" si="61"/>
        <v>0</v>
      </c>
      <c r="F188" s="963">
        <f t="shared" si="61"/>
        <v>0</v>
      </c>
      <c r="G188" s="963">
        <f t="shared" si="61"/>
        <v>0</v>
      </c>
      <c r="H188" s="963">
        <f t="shared" si="61"/>
        <v>0</v>
      </c>
      <c r="I188" s="963">
        <f t="shared" si="61"/>
        <v>0</v>
      </c>
      <c r="J188" s="963">
        <f t="shared" si="61"/>
        <v>0</v>
      </c>
      <c r="K188" s="963">
        <f t="shared" si="61"/>
        <v>0</v>
      </c>
      <c r="L188" s="963">
        <f t="shared" si="61"/>
        <v>0</v>
      </c>
      <c r="M188" s="963">
        <f t="shared" si="61"/>
        <v>0</v>
      </c>
      <c r="N188" s="963">
        <f t="shared" si="61"/>
        <v>0</v>
      </c>
      <c r="O188" s="963">
        <f t="shared" si="61"/>
        <v>0</v>
      </c>
      <c r="P188" s="963">
        <f t="shared" si="61"/>
        <v>0</v>
      </c>
      <c r="Q188" s="963">
        <f t="shared" si="61"/>
        <v>0</v>
      </c>
      <c r="R188" s="963">
        <f t="shared" si="61"/>
        <v>0</v>
      </c>
      <c r="S188" s="1151">
        <f t="shared" si="61"/>
        <v>0</v>
      </c>
      <c r="T188" s="1113"/>
      <c r="U188" s="1113"/>
      <c r="V188" s="1113"/>
      <c r="W188" s="1113"/>
      <c r="X188" s="1113"/>
      <c r="Y188" s="1113"/>
      <c r="Z188" s="1113"/>
      <c r="AA188" s="1113"/>
      <c r="AB188" s="1113"/>
      <c r="AC188" s="1113"/>
      <c r="AD188" s="1113"/>
      <c r="AE188" s="1113"/>
      <c r="AF188" s="914"/>
    </row>
    <row r="189" spans="1:32" x14ac:dyDescent="0.25">
      <c r="A189" s="964" t="s">
        <v>248</v>
      </c>
      <c r="B189" s="962"/>
      <c r="C189" s="967">
        <f t="shared" ref="C189:S189" si="62">IF(C187&gt;0,5600,0)</f>
        <v>0</v>
      </c>
      <c r="D189" s="967">
        <f t="shared" si="62"/>
        <v>0</v>
      </c>
      <c r="E189" s="967">
        <f t="shared" si="62"/>
        <v>0</v>
      </c>
      <c r="F189" s="967">
        <f t="shared" si="62"/>
        <v>0</v>
      </c>
      <c r="G189" s="967">
        <f t="shared" si="62"/>
        <v>0</v>
      </c>
      <c r="H189" s="967">
        <f t="shared" si="62"/>
        <v>0</v>
      </c>
      <c r="I189" s="967">
        <f t="shared" si="62"/>
        <v>0</v>
      </c>
      <c r="J189" s="967">
        <f t="shared" si="62"/>
        <v>0</v>
      </c>
      <c r="K189" s="967">
        <f t="shared" si="62"/>
        <v>0</v>
      </c>
      <c r="L189" s="967">
        <f t="shared" si="62"/>
        <v>0</v>
      </c>
      <c r="M189" s="967">
        <f t="shared" si="62"/>
        <v>0</v>
      </c>
      <c r="N189" s="967">
        <f t="shared" si="62"/>
        <v>0</v>
      </c>
      <c r="O189" s="967">
        <f t="shared" si="62"/>
        <v>0</v>
      </c>
      <c r="P189" s="967">
        <f t="shared" si="62"/>
        <v>0</v>
      </c>
      <c r="Q189" s="967">
        <f t="shared" si="62"/>
        <v>0</v>
      </c>
      <c r="R189" s="967">
        <f t="shared" si="62"/>
        <v>0</v>
      </c>
      <c r="S189" s="1154">
        <f t="shared" si="62"/>
        <v>0</v>
      </c>
      <c r="T189" s="1116"/>
      <c r="U189" s="1116"/>
      <c r="V189" s="1116"/>
      <c r="W189" s="1116"/>
      <c r="X189" s="1116"/>
      <c r="Y189" s="1116"/>
      <c r="Z189" s="1116"/>
      <c r="AA189" s="1116"/>
      <c r="AB189" s="1116"/>
      <c r="AC189" s="1116"/>
      <c r="AD189" s="1116"/>
      <c r="AE189" s="1116"/>
      <c r="AF189" s="914"/>
    </row>
    <row r="190" spans="1:32" x14ac:dyDescent="0.25">
      <c r="A190" s="964" t="s">
        <v>249</v>
      </c>
      <c r="B190" s="962"/>
      <c r="C190" s="967">
        <f t="shared" ref="C190:S190" si="63">IF(C188&gt;0,5000,0)</f>
        <v>0</v>
      </c>
      <c r="D190" s="967">
        <f t="shared" si="63"/>
        <v>0</v>
      </c>
      <c r="E190" s="967">
        <f t="shared" si="63"/>
        <v>0</v>
      </c>
      <c r="F190" s="967">
        <f t="shared" si="63"/>
        <v>0</v>
      </c>
      <c r="G190" s="967">
        <f t="shared" si="63"/>
        <v>0</v>
      </c>
      <c r="H190" s="967">
        <f t="shared" si="63"/>
        <v>0</v>
      </c>
      <c r="I190" s="967">
        <f t="shared" si="63"/>
        <v>0</v>
      </c>
      <c r="J190" s="967">
        <f t="shared" si="63"/>
        <v>0</v>
      </c>
      <c r="K190" s="967">
        <f t="shared" si="63"/>
        <v>0</v>
      </c>
      <c r="L190" s="967">
        <f t="shared" si="63"/>
        <v>0</v>
      </c>
      <c r="M190" s="967">
        <f t="shared" si="63"/>
        <v>0</v>
      </c>
      <c r="N190" s="967">
        <f t="shared" si="63"/>
        <v>0</v>
      </c>
      <c r="O190" s="967">
        <f t="shared" si="63"/>
        <v>0</v>
      </c>
      <c r="P190" s="967">
        <f t="shared" si="63"/>
        <v>0</v>
      </c>
      <c r="Q190" s="967">
        <f t="shared" si="63"/>
        <v>0</v>
      </c>
      <c r="R190" s="967">
        <f t="shared" si="63"/>
        <v>0</v>
      </c>
      <c r="S190" s="1154">
        <f t="shared" si="63"/>
        <v>0</v>
      </c>
      <c r="T190" s="1116"/>
      <c r="U190" s="1116"/>
      <c r="V190" s="1116"/>
      <c r="W190" s="1116"/>
      <c r="X190" s="1116"/>
      <c r="Y190" s="1116"/>
      <c r="Z190" s="1116"/>
      <c r="AA190" s="1116"/>
      <c r="AB190" s="1116"/>
      <c r="AC190" s="1116"/>
      <c r="AD190" s="1116"/>
      <c r="AE190" s="1116"/>
      <c r="AF190" s="914"/>
    </row>
    <row r="191" spans="1:32" x14ac:dyDescent="0.25">
      <c r="A191" s="964" t="s">
        <v>250</v>
      </c>
      <c r="B191" s="962"/>
      <c r="C191" s="963">
        <f t="shared" ref="C191:S191" si="64">C175*C177+C176*C178</f>
        <v>0</v>
      </c>
      <c r="D191" s="963">
        <f t="shared" si="64"/>
        <v>0</v>
      </c>
      <c r="E191" s="963">
        <f t="shared" si="64"/>
        <v>0</v>
      </c>
      <c r="F191" s="963">
        <f t="shared" si="64"/>
        <v>0</v>
      </c>
      <c r="G191" s="963">
        <f t="shared" si="64"/>
        <v>0</v>
      </c>
      <c r="H191" s="963">
        <f t="shared" si="64"/>
        <v>0</v>
      </c>
      <c r="I191" s="963">
        <f t="shared" si="64"/>
        <v>0</v>
      </c>
      <c r="J191" s="963">
        <f t="shared" si="64"/>
        <v>0</v>
      </c>
      <c r="K191" s="963">
        <f t="shared" si="64"/>
        <v>0</v>
      </c>
      <c r="L191" s="963">
        <f t="shared" si="64"/>
        <v>0</v>
      </c>
      <c r="M191" s="963">
        <f t="shared" si="64"/>
        <v>0</v>
      </c>
      <c r="N191" s="963">
        <f t="shared" si="64"/>
        <v>0</v>
      </c>
      <c r="O191" s="963">
        <f t="shared" si="64"/>
        <v>0</v>
      </c>
      <c r="P191" s="963">
        <f t="shared" si="64"/>
        <v>0</v>
      </c>
      <c r="Q191" s="963">
        <f t="shared" si="64"/>
        <v>0</v>
      </c>
      <c r="R191" s="963">
        <f t="shared" si="64"/>
        <v>0</v>
      </c>
      <c r="S191" s="1151">
        <f t="shared" si="64"/>
        <v>0</v>
      </c>
      <c r="T191" s="1113"/>
      <c r="U191" s="1113"/>
      <c r="V191" s="1113"/>
      <c r="W191" s="1113"/>
      <c r="X191" s="1113"/>
      <c r="Y191" s="1113"/>
      <c r="Z191" s="1113"/>
      <c r="AA191" s="1113"/>
      <c r="AB191" s="1113"/>
      <c r="AC191" s="1113"/>
      <c r="AD191" s="1113"/>
      <c r="AE191" s="1113"/>
      <c r="AF191" s="914"/>
    </row>
    <row r="192" spans="1:32" x14ac:dyDescent="0.25">
      <c r="A192" s="964" t="s">
        <v>251</v>
      </c>
      <c r="B192" s="962"/>
      <c r="C192" s="963">
        <f t="shared" ref="C192:S192" si="65">(C187+C189+C188+C190)*0.5</f>
        <v>0</v>
      </c>
      <c r="D192" s="963">
        <f t="shared" si="65"/>
        <v>0</v>
      </c>
      <c r="E192" s="963">
        <f t="shared" si="65"/>
        <v>0</v>
      </c>
      <c r="F192" s="963">
        <f t="shared" si="65"/>
        <v>0</v>
      </c>
      <c r="G192" s="963">
        <f t="shared" si="65"/>
        <v>0</v>
      </c>
      <c r="H192" s="963">
        <f t="shared" si="65"/>
        <v>0</v>
      </c>
      <c r="I192" s="963">
        <f t="shared" si="65"/>
        <v>0</v>
      </c>
      <c r="J192" s="963">
        <f t="shared" si="65"/>
        <v>0</v>
      </c>
      <c r="K192" s="963">
        <f t="shared" si="65"/>
        <v>0</v>
      </c>
      <c r="L192" s="963">
        <f t="shared" si="65"/>
        <v>0</v>
      </c>
      <c r="M192" s="963">
        <f t="shared" si="65"/>
        <v>0</v>
      </c>
      <c r="N192" s="963">
        <f t="shared" si="65"/>
        <v>0</v>
      </c>
      <c r="O192" s="963">
        <f t="shared" si="65"/>
        <v>0</v>
      </c>
      <c r="P192" s="963">
        <f t="shared" si="65"/>
        <v>0</v>
      </c>
      <c r="Q192" s="963">
        <f t="shared" si="65"/>
        <v>0</v>
      </c>
      <c r="R192" s="963">
        <f t="shared" si="65"/>
        <v>0</v>
      </c>
      <c r="S192" s="1151">
        <f t="shared" si="65"/>
        <v>0</v>
      </c>
      <c r="T192" s="1113"/>
      <c r="U192" s="1113"/>
      <c r="V192" s="1113"/>
      <c r="W192" s="1113"/>
      <c r="X192" s="1113"/>
      <c r="Y192" s="1113"/>
      <c r="Z192" s="1113"/>
      <c r="AA192" s="1113"/>
      <c r="AB192" s="1113"/>
      <c r="AC192" s="1113"/>
      <c r="AD192" s="1113"/>
      <c r="AE192" s="1113"/>
      <c r="AF192" s="914"/>
    </row>
    <row r="193" spans="1:33" s="964" customFormat="1" x14ac:dyDescent="0.25">
      <c r="A193" s="964" t="s">
        <v>252</v>
      </c>
      <c r="B193" s="968"/>
      <c r="C193" s="963">
        <f>IF((C175+2000)&gt;2000,2000,IF((C175+2000)&lt;0,0,C175+2000))</f>
        <v>2000</v>
      </c>
      <c r="D193" s="963">
        <f t="shared" ref="D193:S194" si="66">IF((D175+2000)&gt;2000,2000,IF((D175+2000)&lt;0,0,D175+2000))</f>
        <v>2000</v>
      </c>
      <c r="E193" s="963">
        <f t="shared" si="66"/>
        <v>2000</v>
      </c>
      <c r="F193" s="963">
        <f t="shared" si="66"/>
        <v>2000</v>
      </c>
      <c r="G193" s="963">
        <f t="shared" si="66"/>
        <v>2000</v>
      </c>
      <c r="H193" s="963">
        <f t="shared" si="66"/>
        <v>2000</v>
      </c>
      <c r="I193" s="963">
        <f t="shared" si="66"/>
        <v>2000</v>
      </c>
      <c r="J193" s="963">
        <f t="shared" si="66"/>
        <v>2000</v>
      </c>
      <c r="K193" s="963">
        <f t="shared" si="66"/>
        <v>2000</v>
      </c>
      <c r="L193" s="963">
        <f t="shared" si="66"/>
        <v>2000</v>
      </c>
      <c r="M193" s="963">
        <f t="shared" si="66"/>
        <v>2000</v>
      </c>
      <c r="N193" s="963">
        <f t="shared" si="66"/>
        <v>2000</v>
      </c>
      <c r="O193" s="963">
        <f t="shared" si="66"/>
        <v>2000</v>
      </c>
      <c r="P193" s="963">
        <f t="shared" si="66"/>
        <v>2000</v>
      </c>
      <c r="Q193" s="963">
        <f t="shared" si="66"/>
        <v>2000</v>
      </c>
      <c r="R193" s="963">
        <f t="shared" si="66"/>
        <v>2000</v>
      </c>
      <c r="S193" s="1151">
        <f t="shared" si="66"/>
        <v>2000</v>
      </c>
      <c r="T193" s="1113"/>
      <c r="U193" s="1113"/>
      <c r="V193" s="1113"/>
      <c r="W193" s="1113"/>
      <c r="X193" s="1113"/>
      <c r="Y193" s="1113"/>
      <c r="Z193" s="1113"/>
      <c r="AA193" s="1113"/>
      <c r="AB193" s="1113"/>
      <c r="AC193" s="1113"/>
      <c r="AD193" s="1113"/>
      <c r="AE193" s="1113"/>
      <c r="AF193" s="1161"/>
      <c r="AG193" s="1082"/>
    </row>
    <row r="194" spans="1:33" s="964" customFormat="1" x14ac:dyDescent="0.25">
      <c r="A194" s="964" t="s">
        <v>253</v>
      </c>
      <c r="B194" s="968"/>
      <c r="C194" s="963">
        <f t="shared" ref="C194:N194" si="67">IF((C176+2000)&gt;2000,2000,IF((C176+2000)&lt;0,0,C176+2000))</f>
        <v>2000</v>
      </c>
      <c r="D194" s="963">
        <f t="shared" si="67"/>
        <v>2000</v>
      </c>
      <c r="E194" s="963">
        <f t="shared" si="67"/>
        <v>2000</v>
      </c>
      <c r="F194" s="963">
        <f t="shared" si="67"/>
        <v>2000</v>
      </c>
      <c r="G194" s="963">
        <f t="shared" si="67"/>
        <v>2000</v>
      </c>
      <c r="H194" s="963">
        <f t="shared" si="67"/>
        <v>2000</v>
      </c>
      <c r="I194" s="963">
        <f t="shared" si="67"/>
        <v>2000</v>
      </c>
      <c r="J194" s="963">
        <f t="shared" si="67"/>
        <v>2000</v>
      </c>
      <c r="K194" s="963">
        <f t="shared" si="67"/>
        <v>2000</v>
      </c>
      <c r="L194" s="963">
        <f t="shared" si="67"/>
        <v>2000</v>
      </c>
      <c r="M194" s="963">
        <f t="shared" si="67"/>
        <v>2000</v>
      </c>
      <c r="N194" s="963">
        <f t="shared" si="67"/>
        <v>2000</v>
      </c>
      <c r="O194" s="963">
        <f t="shared" si="66"/>
        <v>2000</v>
      </c>
      <c r="P194" s="963">
        <f t="shared" si="66"/>
        <v>2000</v>
      </c>
      <c r="Q194" s="963">
        <f t="shared" si="66"/>
        <v>2000</v>
      </c>
      <c r="R194" s="963">
        <f t="shared" si="66"/>
        <v>2000</v>
      </c>
      <c r="S194" s="1151">
        <f t="shared" si="66"/>
        <v>2000</v>
      </c>
      <c r="T194" s="1113"/>
      <c r="U194" s="1113"/>
      <c r="V194" s="1113"/>
      <c r="W194" s="1113"/>
      <c r="X194" s="1113"/>
      <c r="Y194" s="1113"/>
      <c r="Z194" s="1113"/>
      <c r="AA194" s="1113"/>
      <c r="AB194" s="1113"/>
      <c r="AC194" s="1113"/>
      <c r="AD194" s="1113"/>
      <c r="AE194" s="1113"/>
      <c r="AF194" s="1161"/>
      <c r="AG194" s="1082"/>
    </row>
    <row r="195" spans="1:33" x14ac:dyDescent="0.25">
      <c r="A195" s="969" t="s">
        <v>254</v>
      </c>
      <c r="B195" s="962"/>
      <c r="C195" s="970">
        <f>ROUND(C193*2/484+C194*3.7/484,4)</f>
        <v>23.553699999999999</v>
      </c>
      <c r="D195" s="970">
        <f t="shared" ref="D195:S195" si="68">ROUND(D193*2/484+D194*3.7/484,4)</f>
        <v>23.553699999999999</v>
      </c>
      <c r="E195" s="970">
        <f t="shared" si="68"/>
        <v>23.553699999999999</v>
      </c>
      <c r="F195" s="970">
        <f t="shared" si="68"/>
        <v>23.553699999999999</v>
      </c>
      <c r="G195" s="970">
        <f t="shared" si="68"/>
        <v>23.553699999999999</v>
      </c>
      <c r="H195" s="970">
        <f t="shared" si="68"/>
        <v>23.553699999999999</v>
      </c>
      <c r="I195" s="970">
        <f t="shared" si="68"/>
        <v>23.553699999999999</v>
      </c>
      <c r="J195" s="970">
        <f t="shared" si="68"/>
        <v>23.553699999999999</v>
      </c>
      <c r="K195" s="970">
        <f t="shared" si="68"/>
        <v>23.553699999999999</v>
      </c>
      <c r="L195" s="970">
        <f t="shared" si="68"/>
        <v>23.553699999999999</v>
      </c>
      <c r="M195" s="970">
        <f t="shared" si="68"/>
        <v>23.553699999999999</v>
      </c>
      <c r="N195" s="970">
        <f t="shared" si="68"/>
        <v>23.553699999999999</v>
      </c>
      <c r="O195" s="970">
        <f t="shared" si="68"/>
        <v>23.553699999999999</v>
      </c>
      <c r="P195" s="970">
        <f t="shared" si="68"/>
        <v>23.553699999999999</v>
      </c>
      <c r="Q195" s="970">
        <f t="shared" si="68"/>
        <v>23.553699999999999</v>
      </c>
      <c r="R195" s="970">
        <f t="shared" si="68"/>
        <v>23.553699999999999</v>
      </c>
      <c r="S195" s="1155">
        <f t="shared" si="68"/>
        <v>23.553699999999999</v>
      </c>
      <c r="T195" s="1117"/>
      <c r="U195" s="1117"/>
      <c r="V195" s="1117"/>
      <c r="W195" s="1117"/>
      <c r="X195" s="1117"/>
      <c r="Y195" s="1117"/>
      <c r="Z195" s="1117"/>
      <c r="AA195" s="1117"/>
      <c r="AB195" s="1117"/>
      <c r="AC195" s="1117"/>
      <c r="AD195" s="1117"/>
      <c r="AE195" s="1117"/>
      <c r="AF195" s="914"/>
    </row>
    <row r="196" spans="1:33" x14ac:dyDescent="0.25">
      <c r="A196" s="969" t="s">
        <v>255</v>
      </c>
      <c r="B196" s="962"/>
      <c r="C196" s="970">
        <f t="shared" ref="C196:S196" si="69">ROUND(IF(((C191-C192-0.5*C197)*(37.5/484)-124)&lt;0,0,(C191-C192-0.5*C197)*(37.5/484)-124),4)</f>
        <v>0</v>
      </c>
      <c r="D196" s="970">
        <f t="shared" si="69"/>
        <v>0</v>
      </c>
      <c r="E196" s="970">
        <f t="shared" si="69"/>
        <v>0</v>
      </c>
      <c r="F196" s="970">
        <f t="shared" si="69"/>
        <v>0</v>
      </c>
      <c r="G196" s="970">
        <f t="shared" si="69"/>
        <v>0</v>
      </c>
      <c r="H196" s="970">
        <f t="shared" si="69"/>
        <v>0</v>
      </c>
      <c r="I196" s="970">
        <f t="shared" si="69"/>
        <v>0</v>
      </c>
      <c r="J196" s="970">
        <f t="shared" si="69"/>
        <v>0</v>
      </c>
      <c r="K196" s="970">
        <f t="shared" si="69"/>
        <v>0</v>
      </c>
      <c r="L196" s="970">
        <f t="shared" si="69"/>
        <v>0</v>
      </c>
      <c r="M196" s="970">
        <f t="shared" si="69"/>
        <v>0</v>
      </c>
      <c r="N196" s="970">
        <f t="shared" si="69"/>
        <v>0</v>
      </c>
      <c r="O196" s="970">
        <f t="shared" si="69"/>
        <v>0</v>
      </c>
      <c r="P196" s="970">
        <f t="shared" si="69"/>
        <v>0</v>
      </c>
      <c r="Q196" s="970">
        <f t="shared" si="69"/>
        <v>0</v>
      </c>
      <c r="R196" s="970">
        <f t="shared" si="69"/>
        <v>0</v>
      </c>
      <c r="S196" s="1155">
        <f t="shared" si="69"/>
        <v>0</v>
      </c>
      <c r="T196" s="1117"/>
      <c r="U196" s="1117"/>
      <c r="V196" s="1117"/>
      <c r="W196" s="1117"/>
      <c r="X196" s="1117"/>
      <c r="Y196" s="1117"/>
      <c r="Z196" s="1117"/>
      <c r="AA196" s="1117"/>
      <c r="AB196" s="1117"/>
      <c r="AC196" s="1117"/>
      <c r="AD196" s="1117"/>
      <c r="AE196" s="1117"/>
      <c r="AF196" s="914"/>
    </row>
    <row r="197" spans="1:33" s="964" customFormat="1" x14ac:dyDescent="0.25">
      <c r="A197" s="964" t="s">
        <v>256</v>
      </c>
      <c r="B197" s="968"/>
      <c r="C197" s="963">
        <f>(59000-C181)*C177+(53250-C182)*C178</f>
        <v>0</v>
      </c>
      <c r="D197" s="963">
        <f t="shared" ref="D197:S197" si="70">(59000-D181)*D177+(53250-D182)*D178</f>
        <v>0</v>
      </c>
      <c r="E197" s="963">
        <f t="shared" si="70"/>
        <v>0</v>
      </c>
      <c r="F197" s="963">
        <f t="shared" si="70"/>
        <v>0</v>
      </c>
      <c r="G197" s="963">
        <f t="shared" si="70"/>
        <v>0</v>
      </c>
      <c r="H197" s="963">
        <f t="shared" si="70"/>
        <v>0</v>
      </c>
      <c r="I197" s="963">
        <f t="shared" si="70"/>
        <v>0</v>
      </c>
      <c r="J197" s="963">
        <f t="shared" si="70"/>
        <v>0</v>
      </c>
      <c r="K197" s="963">
        <f t="shared" si="70"/>
        <v>0</v>
      </c>
      <c r="L197" s="963">
        <f t="shared" si="70"/>
        <v>0</v>
      </c>
      <c r="M197" s="963">
        <f t="shared" si="70"/>
        <v>0</v>
      </c>
      <c r="N197" s="963">
        <f t="shared" si="70"/>
        <v>0</v>
      </c>
      <c r="O197" s="963">
        <f t="shared" si="70"/>
        <v>0</v>
      </c>
      <c r="P197" s="963">
        <f t="shared" si="70"/>
        <v>0</v>
      </c>
      <c r="Q197" s="963">
        <f t="shared" si="70"/>
        <v>0</v>
      </c>
      <c r="R197" s="963">
        <f t="shared" si="70"/>
        <v>0</v>
      </c>
      <c r="S197" s="1151">
        <f t="shared" si="70"/>
        <v>0</v>
      </c>
      <c r="T197" s="1113"/>
      <c r="U197" s="1113"/>
      <c r="V197" s="1113"/>
      <c r="W197" s="1113"/>
      <c r="X197" s="1113"/>
      <c r="Y197" s="1113"/>
      <c r="Z197" s="1113"/>
      <c r="AA197" s="1113"/>
      <c r="AB197" s="1113"/>
      <c r="AC197" s="1113"/>
      <c r="AD197" s="1113"/>
      <c r="AE197" s="1113"/>
      <c r="AF197" s="1161"/>
      <c r="AG197" s="1082"/>
    </row>
    <row r="198" spans="1:33" x14ac:dyDescent="0.25">
      <c r="A198" s="969" t="s">
        <v>177</v>
      </c>
      <c r="B198" s="962"/>
      <c r="C198" s="970">
        <f t="shared" ref="C198:S198" si="71">C199*C200+C201*C202</f>
        <v>0</v>
      </c>
      <c r="D198" s="970">
        <f t="shared" si="71"/>
        <v>0</v>
      </c>
      <c r="E198" s="970">
        <f t="shared" si="71"/>
        <v>0</v>
      </c>
      <c r="F198" s="970">
        <f t="shared" si="71"/>
        <v>0</v>
      </c>
      <c r="G198" s="970">
        <f t="shared" si="71"/>
        <v>0</v>
      </c>
      <c r="H198" s="970">
        <f t="shared" si="71"/>
        <v>0</v>
      </c>
      <c r="I198" s="970">
        <f t="shared" si="71"/>
        <v>0</v>
      </c>
      <c r="J198" s="970">
        <f t="shared" si="71"/>
        <v>0</v>
      </c>
      <c r="K198" s="970">
        <f t="shared" si="71"/>
        <v>0</v>
      </c>
      <c r="L198" s="970">
        <f t="shared" si="71"/>
        <v>0</v>
      </c>
      <c r="M198" s="970">
        <f t="shared" si="71"/>
        <v>0</v>
      </c>
      <c r="N198" s="970">
        <f t="shared" si="71"/>
        <v>0</v>
      </c>
      <c r="O198" s="970">
        <f t="shared" si="71"/>
        <v>0</v>
      </c>
      <c r="P198" s="970">
        <f t="shared" si="71"/>
        <v>0</v>
      </c>
      <c r="Q198" s="970">
        <f t="shared" si="71"/>
        <v>0</v>
      </c>
      <c r="R198" s="970">
        <f t="shared" si="71"/>
        <v>0</v>
      </c>
      <c r="S198" s="1155">
        <f t="shared" si="71"/>
        <v>0</v>
      </c>
      <c r="T198" s="1117"/>
      <c r="U198" s="1117"/>
      <c r="V198" s="1117"/>
      <c r="W198" s="1117"/>
      <c r="X198" s="1117"/>
      <c r="Y198" s="1117"/>
      <c r="Z198" s="1117"/>
      <c r="AA198" s="1117"/>
      <c r="AB198" s="1117"/>
      <c r="AC198" s="1117"/>
      <c r="AD198" s="1117"/>
      <c r="AE198" s="1117"/>
      <c r="AF198" s="914"/>
    </row>
    <row r="199" spans="1:33" x14ac:dyDescent="0.25">
      <c r="A199" s="964" t="s">
        <v>257</v>
      </c>
      <c r="B199" s="962"/>
      <c r="C199" s="1169"/>
      <c r="D199" s="1169"/>
      <c r="E199" s="1169"/>
      <c r="F199" s="1169"/>
      <c r="G199" s="1169"/>
      <c r="H199" s="1169"/>
      <c r="I199" s="1169"/>
      <c r="J199" s="1169"/>
      <c r="K199" s="1169"/>
      <c r="L199" s="1169"/>
      <c r="M199" s="1169"/>
      <c r="N199" s="1169"/>
      <c r="O199" s="1169"/>
      <c r="P199" s="1169"/>
      <c r="Q199" s="1169"/>
      <c r="R199" s="1169"/>
      <c r="S199" s="1170"/>
      <c r="T199" s="1113"/>
      <c r="U199" s="1113"/>
      <c r="V199" s="1113"/>
      <c r="W199" s="1113"/>
      <c r="X199" s="1113"/>
      <c r="Y199" s="1113"/>
      <c r="Z199" s="1113"/>
      <c r="AA199" s="1113"/>
      <c r="AB199" s="1113"/>
      <c r="AC199" s="1113"/>
      <c r="AD199" s="1113"/>
      <c r="AE199" s="1113"/>
      <c r="AF199" s="914"/>
    </row>
    <row r="200" spans="1:33" x14ac:dyDescent="0.25">
      <c r="A200" s="964" t="s">
        <v>258</v>
      </c>
      <c r="B200" s="962"/>
      <c r="C200" s="971">
        <f t="shared" ref="C200:S200" si="72">IF(C187&gt;0,1,0)</f>
        <v>0</v>
      </c>
      <c r="D200" s="971">
        <f t="shared" si="72"/>
        <v>0</v>
      </c>
      <c r="E200" s="971">
        <f t="shared" si="72"/>
        <v>0</v>
      </c>
      <c r="F200" s="971">
        <f t="shared" si="72"/>
        <v>0</v>
      </c>
      <c r="G200" s="971">
        <f t="shared" si="72"/>
        <v>0</v>
      </c>
      <c r="H200" s="971">
        <f t="shared" si="72"/>
        <v>0</v>
      </c>
      <c r="I200" s="971">
        <f t="shared" si="72"/>
        <v>0</v>
      </c>
      <c r="J200" s="971">
        <f t="shared" si="72"/>
        <v>0</v>
      </c>
      <c r="K200" s="971">
        <f t="shared" si="72"/>
        <v>0</v>
      </c>
      <c r="L200" s="971">
        <f t="shared" si="72"/>
        <v>0</v>
      </c>
      <c r="M200" s="971">
        <f t="shared" si="72"/>
        <v>0</v>
      </c>
      <c r="N200" s="971">
        <f t="shared" si="72"/>
        <v>0</v>
      </c>
      <c r="O200" s="971">
        <f t="shared" si="72"/>
        <v>0</v>
      </c>
      <c r="P200" s="971">
        <f t="shared" si="72"/>
        <v>0</v>
      </c>
      <c r="Q200" s="971">
        <f t="shared" si="72"/>
        <v>0</v>
      </c>
      <c r="R200" s="971">
        <f t="shared" si="72"/>
        <v>0</v>
      </c>
      <c r="S200" s="1156">
        <f t="shared" si="72"/>
        <v>0</v>
      </c>
      <c r="T200" s="1117"/>
      <c r="U200" s="1117"/>
      <c r="V200" s="1117"/>
      <c r="W200" s="1117"/>
      <c r="X200" s="1117"/>
      <c r="Y200" s="1117"/>
      <c r="Z200" s="1117"/>
      <c r="AA200" s="1117"/>
      <c r="AB200" s="1117"/>
      <c r="AC200" s="1117"/>
      <c r="AD200" s="1117"/>
      <c r="AE200" s="1117"/>
      <c r="AF200" s="914"/>
    </row>
    <row r="201" spans="1:33" ht="15" x14ac:dyDescent="0.25">
      <c r="A201" s="964" t="s">
        <v>259</v>
      </c>
      <c r="B201" s="1173"/>
      <c r="C201" s="1174"/>
      <c r="D201" s="1174"/>
      <c r="E201" s="1174"/>
      <c r="F201" s="1174"/>
      <c r="G201" s="1174"/>
      <c r="H201" s="1174"/>
      <c r="I201" s="1174"/>
      <c r="J201" s="1174"/>
      <c r="K201" s="1174"/>
      <c r="L201" s="1174"/>
      <c r="M201" s="1174"/>
      <c r="N201" s="1174"/>
      <c r="O201" s="1174"/>
      <c r="P201" s="1174"/>
      <c r="Q201" s="1174"/>
      <c r="R201" s="1174"/>
      <c r="S201" s="1175"/>
      <c r="T201" s="1176"/>
      <c r="U201" s="1118"/>
      <c r="V201" s="1118"/>
      <c r="W201" s="1118"/>
      <c r="X201" s="1118"/>
      <c r="Y201" s="1118"/>
      <c r="Z201" s="1118"/>
      <c r="AA201" s="1118"/>
      <c r="AB201" s="1118"/>
      <c r="AC201" s="1118"/>
      <c r="AD201" s="1118"/>
      <c r="AE201" s="1118"/>
      <c r="AF201" s="914"/>
    </row>
    <row r="202" spans="1:33" x14ac:dyDescent="0.25">
      <c r="A202" s="964" t="s">
        <v>260</v>
      </c>
      <c r="B202" s="962"/>
      <c r="C202" s="971">
        <f>IF(C188&gt;0,1,0)</f>
        <v>0</v>
      </c>
      <c r="D202" s="971">
        <f t="shared" ref="D202:S202" si="73">IF(D188&gt;0,1,0)</f>
        <v>0</v>
      </c>
      <c r="E202" s="971">
        <f t="shared" si="73"/>
        <v>0</v>
      </c>
      <c r="F202" s="971">
        <f t="shared" si="73"/>
        <v>0</v>
      </c>
      <c r="G202" s="971">
        <f t="shared" si="73"/>
        <v>0</v>
      </c>
      <c r="H202" s="971">
        <f t="shared" si="73"/>
        <v>0</v>
      </c>
      <c r="I202" s="971">
        <f t="shared" si="73"/>
        <v>0</v>
      </c>
      <c r="J202" s="971">
        <f t="shared" si="73"/>
        <v>0</v>
      </c>
      <c r="K202" s="971">
        <f t="shared" si="73"/>
        <v>0</v>
      </c>
      <c r="L202" s="971">
        <f t="shared" si="73"/>
        <v>0</v>
      </c>
      <c r="M202" s="971">
        <f t="shared" si="73"/>
        <v>0</v>
      </c>
      <c r="N202" s="971">
        <f t="shared" si="73"/>
        <v>0</v>
      </c>
      <c r="O202" s="971">
        <f t="shared" si="73"/>
        <v>0</v>
      </c>
      <c r="P202" s="971">
        <f t="shared" si="73"/>
        <v>0</v>
      </c>
      <c r="Q202" s="971">
        <f t="shared" si="73"/>
        <v>0</v>
      </c>
      <c r="R202" s="971">
        <f t="shared" si="73"/>
        <v>0</v>
      </c>
      <c r="S202" s="1156">
        <f t="shared" si="73"/>
        <v>0</v>
      </c>
      <c r="T202" s="1117"/>
      <c r="U202" s="1117"/>
      <c r="V202" s="1117"/>
      <c r="W202" s="1117"/>
      <c r="X202" s="1117"/>
      <c r="Y202" s="1117"/>
      <c r="Z202" s="1117"/>
      <c r="AA202" s="1117"/>
      <c r="AB202" s="1117"/>
      <c r="AC202" s="1117"/>
      <c r="AD202" s="1117"/>
      <c r="AE202" s="1117"/>
      <c r="AF202" s="914"/>
    </row>
    <row r="203" spans="1:33" ht="15.75" x14ac:dyDescent="0.25">
      <c r="A203" s="973" t="s">
        <v>261</v>
      </c>
      <c r="B203" s="926"/>
      <c r="C203" s="974">
        <f>C196+C198+C195</f>
        <v>23.553699999999999</v>
      </c>
      <c r="D203" s="974">
        <f>D196+D198+D195</f>
        <v>23.553699999999999</v>
      </c>
      <c r="E203" s="974">
        <f>E196+E198+E195</f>
        <v>23.553699999999999</v>
      </c>
      <c r="F203" s="974">
        <f t="shared" ref="F203:S203" si="74">F196+F198+F195</f>
        <v>23.553699999999999</v>
      </c>
      <c r="G203" s="974">
        <f t="shared" si="74"/>
        <v>23.553699999999999</v>
      </c>
      <c r="H203" s="974">
        <f t="shared" si="74"/>
        <v>23.553699999999999</v>
      </c>
      <c r="I203" s="974">
        <f t="shared" si="74"/>
        <v>23.553699999999999</v>
      </c>
      <c r="J203" s="974">
        <f t="shared" si="74"/>
        <v>23.553699999999999</v>
      </c>
      <c r="K203" s="974">
        <f>K196+K198+K195</f>
        <v>23.553699999999999</v>
      </c>
      <c r="L203" s="974">
        <f t="shared" si="74"/>
        <v>23.553699999999999</v>
      </c>
      <c r="M203" s="974">
        <f t="shared" si="74"/>
        <v>23.553699999999999</v>
      </c>
      <c r="N203" s="974">
        <f t="shared" si="74"/>
        <v>23.553699999999999</v>
      </c>
      <c r="O203" s="974">
        <f t="shared" si="74"/>
        <v>23.553699999999999</v>
      </c>
      <c r="P203" s="974">
        <f t="shared" si="74"/>
        <v>23.553699999999999</v>
      </c>
      <c r="Q203" s="974">
        <f t="shared" si="74"/>
        <v>23.553699999999999</v>
      </c>
      <c r="R203" s="974">
        <f t="shared" si="74"/>
        <v>23.553699999999999</v>
      </c>
      <c r="S203" s="1158">
        <f t="shared" si="74"/>
        <v>23.553699999999999</v>
      </c>
      <c r="T203" s="1119"/>
      <c r="U203" s="1119"/>
      <c r="V203" s="1119"/>
      <c r="W203" s="1119"/>
      <c r="X203" s="1119"/>
      <c r="Y203" s="1119"/>
      <c r="Z203" s="1119"/>
      <c r="AA203" s="1119"/>
      <c r="AB203" s="1119"/>
      <c r="AC203" s="1119"/>
      <c r="AD203" s="1119"/>
      <c r="AE203" s="1119"/>
      <c r="AF203" s="914"/>
    </row>
    <row r="204" spans="1:33" x14ac:dyDescent="0.25">
      <c r="T204" s="914"/>
      <c r="U204" s="914"/>
      <c r="V204" s="914"/>
      <c r="W204" s="914"/>
      <c r="X204" s="914"/>
      <c r="Y204" s="914"/>
      <c r="Z204" s="914"/>
      <c r="AA204" s="914"/>
      <c r="AB204" s="914"/>
      <c r="AC204" s="914"/>
      <c r="AD204" s="914"/>
      <c r="AE204" s="914"/>
      <c r="AF204" s="914"/>
    </row>
    <row r="205" spans="1:33" s="964" customFormat="1" x14ac:dyDescent="0.25">
      <c r="A205" s="975" t="s">
        <v>262</v>
      </c>
      <c r="B205" s="968"/>
      <c r="C205" s="963"/>
      <c r="D205" s="963"/>
      <c r="E205" s="963"/>
      <c r="F205" s="963"/>
      <c r="G205" s="963"/>
      <c r="H205" s="963"/>
      <c r="I205" s="963"/>
      <c r="J205" s="963"/>
      <c r="K205" s="963">
        <f>+IF((K206-K151)*7.3&lt;0,,(K206-K151)*7.3)</f>
        <v>0</v>
      </c>
      <c r="L205" s="963">
        <f t="shared" ref="L205:N205" si="75">+IF((L206-L151)*7.3&lt;0,,(L206-L151)*7.3)</f>
        <v>0</v>
      </c>
      <c r="M205" s="963">
        <f t="shared" si="75"/>
        <v>0</v>
      </c>
      <c r="N205" s="963">
        <f t="shared" si="75"/>
        <v>0</v>
      </c>
      <c r="O205" s="963"/>
      <c r="P205" s="963"/>
      <c r="Q205" s="963"/>
      <c r="R205" s="963"/>
      <c r="S205" s="1151"/>
      <c r="T205" s="1113"/>
      <c r="U205" s="1113"/>
      <c r="V205" s="1113"/>
      <c r="W205" s="1113"/>
      <c r="X205" s="1113"/>
      <c r="Y205" s="1113"/>
      <c r="Z205" s="1113"/>
      <c r="AA205" s="1113"/>
      <c r="AB205" s="1113"/>
      <c r="AC205" s="1113"/>
      <c r="AD205" s="1113"/>
      <c r="AE205" s="1113"/>
      <c r="AF205" s="1161"/>
      <c r="AG205" s="1082"/>
    </row>
    <row r="206" spans="1:33" s="964" customFormat="1" x14ac:dyDescent="0.25">
      <c r="A206" s="975" t="s">
        <v>263</v>
      </c>
      <c r="B206" s="968"/>
      <c r="C206" s="963"/>
      <c r="D206" s="963"/>
      <c r="E206" s="963"/>
      <c r="F206" s="963"/>
      <c r="G206" s="963"/>
      <c r="H206" s="963"/>
      <c r="I206" s="963"/>
      <c r="J206" s="963"/>
      <c r="K206" s="976"/>
      <c r="L206" s="976"/>
      <c r="M206" s="976"/>
      <c r="N206" s="976"/>
      <c r="O206" s="963"/>
      <c r="P206" s="963"/>
      <c r="Q206" s="963"/>
      <c r="R206" s="963"/>
      <c r="S206" s="1151"/>
      <c r="T206" s="1113"/>
      <c r="U206" s="1113"/>
      <c r="V206" s="1113"/>
      <c r="W206" s="1113"/>
      <c r="X206" s="1113"/>
      <c r="Y206" s="1113"/>
      <c r="Z206" s="1113"/>
      <c r="AA206" s="1113"/>
      <c r="AB206" s="1113"/>
      <c r="AC206" s="1113"/>
      <c r="AD206" s="1113"/>
      <c r="AE206" s="1113"/>
      <c r="AF206" s="1161"/>
      <c r="AG206" s="1082"/>
    </row>
    <row r="207" spans="1:33" x14ac:dyDescent="0.25">
      <c r="T207" s="914"/>
      <c r="U207" s="914"/>
      <c r="V207" s="914"/>
      <c r="W207" s="914"/>
      <c r="X207" s="914"/>
      <c r="Y207" s="914"/>
      <c r="Z207" s="914"/>
      <c r="AA207" s="914"/>
      <c r="AB207" s="914"/>
      <c r="AC207" s="914"/>
      <c r="AD207" s="914"/>
      <c r="AE207" s="914"/>
      <c r="AF207" s="914"/>
    </row>
    <row r="208" spans="1:33" x14ac:dyDescent="0.25">
      <c r="T208" s="914"/>
      <c r="U208" s="914"/>
      <c r="V208" s="914"/>
      <c r="W208" s="914"/>
      <c r="X208" s="914"/>
      <c r="Y208" s="914"/>
      <c r="Z208" s="914"/>
      <c r="AA208" s="914"/>
      <c r="AB208" s="914"/>
      <c r="AC208" s="914"/>
      <c r="AD208" s="914"/>
      <c r="AE208" s="914"/>
      <c r="AF208" s="914"/>
    </row>
    <row r="209" spans="20:32" x14ac:dyDescent="0.25">
      <c r="T209" s="914"/>
      <c r="U209" s="914"/>
      <c r="V209" s="914"/>
      <c r="W209" s="914"/>
      <c r="X209" s="914"/>
      <c r="Y209" s="914"/>
      <c r="Z209" s="914"/>
      <c r="AA209" s="914"/>
      <c r="AB209" s="914"/>
      <c r="AC209" s="914"/>
      <c r="AD209" s="914"/>
      <c r="AE209" s="914"/>
      <c r="AF209" s="914"/>
    </row>
    <row r="210" spans="20:32" x14ac:dyDescent="0.25">
      <c r="T210" s="914"/>
      <c r="U210" s="914"/>
      <c r="V210" s="914"/>
      <c r="W210" s="914"/>
      <c r="X210" s="914"/>
      <c r="Y210" s="914"/>
      <c r="Z210" s="914"/>
      <c r="AA210" s="914"/>
      <c r="AB210" s="914"/>
      <c r="AC210" s="914"/>
      <c r="AD210" s="914"/>
      <c r="AE210" s="914"/>
      <c r="AF210" s="914"/>
    </row>
    <row r="211" spans="20:32" x14ac:dyDescent="0.25">
      <c r="T211" s="914"/>
      <c r="U211" s="914"/>
      <c r="V211" s="914"/>
      <c r="W211" s="914"/>
      <c r="X211" s="914"/>
      <c r="Y211" s="914"/>
      <c r="Z211" s="914"/>
      <c r="AA211" s="914"/>
      <c r="AB211" s="914"/>
      <c r="AC211" s="914"/>
      <c r="AD211" s="914"/>
      <c r="AE211" s="914"/>
      <c r="AF211" s="914"/>
    </row>
    <row r="212" spans="20:32" x14ac:dyDescent="0.25">
      <c r="T212" s="914"/>
      <c r="U212" s="914"/>
      <c r="V212" s="914"/>
      <c r="W212" s="914"/>
      <c r="X212" s="914"/>
      <c r="Y212" s="914"/>
      <c r="Z212" s="914"/>
      <c r="AA212" s="914"/>
      <c r="AB212" s="914"/>
      <c r="AC212" s="914"/>
      <c r="AD212" s="914"/>
      <c r="AE212" s="914"/>
      <c r="AF212" s="914"/>
    </row>
    <row r="213" spans="20:32" x14ac:dyDescent="0.25">
      <c r="T213" s="914"/>
      <c r="U213" s="914"/>
      <c r="V213" s="914"/>
      <c r="W213" s="914"/>
      <c r="X213" s="914"/>
      <c r="Y213" s="914"/>
      <c r="Z213" s="914"/>
      <c r="AA213" s="914"/>
      <c r="AB213" s="914"/>
      <c r="AC213" s="914"/>
      <c r="AD213" s="914"/>
      <c r="AE213" s="914"/>
      <c r="AF213" s="914"/>
    </row>
    <row r="214" spans="20:32" x14ac:dyDescent="0.25">
      <c r="T214" s="914"/>
      <c r="U214" s="914"/>
      <c r="V214" s="914"/>
      <c r="W214" s="914"/>
      <c r="X214" s="914"/>
      <c r="Y214" s="914"/>
      <c r="Z214" s="914"/>
      <c r="AA214" s="914"/>
      <c r="AB214" s="914"/>
      <c r="AC214" s="914"/>
      <c r="AD214" s="914"/>
      <c r="AE214" s="914"/>
      <c r="AF214" s="914"/>
    </row>
    <row r="215" spans="20:32" x14ac:dyDescent="0.25">
      <c r="T215" s="914"/>
      <c r="U215" s="914"/>
      <c r="V215" s="914"/>
      <c r="W215" s="914"/>
      <c r="X215" s="914"/>
      <c r="Y215" s="914"/>
      <c r="Z215" s="914"/>
      <c r="AA215" s="914"/>
      <c r="AB215" s="914"/>
      <c r="AC215" s="914"/>
      <c r="AD215" s="914"/>
      <c r="AE215" s="914"/>
      <c r="AF215" s="914"/>
    </row>
    <row r="216" spans="20:32" x14ac:dyDescent="0.25">
      <c r="T216" s="914"/>
      <c r="U216" s="914"/>
      <c r="V216" s="914"/>
      <c r="W216" s="914"/>
      <c r="X216" s="914"/>
      <c r="Y216" s="914"/>
      <c r="Z216" s="914"/>
      <c r="AA216" s="914"/>
      <c r="AB216" s="914"/>
      <c r="AC216" s="914"/>
      <c r="AD216" s="914"/>
      <c r="AE216" s="914"/>
      <c r="AF216" s="914"/>
    </row>
    <row r="217" spans="20:32" x14ac:dyDescent="0.25">
      <c r="T217" s="914"/>
      <c r="U217" s="914"/>
      <c r="V217" s="914"/>
      <c r="W217" s="914"/>
      <c r="X217" s="914"/>
      <c r="Y217" s="914"/>
      <c r="Z217" s="914"/>
      <c r="AA217" s="914"/>
      <c r="AB217" s="914"/>
      <c r="AC217" s="914"/>
      <c r="AD217" s="914"/>
      <c r="AE217" s="914"/>
      <c r="AF217" s="914"/>
    </row>
    <row r="218" spans="20:32" x14ac:dyDescent="0.25"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</row>
    <row r="219" spans="20:32" x14ac:dyDescent="0.25">
      <c r="T219" s="914"/>
      <c r="U219" s="914"/>
      <c r="V219" s="914"/>
      <c r="W219" s="914"/>
      <c r="X219" s="914"/>
      <c r="Y219" s="914"/>
      <c r="Z219" s="914"/>
      <c r="AA219" s="914"/>
      <c r="AB219" s="914"/>
      <c r="AC219" s="914"/>
      <c r="AD219" s="914"/>
      <c r="AE219" s="914"/>
      <c r="AF219" s="914"/>
    </row>
    <row r="220" spans="20:32" x14ac:dyDescent="0.25">
      <c r="T220" s="914"/>
      <c r="U220" s="914"/>
      <c r="V220" s="914"/>
      <c r="W220" s="914"/>
      <c r="X220" s="914"/>
      <c r="Y220" s="914"/>
      <c r="Z220" s="914"/>
      <c r="AA220" s="914"/>
      <c r="AB220" s="914"/>
      <c r="AC220" s="914"/>
      <c r="AD220" s="914"/>
      <c r="AE220" s="914"/>
      <c r="AF220" s="914"/>
    </row>
    <row r="221" spans="20:32" x14ac:dyDescent="0.25">
      <c r="T221" s="914"/>
      <c r="U221" s="914"/>
      <c r="V221" s="914"/>
      <c r="W221" s="914"/>
      <c r="X221" s="914"/>
      <c r="Y221" s="914"/>
      <c r="Z221" s="914"/>
      <c r="AA221" s="914"/>
      <c r="AB221" s="914"/>
      <c r="AC221" s="914"/>
      <c r="AD221" s="914"/>
      <c r="AE221" s="914"/>
      <c r="AF221" s="914"/>
    </row>
    <row r="222" spans="20:32" x14ac:dyDescent="0.25">
      <c r="T222" s="914"/>
      <c r="U222" s="914"/>
      <c r="V222" s="914"/>
      <c r="W222" s="914"/>
      <c r="X222" s="914"/>
      <c r="Y222" s="914"/>
      <c r="Z222" s="914"/>
      <c r="AA222" s="914"/>
      <c r="AB222" s="914"/>
      <c r="AC222" s="914"/>
      <c r="AD222" s="914"/>
      <c r="AE222" s="914"/>
      <c r="AF222" s="914"/>
    </row>
    <row r="223" spans="20:32" x14ac:dyDescent="0.25">
      <c r="T223" s="914"/>
      <c r="U223" s="914"/>
      <c r="V223" s="914"/>
      <c r="W223" s="914"/>
      <c r="X223" s="914"/>
      <c r="Y223" s="914"/>
      <c r="Z223" s="914"/>
      <c r="AA223" s="914"/>
      <c r="AB223" s="914"/>
      <c r="AC223" s="914"/>
      <c r="AD223" s="914"/>
      <c r="AE223" s="914"/>
      <c r="AF223" s="914"/>
    </row>
    <row r="224" spans="20:32" x14ac:dyDescent="0.25">
      <c r="T224" s="914"/>
      <c r="U224" s="914"/>
      <c r="V224" s="914"/>
      <c r="W224" s="914"/>
      <c r="X224" s="914"/>
      <c r="Y224" s="914"/>
      <c r="Z224" s="914"/>
      <c r="AA224" s="914"/>
      <c r="AB224" s="914"/>
      <c r="AC224" s="914"/>
      <c r="AD224" s="914"/>
      <c r="AE224" s="914"/>
      <c r="AF224" s="914"/>
    </row>
    <row r="225" spans="20:32" x14ac:dyDescent="0.25">
      <c r="T225" s="914"/>
      <c r="U225" s="914"/>
      <c r="V225" s="914"/>
      <c r="W225" s="914"/>
      <c r="X225" s="914"/>
      <c r="Y225" s="914"/>
      <c r="Z225" s="914"/>
      <c r="AA225" s="914"/>
      <c r="AB225" s="914"/>
      <c r="AC225" s="914"/>
      <c r="AD225" s="914"/>
      <c r="AE225" s="914"/>
      <c r="AF225" s="914"/>
    </row>
    <row r="226" spans="20:32" x14ac:dyDescent="0.25">
      <c r="T226" s="914"/>
      <c r="U226" s="914"/>
      <c r="V226" s="914"/>
      <c r="W226" s="914"/>
      <c r="X226" s="914"/>
      <c r="Y226" s="914"/>
      <c r="Z226" s="914"/>
      <c r="AA226" s="914"/>
      <c r="AB226" s="914"/>
      <c r="AC226" s="914"/>
      <c r="AD226" s="914"/>
      <c r="AE226" s="914"/>
      <c r="AF226" s="914"/>
    </row>
    <row r="227" spans="20:32" x14ac:dyDescent="0.25">
      <c r="T227" s="914"/>
      <c r="U227" s="914"/>
      <c r="V227" s="914"/>
      <c r="W227" s="914"/>
      <c r="X227" s="914"/>
      <c r="Y227" s="914"/>
      <c r="Z227" s="914"/>
      <c r="AA227" s="914"/>
      <c r="AB227" s="914"/>
      <c r="AC227" s="914"/>
      <c r="AD227" s="914"/>
      <c r="AE227" s="914"/>
      <c r="AF227" s="914"/>
    </row>
    <row r="228" spans="20:32" x14ac:dyDescent="0.25">
      <c r="T228" s="914"/>
      <c r="U228" s="914"/>
      <c r="V228" s="914"/>
      <c r="W228" s="914"/>
      <c r="X228" s="914"/>
      <c r="Y228" s="914"/>
      <c r="Z228" s="914"/>
      <c r="AA228" s="914"/>
      <c r="AB228" s="914"/>
      <c r="AC228" s="914"/>
      <c r="AD228" s="914"/>
      <c r="AE228" s="914"/>
      <c r="AF228" s="914"/>
    </row>
    <row r="229" spans="20:32" x14ac:dyDescent="0.25">
      <c r="T229" s="914"/>
      <c r="U229" s="914"/>
      <c r="V229" s="914"/>
      <c r="W229" s="914"/>
      <c r="X229" s="914"/>
      <c r="Y229" s="914"/>
      <c r="Z229" s="914"/>
      <c r="AA229" s="914"/>
      <c r="AB229" s="914"/>
      <c r="AC229" s="914"/>
      <c r="AD229" s="914"/>
      <c r="AE229" s="914"/>
      <c r="AF229" s="914"/>
    </row>
    <row r="230" spans="20:32" x14ac:dyDescent="0.25">
      <c r="T230" s="914"/>
      <c r="U230" s="914"/>
      <c r="V230" s="914"/>
      <c r="W230" s="914"/>
      <c r="X230" s="914"/>
      <c r="Y230" s="914"/>
      <c r="Z230" s="914"/>
      <c r="AA230" s="914"/>
      <c r="AB230" s="914"/>
      <c r="AC230" s="914"/>
      <c r="AD230" s="914"/>
      <c r="AE230" s="914"/>
      <c r="AF230" s="914"/>
    </row>
    <row r="231" spans="20:32" x14ac:dyDescent="0.25">
      <c r="T231" s="914"/>
      <c r="U231" s="914"/>
      <c r="V231" s="914"/>
      <c r="W231" s="914"/>
      <c r="X231" s="914"/>
      <c r="Y231" s="914"/>
      <c r="Z231" s="914"/>
      <c r="AA231" s="914"/>
      <c r="AB231" s="914"/>
      <c r="AC231" s="914"/>
      <c r="AD231" s="914"/>
      <c r="AE231" s="914"/>
      <c r="AF231" s="914"/>
    </row>
    <row r="232" spans="20:32" x14ac:dyDescent="0.25">
      <c r="T232" s="914"/>
      <c r="U232" s="914"/>
      <c r="V232" s="914"/>
      <c r="W232" s="914"/>
      <c r="X232" s="914"/>
      <c r="Y232" s="914"/>
      <c r="Z232" s="914"/>
      <c r="AA232" s="914"/>
      <c r="AB232" s="914"/>
      <c r="AC232" s="914"/>
      <c r="AD232" s="914"/>
      <c r="AE232" s="914"/>
      <c r="AF232" s="914"/>
    </row>
    <row r="233" spans="20:32" x14ac:dyDescent="0.25">
      <c r="T233" s="914"/>
      <c r="U233" s="914"/>
      <c r="V233" s="914"/>
      <c r="W233" s="914"/>
      <c r="X233" s="914"/>
      <c r="Y233" s="914"/>
      <c r="Z233" s="914"/>
      <c r="AA233" s="914"/>
      <c r="AB233" s="914"/>
      <c r="AC233" s="914"/>
      <c r="AD233" s="914"/>
      <c r="AE233" s="914"/>
      <c r="AF233" s="914"/>
    </row>
    <row r="234" spans="20:32" x14ac:dyDescent="0.25">
      <c r="T234" s="914"/>
      <c r="U234" s="914"/>
      <c r="V234" s="914"/>
      <c r="W234" s="914"/>
      <c r="X234" s="914"/>
      <c r="Y234" s="914"/>
      <c r="Z234" s="914"/>
      <c r="AA234" s="914"/>
      <c r="AB234" s="914"/>
      <c r="AC234" s="914"/>
      <c r="AD234" s="914"/>
      <c r="AE234" s="914"/>
      <c r="AF234" s="914"/>
    </row>
    <row r="235" spans="20:32" x14ac:dyDescent="0.25">
      <c r="T235" s="914"/>
      <c r="U235" s="914"/>
      <c r="V235" s="914"/>
      <c r="W235" s="914"/>
      <c r="X235" s="914"/>
      <c r="Y235" s="914"/>
      <c r="Z235" s="914"/>
      <c r="AA235" s="914"/>
      <c r="AB235" s="914"/>
      <c r="AC235" s="914"/>
      <c r="AD235" s="914"/>
      <c r="AE235" s="914"/>
      <c r="AF235" s="914"/>
    </row>
    <row r="236" spans="20:32" x14ac:dyDescent="0.25">
      <c r="T236" s="914"/>
      <c r="U236" s="914"/>
      <c r="V236" s="914"/>
      <c r="W236" s="914"/>
      <c r="X236" s="914"/>
      <c r="Y236" s="914"/>
      <c r="Z236" s="914"/>
      <c r="AA236" s="914"/>
      <c r="AB236" s="914"/>
      <c r="AC236" s="914"/>
      <c r="AD236" s="914"/>
      <c r="AE236" s="914"/>
      <c r="AF236" s="914"/>
    </row>
    <row r="237" spans="20:32" x14ac:dyDescent="0.25"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</row>
    <row r="238" spans="20:32" x14ac:dyDescent="0.25">
      <c r="T238" s="914"/>
      <c r="U238" s="914"/>
      <c r="V238" s="914"/>
      <c r="W238" s="914"/>
      <c r="X238" s="914"/>
      <c r="Y238" s="914"/>
      <c r="Z238" s="914"/>
      <c r="AA238" s="914"/>
      <c r="AB238" s="914"/>
      <c r="AC238" s="914"/>
      <c r="AD238" s="914"/>
      <c r="AE238" s="914"/>
      <c r="AF238" s="914"/>
    </row>
    <row r="239" spans="20:32" x14ac:dyDescent="0.25">
      <c r="T239" s="914"/>
      <c r="U239" s="914"/>
      <c r="V239" s="914"/>
      <c r="W239" s="914"/>
      <c r="X239" s="914"/>
      <c r="Y239" s="914"/>
      <c r="Z239" s="914"/>
      <c r="AA239" s="914"/>
      <c r="AB239" s="914"/>
      <c r="AC239" s="914"/>
      <c r="AD239" s="914"/>
      <c r="AE239" s="914"/>
      <c r="AF239" s="914"/>
    </row>
    <row r="240" spans="20:32" x14ac:dyDescent="0.25">
      <c r="T240" s="914"/>
      <c r="U240" s="914"/>
      <c r="V240" s="914"/>
      <c r="W240" s="914"/>
      <c r="X240" s="914"/>
      <c r="Y240" s="914"/>
      <c r="Z240" s="914"/>
      <c r="AA240" s="914"/>
      <c r="AB240" s="914"/>
      <c r="AC240" s="914"/>
      <c r="AD240" s="914"/>
      <c r="AE240" s="914"/>
      <c r="AF240" s="914"/>
    </row>
    <row r="241" spans="20:32" x14ac:dyDescent="0.25">
      <c r="T241" s="914"/>
      <c r="U241" s="914"/>
      <c r="V241" s="914"/>
      <c r="W241" s="914"/>
      <c r="X241" s="914"/>
      <c r="Y241" s="914"/>
      <c r="Z241" s="914"/>
      <c r="AA241" s="914"/>
      <c r="AB241" s="914"/>
      <c r="AC241" s="914"/>
      <c r="AD241" s="914"/>
      <c r="AE241" s="914"/>
      <c r="AF241" s="914"/>
    </row>
    <row r="242" spans="20:32" x14ac:dyDescent="0.25">
      <c r="T242" s="914"/>
      <c r="U242" s="914"/>
      <c r="V242" s="914"/>
      <c r="W242" s="914"/>
      <c r="X242" s="914"/>
      <c r="Y242" s="914"/>
      <c r="Z242" s="914"/>
      <c r="AA242" s="914"/>
      <c r="AB242" s="914"/>
      <c r="AC242" s="914"/>
      <c r="AD242" s="914"/>
      <c r="AE242" s="914"/>
      <c r="AF242" s="914"/>
    </row>
    <row r="243" spans="20:32" x14ac:dyDescent="0.25">
      <c r="T243" s="914"/>
      <c r="U243" s="914"/>
      <c r="V243" s="914"/>
      <c r="W243" s="914"/>
      <c r="X243" s="914"/>
      <c r="Y243" s="914"/>
      <c r="Z243" s="914"/>
      <c r="AA243" s="914"/>
      <c r="AB243" s="914"/>
      <c r="AC243" s="914"/>
      <c r="AD243" s="914"/>
      <c r="AE243" s="914"/>
      <c r="AF243" s="914"/>
    </row>
    <row r="244" spans="20:32" x14ac:dyDescent="0.25">
      <c r="T244" s="914"/>
      <c r="U244" s="914"/>
      <c r="V244" s="914"/>
      <c r="W244" s="914"/>
      <c r="X244" s="914"/>
      <c r="Y244" s="914"/>
      <c r="Z244" s="914"/>
      <c r="AA244" s="914"/>
      <c r="AB244" s="914"/>
      <c r="AC244" s="914"/>
      <c r="AD244" s="914"/>
      <c r="AE244" s="914"/>
      <c r="AF244" s="914"/>
    </row>
    <row r="245" spans="20:32" x14ac:dyDescent="0.25">
      <c r="T245" s="914"/>
      <c r="U245" s="914"/>
      <c r="V245" s="914"/>
      <c r="W245" s="914"/>
      <c r="X245" s="914"/>
      <c r="Y245" s="914"/>
      <c r="Z245" s="914"/>
      <c r="AA245" s="914"/>
      <c r="AB245" s="914"/>
      <c r="AC245" s="914"/>
      <c r="AD245" s="914"/>
      <c r="AE245" s="914"/>
      <c r="AF245" s="914"/>
    </row>
    <row r="246" spans="20:32" x14ac:dyDescent="0.25">
      <c r="T246" s="914"/>
      <c r="U246" s="914"/>
      <c r="V246" s="914"/>
      <c r="W246" s="914"/>
      <c r="X246" s="914"/>
      <c r="Y246" s="914"/>
      <c r="Z246" s="914"/>
      <c r="AA246" s="914"/>
      <c r="AB246" s="914"/>
      <c r="AC246" s="914"/>
      <c r="AD246" s="914"/>
      <c r="AE246" s="914"/>
      <c r="AF246" s="914"/>
    </row>
    <row r="247" spans="20:32" x14ac:dyDescent="0.25">
      <c r="T247" s="914"/>
      <c r="U247" s="914"/>
      <c r="V247" s="914"/>
      <c r="W247" s="914"/>
      <c r="X247" s="914"/>
      <c r="Y247" s="914"/>
      <c r="Z247" s="914"/>
      <c r="AA247" s="914"/>
      <c r="AB247" s="914"/>
      <c r="AC247" s="914"/>
      <c r="AD247" s="914"/>
      <c r="AE247" s="914"/>
      <c r="AF247" s="914"/>
    </row>
    <row r="248" spans="20:32" x14ac:dyDescent="0.25">
      <c r="T248" s="914"/>
      <c r="U248" s="914"/>
      <c r="V248" s="914"/>
      <c r="W248" s="914"/>
      <c r="X248" s="914"/>
      <c r="Y248" s="914"/>
      <c r="Z248" s="914"/>
      <c r="AA248" s="914"/>
      <c r="AB248" s="914"/>
      <c r="AC248" s="914"/>
      <c r="AD248" s="914"/>
      <c r="AE248" s="914"/>
      <c r="AF248" s="914"/>
    </row>
    <row r="249" spans="20:32" x14ac:dyDescent="0.25">
      <c r="T249" s="914"/>
      <c r="U249" s="914"/>
      <c r="V249" s="914"/>
      <c r="W249" s="914"/>
      <c r="X249" s="914"/>
      <c r="Y249" s="914"/>
      <c r="Z249" s="914"/>
      <c r="AA249" s="914"/>
      <c r="AB249" s="914"/>
      <c r="AC249" s="914"/>
      <c r="AD249" s="914"/>
      <c r="AE249" s="914"/>
      <c r="AF249" s="914"/>
    </row>
    <row r="250" spans="20:32" x14ac:dyDescent="0.25">
      <c r="T250" s="914"/>
      <c r="U250" s="914"/>
      <c r="V250" s="914"/>
      <c r="W250" s="914"/>
      <c r="X250" s="914"/>
      <c r="Y250" s="914"/>
      <c r="Z250" s="914"/>
      <c r="AA250" s="914"/>
      <c r="AB250" s="914"/>
      <c r="AC250" s="914"/>
      <c r="AD250" s="914"/>
      <c r="AE250" s="914"/>
      <c r="AF250" s="914"/>
    </row>
    <row r="251" spans="20:32" x14ac:dyDescent="0.25">
      <c r="T251" s="914"/>
      <c r="U251" s="914"/>
      <c r="V251" s="914"/>
      <c r="W251" s="914"/>
      <c r="X251" s="914"/>
      <c r="Y251" s="914"/>
      <c r="Z251" s="914"/>
      <c r="AA251" s="914"/>
      <c r="AB251" s="914"/>
      <c r="AC251" s="914"/>
      <c r="AD251" s="914"/>
      <c r="AE251" s="914"/>
      <c r="AF251" s="914"/>
    </row>
    <row r="252" spans="20:32" x14ac:dyDescent="0.25">
      <c r="T252" s="914"/>
      <c r="U252" s="914"/>
      <c r="V252" s="914"/>
      <c r="W252" s="914"/>
      <c r="X252" s="914"/>
      <c r="Y252" s="914"/>
      <c r="Z252" s="914"/>
      <c r="AA252" s="914"/>
      <c r="AB252" s="914"/>
      <c r="AC252" s="914"/>
      <c r="AD252" s="914"/>
      <c r="AE252" s="914"/>
      <c r="AF252" s="914"/>
    </row>
    <row r="253" spans="20:32" x14ac:dyDescent="0.25">
      <c r="T253" s="914"/>
      <c r="U253" s="914"/>
      <c r="V253" s="914"/>
      <c r="W253" s="914"/>
      <c r="X253" s="914"/>
      <c r="Y253" s="914"/>
      <c r="Z253" s="914"/>
      <c r="AA253" s="914"/>
      <c r="AB253" s="914"/>
      <c r="AC253" s="914"/>
      <c r="AD253" s="914"/>
      <c r="AE253" s="914"/>
      <c r="AF253" s="914"/>
    </row>
    <row r="254" spans="20:32" x14ac:dyDescent="0.25">
      <c r="T254" s="914"/>
      <c r="U254" s="914"/>
      <c r="V254" s="914"/>
      <c r="W254" s="914"/>
      <c r="X254" s="914"/>
      <c r="Y254" s="914"/>
      <c r="Z254" s="914"/>
      <c r="AA254" s="914"/>
      <c r="AB254" s="914"/>
      <c r="AC254" s="914"/>
      <c r="AD254" s="914"/>
      <c r="AE254" s="914"/>
      <c r="AF254" s="914"/>
    </row>
    <row r="255" spans="20:32" x14ac:dyDescent="0.25">
      <c r="T255" s="914"/>
      <c r="U255" s="914"/>
      <c r="V255" s="914"/>
      <c r="W255" s="914"/>
      <c r="X255" s="914"/>
      <c r="Y255" s="914"/>
      <c r="Z255" s="914"/>
      <c r="AA255" s="914"/>
      <c r="AB255" s="914"/>
      <c r="AC255" s="914"/>
      <c r="AD255" s="914"/>
      <c r="AE255" s="914"/>
      <c r="AF255" s="914"/>
    </row>
    <row r="256" spans="20:32" x14ac:dyDescent="0.25">
      <c r="T256" s="914"/>
      <c r="U256" s="914"/>
      <c r="V256" s="914"/>
      <c r="W256" s="914"/>
      <c r="X256" s="914"/>
      <c r="Y256" s="914"/>
      <c r="Z256" s="914"/>
      <c r="AA256" s="914"/>
      <c r="AB256" s="914"/>
      <c r="AC256" s="914"/>
      <c r="AD256" s="914"/>
      <c r="AE256" s="914"/>
      <c r="AF256" s="914"/>
    </row>
    <row r="257" spans="20:32" x14ac:dyDescent="0.25">
      <c r="T257" s="914"/>
      <c r="U257" s="914"/>
      <c r="V257" s="914"/>
      <c r="W257" s="914"/>
      <c r="X257" s="914"/>
      <c r="Y257" s="914"/>
      <c r="Z257" s="914"/>
      <c r="AA257" s="914"/>
      <c r="AB257" s="914"/>
      <c r="AC257" s="914"/>
      <c r="AD257" s="914"/>
      <c r="AE257" s="914"/>
      <c r="AF257" s="914"/>
    </row>
    <row r="258" spans="20:32" x14ac:dyDescent="0.25">
      <c r="T258" s="914"/>
      <c r="U258" s="914"/>
      <c r="V258" s="914"/>
      <c r="W258" s="914"/>
      <c r="X258" s="914"/>
      <c r="Y258" s="914"/>
      <c r="Z258" s="914"/>
      <c r="AA258" s="914"/>
      <c r="AB258" s="914"/>
      <c r="AC258" s="914"/>
      <c r="AD258" s="914"/>
      <c r="AE258" s="914"/>
      <c r="AF258" s="914"/>
    </row>
    <row r="259" spans="20:32" x14ac:dyDescent="0.25">
      <c r="T259" s="914"/>
      <c r="U259" s="914"/>
      <c r="V259" s="914"/>
      <c r="W259" s="914"/>
      <c r="X259" s="914"/>
      <c r="Y259" s="914"/>
      <c r="Z259" s="914"/>
      <c r="AA259" s="914"/>
      <c r="AB259" s="914"/>
      <c r="AC259" s="914"/>
      <c r="AD259" s="914"/>
      <c r="AE259" s="914"/>
      <c r="AF259" s="914"/>
    </row>
    <row r="260" spans="20:32" x14ac:dyDescent="0.25">
      <c r="T260" s="914"/>
      <c r="U260" s="914"/>
      <c r="V260" s="914"/>
      <c r="W260" s="914"/>
      <c r="X260" s="914"/>
      <c r="Y260" s="914"/>
      <c r="Z260" s="914"/>
      <c r="AA260" s="914"/>
      <c r="AB260" s="914"/>
      <c r="AC260" s="914"/>
      <c r="AD260" s="914"/>
      <c r="AE260" s="914"/>
      <c r="AF260" s="914"/>
    </row>
    <row r="261" spans="20:32" x14ac:dyDescent="0.25">
      <c r="T261" s="914"/>
      <c r="U261" s="914"/>
      <c r="V261" s="914"/>
      <c r="W261" s="914"/>
      <c r="X261" s="914"/>
      <c r="Y261" s="914"/>
      <c r="Z261" s="914"/>
      <c r="AA261" s="914"/>
      <c r="AB261" s="914"/>
      <c r="AC261" s="914"/>
      <c r="AD261" s="914"/>
      <c r="AE261" s="914"/>
      <c r="AF261" s="914"/>
    </row>
    <row r="262" spans="20:32" x14ac:dyDescent="0.25">
      <c r="T262" s="914"/>
      <c r="U262" s="914"/>
      <c r="V262" s="914"/>
      <c r="W262" s="914"/>
      <c r="X262" s="914"/>
      <c r="Y262" s="914"/>
      <c r="Z262" s="914"/>
      <c r="AA262" s="914"/>
      <c r="AB262" s="914"/>
      <c r="AC262" s="914"/>
      <c r="AD262" s="914"/>
      <c r="AE262" s="914"/>
      <c r="AF262" s="914"/>
    </row>
    <row r="263" spans="20:32" x14ac:dyDescent="0.25">
      <c r="T263" s="914"/>
      <c r="U263" s="914"/>
      <c r="V263" s="914"/>
      <c r="W263" s="914"/>
      <c r="X263" s="914"/>
      <c r="Y263" s="914"/>
      <c r="Z263" s="914"/>
      <c r="AA263" s="914"/>
      <c r="AB263" s="914"/>
      <c r="AC263" s="914"/>
      <c r="AD263" s="914"/>
      <c r="AE263" s="914"/>
      <c r="AF263" s="914"/>
    </row>
    <row r="264" spans="20:32" x14ac:dyDescent="0.25">
      <c r="T264" s="914"/>
      <c r="U264" s="914"/>
      <c r="V264" s="914"/>
      <c r="W264" s="914"/>
      <c r="X264" s="914"/>
      <c r="Y264" s="914"/>
      <c r="Z264" s="914"/>
      <c r="AA264" s="914"/>
      <c r="AB264" s="914"/>
      <c r="AC264" s="914"/>
      <c r="AD264" s="914"/>
      <c r="AE264" s="914"/>
      <c r="AF264" s="914"/>
    </row>
    <row r="265" spans="20:32" x14ac:dyDescent="0.25">
      <c r="T265" s="914"/>
      <c r="U265" s="914"/>
      <c r="V265" s="914"/>
      <c r="W265" s="914"/>
      <c r="X265" s="914"/>
      <c r="Y265" s="914"/>
      <c r="Z265" s="914"/>
      <c r="AA265" s="914"/>
      <c r="AB265" s="914"/>
      <c r="AC265" s="914"/>
      <c r="AD265" s="914"/>
      <c r="AE265" s="914"/>
      <c r="AF265" s="914"/>
    </row>
    <row r="266" spans="20:32" x14ac:dyDescent="0.25">
      <c r="T266" s="914"/>
      <c r="U266" s="914"/>
      <c r="V266" s="914"/>
      <c r="W266" s="914"/>
      <c r="X266" s="914"/>
      <c r="Y266" s="914"/>
      <c r="Z266" s="914"/>
      <c r="AA266" s="914"/>
      <c r="AB266" s="914"/>
      <c r="AC266" s="914"/>
      <c r="AD266" s="914"/>
      <c r="AE266" s="914"/>
      <c r="AF266" s="914"/>
    </row>
    <row r="267" spans="20:32" x14ac:dyDescent="0.25">
      <c r="T267" s="914"/>
      <c r="U267" s="914"/>
      <c r="V267" s="914"/>
      <c r="W267" s="914"/>
      <c r="X267" s="914"/>
      <c r="Y267" s="914"/>
      <c r="Z267" s="914"/>
      <c r="AA267" s="914"/>
      <c r="AB267" s="914"/>
      <c r="AC267" s="914"/>
      <c r="AD267" s="914"/>
      <c r="AE267" s="914"/>
      <c r="AF267" s="914"/>
    </row>
    <row r="268" spans="20:32" x14ac:dyDescent="0.25">
      <c r="T268" s="914"/>
      <c r="U268" s="914"/>
      <c r="V268" s="914"/>
      <c r="W268" s="914"/>
      <c r="X268" s="914"/>
      <c r="Y268" s="914"/>
      <c r="Z268" s="914"/>
      <c r="AA268" s="914"/>
      <c r="AB268" s="914"/>
      <c r="AC268" s="914"/>
      <c r="AD268" s="914"/>
      <c r="AE268" s="914"/>
      <c r="AF268" s="914"/>
    </row>
    <row r="269" spans="20:32" x14ac:dyDescent="0.25">
      <c r="T269" s="914"/>
      <c r="U269" s="914"/>
      <c r="V269" s="914"/>
      <c r="W269" s="914"/>
      <c r="X269" s="914"/>
      <c r="Y269" s="914"/>
      <c r="Z269" s="914"/>
      <c r="AA269" s="914"/>
      <c r="AB269" s="914"/>
      <c r="AC269" s="914"/>
      <c r="AD269" s="914"/>
      <c r="AE269" s="914"/>
      <c r="AF269" s="914"/>
    </row>
    <row r="270" spans="20:32" x14ac:dyDescent="0.25">
      <c r="T270" s="914"/>
      <c r="U270" s="914"/>
      <c r="V270" s="914"/>
      <c r="W270" s="914"/>
      <c r="X270" s="914"/>
      <c r="Y270" s="914"/>
      <c r="Z270" s="914"/>
      <c r="AA270" s="914"/>
      <c r="AB270" s="914"/>
      <c r="AC270" s="914"/>
      <c r="AD270" s="914"/>
      <c r="AE270" s="914"/>
      <c r="AF270" s="914"/>
    </row>
    <row r="271" spans="20:32" x14ac:dyDescent="0.25">
      <c r="T271" s="914"/>
      <c r="U271" s="914"/>
      <c r="V271" s="914"/>
      <c r="W271" s="914"/>
      <c r="X271" s="914"/>
      <c r="Y271" s="914"/>
      <c r="Z271" s="914"/>
      <c r="AA271" s="914"/>
      <c r="AB271" s="914"/>
      <c r="AC271" s="914"/>
      <c r="AD271" s="914"/>
      <c r="AE271" s="914"/>
      <c r="AF271" s="914"/>
    </row>
    <row r="272" spans="20:32" x14ac:dyDescent="0.25">
      <c r="T272" s="914"/>
      <c r="U272" s="914"/>
      <c r="V272" s="914"/>
      <c r="W272" s="914"/>
      <c r="X272" s="914"/>
      <c r="Y272" s="914"/>
      <c r="Z272" s="914"/>
      <c r="AA272" s="914"/>
      <c r="AB272" s="914"/>
      <c r="AC272" s="914"/>
      <c r="AD272" s="914"/>
      <c r="AE272" s="914"/>
      <c r="AF272" s="914"/>
    </row>
    <row r="273" spans="20:32" x14ac:dyDescent="0.25">
      <c r="T273" s="914"/>
      <c r="U273" s="914"/>
      <c r="V273" s="914"/>
      <c r="W273" s="914"/>
      <c r="X273" s="914"/>
      <c r="Y273" s="914"/>
      <c r="Z273" s="914"/>
      <c r="AA273" s="914"/>
      <c r="AB273" s="914"/>
      <c r="AC273" s="914"/>
      <c r="AD273" s="914"/>
      <c r="AE273" s="914"/>
      <c r="AF273" s="914"/>
    </row>
    <row r="274" spans="20:32" x14ac:dyDescent="0.25">
      <c r="T274" s="914"/>
      <c r="U274" s="914"/>
      <c r="V274" s="914"/>
      <c r="W274" s="914"/>
      <c r="X274" s="914"/>
      <c r="Y274" s="914"/>
      <c r="Z274" s="914"/>
      <c r="AA274" s="914"/>
      <c r="AB274" s="914"/>
      <c r="AC274" s="914"/>
      <c r="AD274" s="914"/>
      <c r="AE274" s="914"/>
      <c r="AF274" s="914"/>
    </row>
    <row r="275" spans="20:32" x14ac:dyDescent="0.25">
      <c r="T275" s="914"/>
      <c r="U275" s="914"/>
      <c r="V275" s="914"/>
      <c r="W275" s="914"/>
      <c r="X275" s="914"/>
      <c r="Y275" s="914"/>
      <c r="Z275" s="914"/>
      <c r="AA275" s="914"/>
      <c r="AB275" s="914"/>
      <c r="AC275" s="914"/>
      <c r="AD275" s="914"/>
      <c r="AE275" s="914"/>
      <c r="AF275" s="914"/>
    </row>
    <row r="276" spans="20:32" x14ac:dyDescent="0.25">
      <c r="T276" s="914"/>
      <c r="U276" s="914"/>
      <c r="V276" s="914"/>
      <c r="W276" s="914"/>
      <c r="X276" s="914"/>
      <c r="Y276" s="914"/>
      <c r="Z276" s="914"/>
      <c r="AA276" s="914"/>
      <c r="AB276" s="914"/>
      <c r="AC276" s="914"/>
      <c r="AD276" s="914"/>
      <c r="AE276" s="914"/>
      <c r="AF276" s="914"/>
    </row>
    <row r="277" spans="20:32" x14ac:dyDescent="0.25">
      <c r="T277" s="914"/>
      <c r="U277" s="914"/>
      <c r="V277" s="914"/>
      <c r="W277" s="914"/>
      <c r="X277" s="914"/>
      <c r="Y277" s="914"/>
      <c r="Z277" s="914"/>
      <c r="AA277" s="914"/>
      <c r="AB277" s="914"/>
      <c r="AC277" s="914"/>
      <c r="AD277" s="914"/>
      <c r="AE277" s="914"/>
      <c r="AF277" s="914"/>
    </row>
    <row r="278" spans="20:32" x14ac:dyDescent="0.25">
      <c r="T278" s="914"/>
      <c r="U278" s="914"/>
      <c r="V278" s="914"/>
      <c r="W278" s="914"/>
      <c r="X278" s="914"/>
      <c r="Y278" s="914"/>
      <c r="Z278" s="914"/>
      <c r="AA278" s="914"/>
      <c r="AB278" s="914"/>
      <c r="AC278" s="914"/>
      <c r="AD278" s="914"/>
      <c r="AE278" s="914"/>
      <c r="AF278" s="914"/>
    </row>
    <row r="279" spans="20:32" x14ac:dyDescent="0.25">
      <c r="T279" s="914"/>
      <c r="U279" s="914"/>
      <c r="V279" s="914"/>
      <c r="W279" s="914"/>
      <c r="X279" s="914"/>
      <c r="Y279" s="914"/>
      <c r="Z279" s="914"/>
      <c r="AA279" s="914"/>
      <c r="AB279" s="914"/>
      <c r="AC279" s="914"/>
      <c r="AD279" s="914"/>
      <c r="AE279" s="914"/>
      <c r="AF279" s="914"/>
    </row>
    <row r="280" spans="20:32" x14ac:dyDescent="0.25">
      <c r="T280" s="914"/>
      <c r="U280" s="914"/>
      <c r="V280" s="914"/>
      <c r="W280" s="914"/>
      <c r="X280" s="914"/>
      <c r="Y280" s="914"/>
      <c r="Z280" s="914"/>
      <c r="AA280" s="914"/>
      <c r="AB280" s="914"/>
      <c r="AC280" s="914"/>
      <c r="AD280" s="914"/>
      <c r="AE280" s="914"/>
      <c r="AF280" s="914"/>
    </row>
    <row r="281" spans="20:32" x14ac:dyDescent="0.25">
      <c r="T281" s="914"/>
      <c r="U281" s="914"/>
      <c r="V281" s="914"/>
      <c r="W281" s="914"/>
      <c r="X281" s="914"/>
      <c r="Y281" s="914"/>
      <c r="Z281" s="914"/>
      <c r="AA281" s="914"/>
      <c r="AB281" s="914"/>
      <c r="AC281" s="914"/>
      <c r="AD281" s="914"/>
      <c r="AE281" s="914"/>
      <c r="AF281" s="914"/>
    </row>
    <row r="282" spans="20:32" x14ac:dyDescent="0.25">
      <c r="T282" s="914"/>
      <c r="U282" s="914"/>
      <c r="V282" s="914"/>
      <c r="W282" s="914"/>
      <c r="X282" s="914"/>
      <c r="Y282" s="914"/>
      <c r="Z282" s="914"/>
      <c r="AA282" s="914"/>
      <c r="AB282" s="914"/>
      <c r="AC282" s="914"/>
      <c r="AD282" s="914"/>
      <c r="AE282" s="914"/>
      <c r="AF282" s="914"/>
    </row>
    <row r="283" spans="20:32" x14ac:dyDescent="0.25">
      <c r="T283" s="914"/>
      <c r="U283" s="914"/>
      <c r="V283" s="914"/>
      <c r="W283" s="914"/>
      <c r="X283" s="914"/>
      <c r="Y283" s="914"/>
      <c r="Z283" s="914"/>
      <c r="AA283" s="914"/>
      <c r="AB283" s="914"/>
      <c r="AC283" s="914"/>
      <c r="AD283" s="914"/>
      <c r="AE283" s="914"/>
      <c r="AF283" s="914"/>
    </row>
    <row r="284" spans="20:32" x14ac:dyDescent="0.25">
      <c r="T284" s="914"/>
      <c r="U284" s="914"/>
      <c r="V284" s="914"/>
      <c r="W284" s="914"/>
      <c r="X284" s="914"/>
      <c r="Y284" s="914"/>
      <c r="Z284" s="914"/>
      <c r="AA284" s="914"/>
      <c r="AB284" s="914"/>
      <c r="AC284" s="914"/>
      <c r="AD284" s="914"/>
      <c r="AE284" s="914"/>
      <c r="AF284" s="914"/>
    </row>
    <row r="285" spans="20:32" x14ac:dyDescent="0.25">
      <c r="T285" s="914"/>
      <c r="U285" s="914"/>
      <c r="V285" s="914"/>
      <c r="W285" s="914"/>
      <c r="X285" s="914"/>
      <c r="Y285" s="914"/>
      <c r="Z285" s="914"/>
      <c r="AA285" s="914"/>
      <c r="AB285" s="914"/>
      <c r="AC285" s="914"/>
      <c r="AD285" s="914"/>
      <c r="AE285" s="914"/>
      <c r="AF285" s="914"/>
    </row>
    <row r="286" spans="20:32" x14ac:dyDescent="0.25">
      <c r="T286" s="914"/>
      <c r="U286" s="914"/>
      <c r="V286" s="914"/>
      <c r="W286" s="914"/>
      <c r="X286" s="914"/>
      <c r="Y286" s="914"/>
      <c r="Z286" s="914"/>
      <c r="AA286" s="914"/>
      <c r="AB286" s="914"/>
      <c r="AC286" s="914"/>
      <c r="AD286" s="914"/>
      <c r="AE286" s="914"/>
      <c r="AF286" s="914"/>
    </row>
    <row r="287" spans="20:32" x14ac:dyDescent="0.25">
      <c r="T287" s="914"/>
      <c r="U287" s="914"/>
      <c r="V287" s="914"/>
      <c r="W287" s="914"/>
      <c r="X287" s="914"/>
      <c r="Y287" s="914"/>
      <c r="Z287" s="914"/>
      <c r="AA287" s="914"/>
      <c r="AB287" s="914"/>
      <c r="AC287" s="914"/>
      <c r="AD287" s="914"/>
      <c r="AE287" s="914"/>
      <c r="AF287" s="914"/>
    </row>
    <row r="288" spans="20:32" x14ac:dyDescent="0.25">
      <c r="T288" s="914"/>
      <c r="U288" s="914"/>
      <c r="V288" s="914"/>
      <c r="W288" s="914"/>
      <c r="X288" s="914"/>
      <c r="Y288" s="914"/>
      <c r="Z288" s="914"/>
      <c r="AA288" s="914"/>
      <c r="AB288" s="914"/>
      <c r="AC288" s="914"/>
      <c r="AD288" s="914"/>
      <c r="AE288" s="914"/>
      <c r="AF288" s="914"/>
    </row>
    <row r="289" spans="20:32" x14ac:dyDescent="0.25">
      <c r="T289" s="914"/>
      <c r="U289" s="914"/>
      <c r="V289" s="914"/>
      <c r="W289" s="914"/>
      <c r="X289" s="914"/>
      <c r="Y289" s="914"/>
      <c r="Z289" s="914"/>
      <c r="AA289" s="914"/>
      <c r="AB289" s="914"/>
      <c r="AC289" s="914"/>
      <c r="AD289" s="914"/>
      <c r="AE289" s="914"/>
      <c r="AF289" s="914"/>
    </row>
    <row r="290" spans="20:32" x14ac:dyDescent="0.25">
      <c r="T290" s="914"/>
      <c r="U290" s="914"/>
      <c r="V290" s="914"/>
      <c r="W290" s="914"/>
      <c r="X290" s="914"/>
      <c r="Y290" s="914"/>
      <c r="Z290" s="914"/>
      <c r="AA290" s="914"/>
      <c r="AB290" s="914"/>
      <c r="AC290" s="914"/>
      <c r="AD290" s="914"/>
      <c r="AE290" s="914"/>
      <c r="AF290" s="914"/>
    </row>
    <row r="291" spans="20:32" x14ac:dyDescent="0.25">
      <c r="T291" s="914"/>
      <c r="U291" s="914"/>
      <c r="V291" s="914"/>
      <c r="W291" s="914"/>
      <c r="X291" s="914"/>
      <c r="Y291" s="914"/>
      <c r="Z291" s="914"/>
      <c r="AA291" s="914"/>
      <c r="AB291" s="914"/>
      <c r="AC291" s="914"/>
      <c r="AD291" s="914"/>
      <c r="AE291" s="914"/>
      <c r="AF291" s="914"/>
    </row>
    <row r="292" spans="20:32" x14ac:dyDescent="0.25">
      <c r="T292" s="914"/>
      <c r="U292" s="914"/>
      <c r="V292" s="914"/>
      <c r="W292" s="914"/>
      <c r="X292" s="914"/>
      <c r="Y292" s="914"/>
      <c r="Z292" s="914"/>
      <c r="AA292" s="914"/>
      <c r="AB292" s="914"/>
      <c r="AC292" s="914"/>
      <c r="AD292" s="914"/>
      <c r="AE292" s="914"/>
      <c r="AF292" s="914"/>
    </row>
    <row r="293" spans="20:32" x14ac:dyDescent="0.25">
      <c r="T293" s="914"/>
      <c r="U293" s="914"/>
      <c r="V293" s="914"/>
      <c r="W293" s="914"/>
      <c r="X293" s="914"/>
      <c r="Y293" s="914"/>
      <c r="Z293" s="914"/>
      <c r="AA293" s="914"/>
      <c r="AB293" s="914"/>
      <c r="AC293" s="914"/>
      <c r="AD293" s="914"/>
      <c r="AE293" s="914"/>
      <c r="AF293" s="914"/>
    </row>
    <row r="294" spans="20:32" x14ac:dyDescent="0.25">
      <c r="T294" s="914"/>
      <c r="U294" s="914"/>
      <c r="V294" s="914"/>
      <c r="W294" s="914"/>
      <c r="X294" s="914"/>
      <c r="Y294" s="914"/>
      <c r="Z294" s="914"/>
      <c r="AA294" s="914"/>
      <c r="AB294" s="914"/>
      <c r="AC294" s="914"/>
      <c r="AD294" s="914"/>
      <c r="AE294" s="914"/>
      <c r="AF294" s="914"/>
    </row>
    <row r="295" spans="20:32" x14ac:dyDescent="0.25">
      <c r="T295" s="914"/>
      <c r="U295" s="914"/>
      <c r="V295" s="914"/>
      <c r="W295" s="914"/>
      <c r="X295" s="914"/>
      <c r="Y295" s="914"/>
      <c r="Z295" s="914"/>
      <c r="AA295" s="914"/>
      <c r="AB295" s="914"/>
      <c r="AC295" s="914"/>
      <c r="AD295" s="914"/>
      <c r="AE295" s="914"/>
      <c r="AF295" s="914"/>
    </row>
    <row r="296" spans="20:32" x14ac:dyDescent="0.25">
      <c r="T296" s="914"/>
      <c r="U296" s="914"/>
      <c r="V296" s="914"/>
      <c r="W296" s="914"/>
      <c r="X296" s="914"/>
      <c r="Y296" s="914"/>
      <c r="Z296" s="914"/>
      <c r="AA296" s="914"/>
      <c r="AB296" s="914"/>
      <c r="AC296" s="914"/>
      <c r="AD296" s="914"/>
      <c r="AE296" s="914"/>
      <c r="AF296" s="914"/>
    </row>
    <row r="297" spans="20:32" x14ac:dyDescent="0.25">
      <c r="T297" s="914"/>
      <c r="U297" s="914"/>
      <c r="V297" s="914"/>
      <c r="W297" s="914"/>
      <c r="X297" s="914"/>
      <c r="Y297" s="914"/>
      <c r="Z297" s="914"/>
      <c r="AA297" s="914"/>
      <c r="AB297" s="914"/>
      <c r="AC297" s="914"/>
      <c r="AD297" s="914"/>
      <c r="AE297" s="914"/>
      <c r="AF297" s="914"/>
    </row>
    <row r="298" spans="20:32" x14ac:dyDescent="0.25">
      <c r="T298" s="914"/>
      <c r="U298" s="914"/>
      <c r="V298" s="914"/>
      <c r="W298" s="914"/>
      <c r="X298" s="914"/>
      <c r="Y298" s="914"/>
      <c r="Z298" s="914"/>
      <c r="AA298" s="914"/>
      <c r="AB298" s="914"/>
      <c r="AC298" s="914"/>
      <c r="AD298" s="914"/>
      <c r="AE298" s="914"/>
      <c r="AF298" s="914"/>
    </row>
    <row r="299" spans="20:32" x14ac:dyDescent="0.25">
      <c r="T299" s="914"/>
      <c r="U299" s="914"/>
      <c r="V299" s="914"/>
      <c r="W299" s="914"/>
      <c r="X299" s="914"/>
      <c r="Y299" s="914"/>
      <c r="Z299" s="914"/>
      <c r="AA299" s="914"/>
      <c r="AB299" s="914"/>
      <c r="AC299" s="914"/>
      <c r="AD299" s="914"/>
      <c r="AE299" s="914"/>
      <c r="AF299" s="914"/>
    </row>
    <row r="300" spans="20:32" x14ac:dyDescent="0.25">
      <c r="T300" s="914"/>
      <c r="U300" s="914"/>
      <c r="V300" s="914"/>
      <c r="W300" s="914"/>
      <c r="X300" s="914"/>
      <c r="Y300" s="914"/>
      <c r="Z300" s="914"/>
      <c r="AA300" s="914"/>
      <c r="AB300" s="914"/>
      <c r="AC300" s="914"/>
      <c r="AD300" s="914"/>
      <c r="AE300" s="914"/>
      <c r="AF300" s="914"/>
    </row>
    <row r="301" spans="20:32" x14ac:dyDescent="0.25">
      <c r="T301" s="914"/>
      <c r="U301" s="914"/>
      <c r="V301" s="914"/>
      <c r="W301" s="914"/>
      <c r="X301" s="914"/>
      <c r="Y301" s="914"/>
      <c r="Z301" s="914"/>
      <c r="AA301" s="914"/>
      <c r="AB301" s="914"/>
      <c r="AC301" s="914"/>
      <c r="AD301" s="914"/>
      <c r="AE301" s="914"/>
      <c r="AF301" s="914"/>
    </row>
    <row r="302" spans="20:32" x14ac:dyDescent="0.25">
      <c r="T302" s="914"/>
      <c r="U302" s="914"/>
      <c r="V302" s="914"/>
      <c r="W302" s="914"/>
      <c r="X302" s="914"/>
      <c r="Y302" s="914"/>
      <c r="Z302" s="914"/>
      <c r="AA302" s="914"/>
      <c r="AB302" s="914"/>
      <c r="AC302" s="914"/>
      <c r="AD302" s="914"/>
      <c r="AE302" s="914"/>
      <c r="AF302" s="914"/>
    </row>
    <row r="303" spans="20:32" x14ac:dyDescent="0.25">
      <c r="T303" s="914"/>
      <c r="U303" s="914"/>
      <c r="V303" s="914"/>
      <c r="W303" s="914"/>
      <c r="X303" s="914"/>
      <c r="Y303" s="914"/>
      <c r="Z303" s="914"/>
      <c r="AA303" s="914"/>
      <c r="AB303" s="914"/>
      <c r="AC303" s="914"/>
      <c r="AD303" s="914"/>
      <c r="AE303" s="914"/>
      <c r="AF303" s="914"/>
    </row>
    <row r="304" spans="20:32" x14ac:dyDescent="0.25">
      <c r="T304" s="914"/>
      <c r="U304" s="914"/>
      <c r="V304" s="914"/>
      <c r="W304" s="914"/>
      <c r="X304" s="914"/>
      <c r="Y304" s="914"/>
      <c r="Z304" s="914"/>
      <c r="AA304" s="914"/>
      <c r="AB304" s="914"/>
      <c r="AC304" s="914"/>
      <c r="AD304" s="914"/>
      <c r="AE304" s="914"/>
      <c r="AF304" s="914"/>
    </row>
    <row r="305" spans="20:32" x14ac:dyDescent="0.25">
      <c r="T305" s="914"/>
      <c r="U305" s="914"/>
      <c r="V305" s="914"/>
      <c r="W305" s="914"/>
      <c r="X305" s="914"/>
      <c r="Y305" s="914"/>
      <c r="Z305" s="914"/>
      <c r="AA305" s="914"/>
      <c r="AB305" s="914"/>
      <c r="AC305" s="914"/>
      <c r="AD305" s="914"/>
      <c r="AE305" s="914"/>
      <c r="AF305" s="914"/>
    </row>
    <row r="306" spans="20:32" x14ac:dyDescent="0.25">
      <c r="T306" s="914"/>
      <c r="U306" s="914"/>
      <c r="V306" s="914"/>
      <c r="W306" s="914"/>
      <c r="X306" s="914"/>
      <c r="Y306" s="914"/>
      <c r="Z306" s="914"/>
      <c r="AA306" s="914"/>
      <c r="AB306" s="914"/>
      <c r="AC306" s="914"/>
      <c r="AD306" s="914"/>
      <c r="AE306" s="914"/>
      <c r="AF306" s="914"/>
    </row>
    <row r="307" spans="20:32" x14ac:dyDescent="0.25">
      <c r="T307" s="914"/>
      <c r="U307" s="914"/>
      <c r="V307" s="914"/>
      <c r="W307" s="914"/>
      <c r="X307" s="914"/>
      <c r="Y307" s="914"/>
      <c r="Z307" s="914"/>
      <c r="AA307" s="914"/>
      <c r="AB307" s="914"/>
      <c r="AC307" s="914"/>
      <c r="AD307" s="914"/>
      <c r="AE307" s="914"/>
      <c r="AF307" s="914"/>
    </row>
    <row r="308" spans="20:32" x14ac:dyDescent="0.25">
      <c r="T308" s="914"/>
      <c r="U308" s="914"/>
      <c r="V308" s="914"/>
      <c r="W308" s="914"/>
      <c r="X308" s="914"/>
      <c r="Y308" s="914"/>
      <c r="Z308" s="914"/>
      <c r="AA308" s="914"/>
      <c r="AB308" s="914"/>
      <c r="AC308" s="914"/>
      <c r="AD308" s="914"/>
      <c r="AE308" s="914"/>
      <c r="AF308" s="914"/>
    </row>
    <row r="309" spans="20:32" x14ac:dyDescent="0.25">
      <c r="T309" s="914"/>
      <c r="U309" s="914"/>
      <c r="V309" s="914"/>
      <c r="W309" s="914"/>
      <c r="X309" s="914"/>
      <c r="Y309" s="914"/>
      <c r="Z309" s="914"/>
      <c r="AA309" s="914"/>
      <c r="AB309" s="914"/>
      <c r="AC309" s="914"/>
      <c r="AD309" s="914"/>
      <c r="AE309" s="914"/>
      <c r="AF309" s="914"/>
    </row>
    <row r="310" spans="20:32" x14ac:dyDescent="0.25">
      <c r="T310" s="914"/>
      <c r="U310" s="914"/>
      <c r="V310" s="914"/>
      <c r="W310" s="914"/>
      <c r="X310" s="914"/>
      <c r="Y310" s="914"/>
      <c r="Z310" s="914"/>
      <c r="AA310" s="914"/>
      <c r="AB310" s="914"/>
      <c r="AC310" s="914"/>
      <c r="AD310" s="914"/>
      <c r="AE310" s="914"/>
      <c r="AF310" s="914"/>
    </row>
    <row r="311" spans="20:32" x14ac:dyDescent="0.25">
      <c r="T311" s="914"/>
      <c r="U311" s="914"/>
      <c r="V311" s="914"/>
      <c r="W311" s="914"/>
      <c r="X311" s="914"/>
      <c r="Y311" s="914"/>
      <c r="Z311" s="914"/>
      <c r="AA311" s="914"/>
      <c r="AB311" s="914"/>
      <c r="AC311" s="914"/>
      <c r="AD311" s="914"/>
      <c r="AE311" s="914"/>
      <c r="AF311" s="914"/>
    </row>
    <row r="312" spans="20:32" x14ac:dyDescent="0.25">
      <c r="T312" s="914"/>
      <c r="U312" s="914"/>
      <c r="V312" s="914"/>
      <c r="W312" s="914"/>
      <c r="X312" s="914"/>
      <c r="Y312" s="914"/>
      <c r="Z312" s="914"/>
      <c r="AA312" s="914"/>
      <c r="AB312" s="914"/>
      <c r="AC312" s="914"/>
      <c r="AD312" s="914"/>
      <c r="AE312" s="914"/>
      <c r="AF312" s="914"/>
    </row>
    <row r="313" spans="20:32" x14ac:dyDescent="0.25">
      <c r="T313" s="914"/>
      <c r="U313" s="914"/>
      <c r="V313" s="914"/>
      <c r="W313" s="914"/>
      <c r="X313" s="914"/>
      <c r="Y313" s="914"/>
      <c r="Z313" s="914"/>
      <c r="AA313" s="914"/>
      <c r="AB313" s="914"/>
      <c r="AC313" s="914"/>
      <c r="AD313" s="914"/>
      <c r="AE313" s="914"/>
      <c r="AF313" s="914"/>
    </row>
    <row r="314" spans="20:32" x14ac:dyDescent="0.25">
      <c r="T314" s="914"/>
      <c r="U314" s="914"/>
      <c r="V314" s="914"/>
      <c r="W314" s="914"/>
      <c r="X314" s="914"/>
      <c r="Y314" s="914"/>
      <c r="Z314" s="914"/>
      <c r="AA314" s="914"/>
      <c r="AB314" s="914"/>
      <c r="AC314" s="914"/>
      <c r="AD314" s="914"/>
      <c r="AE314" s="914"/>
      <c r="AF314" s="914"/>
    </row>
    <row r="315" spans="20:32" x14ac:dyDescent="0.25">
      <c r="T315" s="914"/>
      <c r="U315" s="914"/>
      <c r="V315" s="914"/>
      <c r="W315" s="914"/>
      <c r="X315" s="914"/>
      <c r="Y315" s="914"/>
      <c r="Z315" s="914"/>
      <c r="AA315" s="914"/>
      <c r="AB315" s="914"/>
      <c r="AC315" s="914"/>
      <c r="AD315" s="914"/>
      <c r="AE315" s="914"/>
      <c r="AF315" s="914"/>
    </row>
    <row r="316" spans="20:32" x14ac:dyDescent="0.25">
      <c r="T316" s="914"/>
      <c r="U316" s="914"/>
      <c r="V316" s="914"/>
      <c r="W316" s="914"/>
      <c r="X316" s="914"/>
      <c r="Y316" s="914"/>
      <c r="Z316" s="914"/>
      <c r="AA316" s="914"/>
      <c r="AB316" s="914"/>
      <c r="AC316" s="914"/>
      <c r="AD316" s="914"/>
      <c r="AE316" s="914"/>
      <c r="AF316" s="914"/>
    </row>
    <row r="317" spans="20:32" x14ac:dyDescent="0.25">
      <c r="T317" s="914"/>
      <c r="U317" s="914"/>
      <c r="V317" s="914"/>
      <c r="W317" s="914"/>
      <c r="X317" s="914"/>
      <c r="Y317" s="914"/>
      <c r="Z317" s="914"/>
      <c r="AA317" s="914"/>
      <c r="AB317" s="914"/>
      <c r="AC317" s="914"/>
      <c r="AD317" s="914"/>
      <c r="AE317" s="914"/>
      <c r="AF317" s="914"/>
    </row>
    <row r="318" spans="20:32" x14ac:dyDescent="0.25">
      <c r="T318" s="914"/>
      <c r="U318" s="914"/>
      <c r="V318" s="914"/>
      <c r="W318" s="914"/>
      <c r="X318" s="914"/>
      <c r="Y318" s="914"/>
      <c r="Z318" s="914"/>
      <c r="AA318" s="914"/>
      <c r="AB318" s="914"/>
      <c r="AC318" s="914"/>
      <c r="AD318" s="914"/>
      <c r="AE318" s="914"/>
      <c r="AF318" s="914"/>
    </row>
    <row r="319" spans="20:32" x14ac:dyDescent="0.25">
      <c r="T319" s="914"/>
      <c r="U319" s="914"/>
      <c r="V319" s="914"/>
      <c r="W319" s="914"/>
      <c r="X319" s="914"/>
      <c r="Y319" s="914"/>
      <c r="Z319" s="914"/>
      <c r="AA319" s="914"/>
      <c r="AB319" s="914"/>
      <c r="AC319" s="914"/>
      <c r="AD319" s="914"/>
      <c r="AE319" s="914"/>
      <c r="AF319" s="914"/>
    </row>
    <row r="320" spans="20:32" x14ac:dyDescent="0.25">
      <c r="T320" s="914"/>
      <c r="U320" s="914"/>
      <c r="V320" s="914"/>
      <c r="W320" s="914"/>
      <c r="X320" s="914"/>
      <c r="Y320" s="914"/>
      <c r="Z320" s="914"/>
      <c r="AA320" s="914"/>
      <c r="AB320" s="914"/>
      <c r="AC320" s="914"/>
      <c r="AD320" s="914"/>
      <c r="AE320" s="914"/>
      <c r="AF320" s="914"/>
    </row>
    <row r="321" spans="20:32" x14ac:dyDescent="0.25">
      <c r="T321" s="914"/>
      <c r="U321" s="914"/>
      <c r="V321" s="914"/>
      <c r="W321" s="914"/>
      <c r="X321" s="914"/>
      <c r="Y321" s="914"/>
      <c r="Z321" s="914"/>
      <c r="AA321" s="914"/>
      <c r="AB321" s="914"/>
      <c r="AC321" s="914"/>
      <c r="AD321" s="914"/>
      <c r="AE321" s="914"/>
      <c r="AF321" s="914"/>
    </row>
    <row r="322" spans="20:32" x14ac:dyDescent="0.25">
      <c r="T322" s="914"/>
      <c r="U322" s="914"/>
      <c r="V322" s="914"/>
      <c r="W322" s="914"/>
      <c r="X322" s="914"/>
      <c r="Y322" s="914"/>
      <c r="Z322" s="914"/>
      <c r="AA322" s="914"/>
      <c r="AB322" s="914"/>
      <c r="AC322" s="914"/>
      <c r="AD322" s="914"/>
      <c r="AE322" s="914"/>
      <c r="AF322" s="914"/>
    </row>
    <row r="323" spans="20:32" x14ac:dyDescent="0.25">
      <c r="T323" s="914"/>
      <c r="U323" s="914"/>
      <c r="V323" s="914"/>
      <c r="W323" s="914"/>
      <c r="X323" s="914"/>
      <c r="Y323" s="914"/>
      <c r="Z323" s="914"/>
      <c r="AA323" s="914"/>
      <c r="AB323" s="914"/>
      <c r="AC323" s="914"/>
      <c r="AD323" s="914"/>
      <c r="AE323" s="914"/>
      <c r="AF323" s="914"/>
    </row>
    <row r="324" spans="20:32" x14ac:dyDescent="0.25">
      <c r="T324" s="914"/>
      <c r="U324" s="914"/>
      <c r="V324" s="914"/>
      <c r="W324" s="914"/>
      <c r="X324" s="914"/>
      <c r="Y324" s="914"/>
      <c r="Z324" s="914"/>
      <c r="AA324" s="914"/>
      <c r="AB324" s="914"/>
      <c r="AC324" s="914"/>
      <c r="AD324" s="914"/>
      <c r="AE324" s="914"/>
      <c r="AF324" s="914"/>
    </row>
    <row r="325" spans="20:32" x14ac:dyDescent="0.25">
      <c r="T325" s="914"/>
      <c r="U325" s="914"/>
      <c r="V325" s="914"/>
      <c r="W325" s="914"/>
      <c r="X325" s="914"/>
      <c r="Y325" s="914"/>
      <c r="Z325" s="914"/>
      <c r="AA325" s="914"/>
      <c r="AB325" s="914"/>
      <c r="AC325" s="914"/>
      <c r="AD325" s="914"/>
      <c r="AE325" s="914"/>
      <c r="AF325" s="914"/>
    </row>
    <row r="326" spans="20:32" x14ac:dyDescent="0.25">
      <c r="T326" s="914"/>
      <c r="U326" s="914"/>
      <c r="V326" s="914"/>
      <c r="W326" s="914"/>
      <c r="X326" s="914"/>
      <c r="Y326" s="914"/>
      <c r="Z326" s="914"/>
      <c r="AA326" s="914"/>
      <c r="AB326" s="914"/>
      <c r="AC326" s="914"/>
      <c r="AD326" s="914"/>
      <c r="AE326" s="914"/>
      <c r="AF326" s="914"/>
    </row>
    <row r="327" spans="20:32" x14ac:dyDescent="0.25">
      <c r="T327" s="914"/>
      <c r="U327" s="914"/>
      <c r="V327" s="914"/>
      <c r="W327" s="914"/>
      <c r="X327" s="914"/>
      <c r="Y327" s="914"/>
      <c r="Z327" s="914"/>
      <c r="AA327" s="914"/>
      <c r="AB327" s="914"/>
      <c r="AC327" s="914"/>
      <c r="AD327" s="914"/>
      <c r="AE327" s="914"/>
      <c r="AF327" s="914"/>
    </row>
    <row r="328" spans="20:32" x14ac:dyDescent="0.25">
      <c r="T328" s="914"/>
      <c r="U328" s="914"/>
      <c r="V328" s="914"/>
      <c r="W328" s="914"/>
      <c r="X328" s="914"/>
      <c r="Y328" s="914"/>
      <c r="Z328" s="914"/>
      <c r="AA328" s="914"/>
      <c r="AB328" s="914"/>
      <c r="AC328" s="914"/>
      <c r="AD328" s="914"/>
      <c r="AE328" s="914"/>
      <c r="AF328" s="914"/>
    </row>
    <row r="329" spans="20:32" x14ac:dyDescent="0.25">
      <c r="T329" s="914"/>
      <c r="U329" s="914"/>
      <c r="V329" s="914"/>
      <c r="W329" s="914"/>
      <c r="X329" s="914"/>
      <c r="Y329" s="914"/>
      <c r="Z329" s="914"/>
      <c r="AA329" s="914"/>
      <c r="AB329" s="914"/>
      <c r="AC329" s="914"/>
      <c r="AD329" s="914"/>
      <c r="AE329" s="914"/>
      <c r="AF329" s="914"/>
    </row>
    <row r="330" spans="20:32" x14ac:dyDescent="0.25">
      <c r="T330" s="914"/>
      <c r="U330" s="914"/>
      <c r="V330" s="914"/>
      <c r="W330" s="914"/>
      <c r="X330" s="914"/>
      <c r="Y330" s="914"/>
      <c r="Z330" s="914"/>
      <c r="AA330" s="914"/>
      <c r="AB330" s="914"/>
      <c r="AC330" s="914"/>
      <c r="AD330" s="914"/>
      <c r="AE330" s="914"/>
      <c r="AF330" s="914"/>
    </row>
    <row r="331" spans="20:32" x14ac:dyDescent="0.25">
      <c r="T331" s="914"/>
      <c r="U331" s="914"/>
      <c r="V331" s="914"/>
      <c r="W331" s="914"/>
      <c r="X331" s="914"/>
      <c r="Y331" s="914"/>
      <c r="Z331" s="914"/>
      <c r="AA331" s="914"/>
      <c r="AB331" s="914"/>
      <c r="AC331" s="914"/>
      <c r="AD331" s="914"/>
      <c r="AE331" s="914"/>
      <c r="AF331" s="914"/>
    </row>
    <row r="332" spans="20:32" x14ac:dyDescent="0.25">
      <c r="T332" s="914"/>
      <c r="U332" s="914"/>
      <c r="V332" s="914"/>
      <c r="W332" s="914"/>
      <c r="X332" s="914"/>
      <c r="Y332" s="914"/>
      <c r="Z332" s="914"/>
      <c r="AA332" s="914"/>
      <c r="AB332" s="914"/>
      <c r="AC332" s="914"/>
      <c r="AD332" s="914"/>
      <c r="AE332" s="914"/>
      <c r="AF332" s="914"/>
    </row>
    <row r="333" spans="20:32" x14ac:dyDescent="0.25">
      <c r="T333" s="914"/>
      <c r="U333" s="914"/>
      <c r="V333" s="914"/>
      <c r="W333" s="914"/>
      <c r="X333" s="914"/>
      <c r="Y333" s="914"/>
      <c r="Z333" s="914"/>
      <c r="AA333" s="914"/>
      <c r="AB333" s="914"/>
      <c r="AC333" s="914"/>
      <c r="AD333" s="914"/>
      <c r="AE333" s="914"/>
      <c r="AF333" s="914"/>
    </row>
    <row r="334" spans="20:32" x14ac:dyDescent="0.25">
      <c r="T334" s="914"/>
      <c r="U334" s="914"/>
      <c r="V334" s="914"/>
      <c r="W334" s="914"/>
      <c r="X334" s="914"/>
      <c r="Y334" s="914"/>
      <c r="Z334" s="914"/>
      <c r="AA334" s="914"/>
      <c r="AB334" s="914"/>
      <c r="AC334" s="914"/>
      <c r="AD334" s="914"/>
      <c r="AE334" s="914"/>
      <c r="AF334" s="914"/>
    </row>
    <row r="335" spans="20:32" x14ac:dyDescent="0.25">
      <c r="T335" s="914"/>
      <c r="U335" s="914"/>
      <c r="V335" s="914"/>
      <c r="W335" s="914"/>
      <c r="X335" s="914"/>
      <c r="Y335" s="914"/>
      <c r="Z335" s="914"/>
      <c r="AA335" s="914"/>
      <c r="AB335" s="914"/>
      <c r="AC335" s="914"/>
      <c r="AD335" s="914"/>
      <c r="AE335" s="914"/>
      <c r="AF335" s="914"/>
    </row>
    <row r="336" spans="20:32" x14ac:dyDescent="0.25">
      <c r="T336" s="914"/>
      <c r="U336" s="914"/>
      <c r="V336" s="914"/>
      <c r="W336" s="914"/>
      <c r="X336" s="914"/>
      <c r="Y336" s="914"/>
      <c r="Z336" s="914"/>
      <c r="AA336" s="914"/>
      <c r="AB336" s="914"/>
      <c r="AC336" s="914"/>
      <c r="AD336" s="914"/>
      <c r="AE336" s="914"/>
      <c r="AF336" s="914"/>
    </row>
    <row r="337" spans="20:32" x14ac:dyDescent="0.25">
      <c r="T337" s="914"/>
      <c r="U337" s="914"/>
      <c r="V337" s="914"/>
      <c r="W337" s="914"/>
      <c r="X337" s="914"/>
      <c r="Y337" s="914"/>
      <c r="Z337" s="914"/>
      <c r="AA337" s="914"/>
      <c r="AB337" s="914"/>
      <c r="AC337" s="914"/>
      <c r="AD337" s="914"/>
      <c r="AE337" s="914"/>
      <c r="AF337" s="914"/>
    </row>
    <row r="338" spans="20:32" x14ac:dyDescent="0.25">
      <c r="T338" s="914"/>
      <c r="U338" s="914"/>
      <c r="V338" s="914"/>
      <c r="W338" s="914"/>
      <c r="X338" s="914"/>
      <c r="Y338" s="914"/>
      <c r="Z338" s="914"/>
      <c r="AA338" s="914"/>
      <c r="AB338" s="914"/>
      <c r="AC338" s="914"/>
      <c r="AD338" s="914"/>
      <c r="AE338" s="914"/>
      <c r="AF338" s="914"/>
    </row>
    <row r="339" spans="20:32" x14ac:dyDescent="0.25">
      <c r="T339" s="914"/>
      <c r="U339" s="914"/>
      <c r="V339" s="914"/>
      <c r="W339" s="914"/>
      <c r="X339" s="914"/>
      <c r="Y339" s="914"/>
      <c r="Z339" s="914"/>
      <c r="AA339" s="914"/>
      <c r="AB339" s="914"/>
      <c r="AC339" s="914"/>
      <c r="AD339" s="914"/>
      <c r="AE339" s="914"/>
      <c r="AF339" s="914"/>
    </row>
    <row r="340" spans="20:32" x14ac:dyDescent="0.25">
      <c r="T340" s="914"/>
      <c r="U340" s="914"/>
      <c r="V340" s="914"/>
      <c r="W340" s="914"/>
      <c r="X340" s="914"/>
      <c r="Y340" s="914"/>
      <c r="Z340" s="914"/>
      <c r="AA340" s="914"/>
      <c r="AB340" s="914"/>
      <c r="AC340" s="914"/>
      <c r="AD340" s="914"/>
      <c r="AE340" s="914"/>
      <c r="AF340" s="914"/>
    </row>
    <row r="341" spans="20:32" x14ac:dyDescent="0.25">
      <c r="T341" s="914"/>
      <c r="U341" s="914"/>
      <c r="V341" s="914"/>
      <c r="W341" s="914"/>
      <c r="X341" s="914"/>
      <c r="Y341" s="914"/>
      <c r="Z341" s="914"/>
      <c r="AA341" s="914"/>
      <c r="AB341" s="914"/>
      <c r="AC341" s="914"/>
      <c r="AD341" s="914"/>
      <c r="AE341" s="914"/>
      <c r="AF341" s="914"/>
    </row>
    <row r="342" spans="20:32" x14ac:dyDescent="0.25">
      <c r="T342" s="914"/>
      <c r="U342" s="914"/>
      <c r="V342" s="914"/>
      <c r="W342" s="914"/>
      <c r="X342" s="914"/>
      <c r="Y342" s="914"/>
      <c r="Z342" s="914"/>
      <c r="AA342" s="914"/>
      <c r="AB342" s="914"/>
      <c r="AC342" s="914"/>
      <c r="AD342" s="914"/>
      <c r="AE342" s="914"/>
      <c r="AF342" s="914"/>
    </row>
    <row r="343" spans="20:32" x14ac:dyDescent="0.25">
      <c r="T343" s="914"/>
      <c r="U343" s="914"/>
      <c r="V343" s="914"/>
      <c r="W343" s="914"/>
      <c r="X343" s="914"/>
      <c r="Y343" s="914"/>
      <c r="Z343" s="914"/>
      <c r="AA343" s="914"/>
      <c r="AB343" s="914"/>
      <c r="AC343" s="914"/>
      <c r="AD343" s="914"/>
      <c r="AE343" s="914"/>
      <c r="AF343" s="914"/>
    </row>
    <row r="344" spans="20:32" x14ac:dyDescent="0.25">
      <c r="T344" s="914"/>
      <c r="U344" s="914"/>
      <c r="V344" s="914"/>
      <c r="W344" s="914"/>
      <c r="X344" s="914"/>
      <c r="Y344" s="914"/>
      <c r="Z344" s="914"/>
      <c r="AA344" s="914"/>
      <c r="AB344" s="914"/>
      <c r="AC344" s="914"/>
      <c r="AD344" s="914"/>
      <c r="AE344" s="914"/>
      <c r="AF344" s="914"/>
    </row>
    <row r="345" spans="20:32" x14ac:dyDescent="0.25">
      <c r="T345" s="914"/>
      <c r="U345" s="914"/>
      <c r="V345" s="914"/>
      <c r="W345" s="914"/>
      <c r="X345" s="914"/>
      <c r="Y345" s="914"/>
      <c r="Z345" s="914"/>
      <c r="AA345" s="914"/>
      <c r="AB345" s="914"/>
      <c r="AC345" s="914"/>
      <c r="AD345" s="914"/>
      <c r="AE345" s="914"/>
      <c r="AF345" s="914"/>
    </row>
    <row r="346" spans="20:32" x14ac:dyDescent="0.25">
      <c r="T346" s="914"/>
      <c r="U346" s="914"/>
      <c r="V346" s="914"/>
      <c r="W346" s="914"/>
      <c r="X346" s="914"/>
      <c r="Y346" s="914"/>
      <c r="Z346" s="914"/>
      <c r="AA346" s="914"/>
      <c r="AB346" s="914"/>
      <c r="AC346" s="914"/>
      <c r="AD346" s="914"/>
      <c r="AE346" s="914"/>
      <c r="AF346" s="914"/>
    </row>
    <row r="347" spans="20:32" x14ac:dyDescent="0.25">
      <c r="T347" s="914"/>
      <c r="U347" s="914"/>
      <c r="V347" s="914"/>
      <c r="W347" s="914"/>
      <c r="X347" s="914"/>
      <c r="Y347" s="914"/>
      <c r="Z347" s="914"/>
      <c r="AA347" s="914"/>
      <c r="AB347" s="914"/>
      <c r="AC347" s="914"/>
      <c r="AD347" s="914"/>
      <c r="AE347" s="914"/>
      <c r="AF347" s="914"/>
    </row>
    <row r="348" spans="20:32" x14ac:dyDescent="0.25">
      <c r="T348" s="914"/>
      <c r="U348" s="914"/>
      <c r="V348" s="914"/>
      <c r="W348" s="914"/>
      <c r="X348" s="914"/>
      <c r="Y348" s="914"/>
      <c r="Z348" s="914"/>
      <c r="AA348" s="914"/>
      <c r="AB348" s="914"/>
      <c r="AC348" s="914"/>
      <c r="AD348" s="914"/>
      <c r="AE348" s="914"/>
      <c r="AF348" s="914"/>
    </row>
    <row r="349" spans="20:32" x14ac:dyDescent="0.25">
      <c r="T349" s="914"/>
      <c r="U349" s="914"/>
      <c r="V349" s="914"/>
      <c r="W349" s="914"/>
      <c r="X349" s="914"/>
      <c r="Y349" s="914"/>
      <c r="Z349" s="914"/>
      <c r="AA349" s="914"/>
      <c r="AB349" s="914"/>
      <c r="AC349" s="914"/>
      <c r="AD349" s="914"/>
      <c r="AE349" s="914"/>
      <c r="AF349" s="914"/>
    </row>
    <row r="350" spans="20:32" x14ac:dyDescent="0.25">
      <c r="T350" s="914"/>
      <c r="U350" s="914"/>
      <c r="V350" s="914"/>
      <c r="W350" s="914"/>
      <c r="X350" s="914"/>
      <c r="Y350" s="914"/>
      <c r="Z350" s="914"/>
      <c r="AA350" s="914"/>
      <c r="AB350" s="914"/>
      <c r="AC350" s="914"/>
      <c r="AD350" s="914"/>
      <c r="AE350" s="914"/>
      <c r="AF350" s="914"/>
    </row>
    <row r="351" spans="20:32" x14ac:dyDescent="0.25">
      <c r="T351" s="914"/>
      <c r="U351" s="914"/>
      <c r="V351" s="914"/>
      <c r="W351" s="914"/>
      <c r="X351" s="914"/>
      <c r="Y351" s="914"/>
      <c r="Z351" s="914"/>
      <c r="AA351" s="914"/>
      <c r="AB351" s="914"/>
      <c r="AC351" s="914"/>
      <c r="AD351" s="914"/>
      <c r="AE351" s="914"/>
      <c r="AF351" s="914"/>
    </row>
    <row r="352" spans="20:32" x14ac:dyDescent="0.25">
      <c r="T352" s="914"/>
      <c r="U352" s="914"/>
      <c r="V352" s="914"/>
      <c r="W352" s="914"/>
      <c r="X352" s="914"/>
      <c r="Y352" s="914"/>
      <c r="Z352" s="914"/>
      <c r="AA352" s="914"/>
      <c r="AB352" s="914"/>
      <c r="AC352" s="914"/>
      <c r="AD352" s="914"/>
      <c r="AE352" s="914"/>
      <c r="AF352" s="914"/>
    </row>
    <row r="353" spans="20:32" x14ac:dyDescent="0.25">
      <c r="T353" s="914"/>
      <c r="U353" s="914"/>
      <c r="V353" s="914"/>
      <c r="W353" s="914"/>
      <c r="X353" s="914"/>
      <c r="Y353" s="914"/>
      <c r="Z353" s="914"/>
      <c r="AA353" s="914"/>
      <c r="AB353" s="914"/>
      <c r="AC353" s="914"/>
      <c r="AD353" s="914"/>
      <c r="AE353" s="914"/>
      <c r="AF353" s="914"/>
    </row>
    <row r="354" spans="20:32" x14ac:dyDescent="0.25">
      <c r="T354" s="914"/>
      <c r="U354" s="914"/>
      <c r="V354" s="914"/>
      <c r="W354" s="914"/>
      <c r="X354" s="914"/>
      <c r="Y354" s="914"/>
      <c r="Z354" s="914"/>
      <c r="AA354" s="914"/>
      <c r="AB354" s="914"/>
      <c r="AC354" s="914"/>
      <c r="AD354" s="914"/>
      <c r="AE354" s="914"/>
      <c r="AF354" s="914"/>
    </row>
    <row r="355" spans="20:32" x14ac:dyDescent="0.25">
      <c r="T355" s="914"/>
      <c r="U355" s="914"/>
      <c r="V355" s="914"/>
      <c r="W355" s="914"/>
      <c r="X355" s="914"/>
      <c r="Y355" s="914"/>
      <c r="Z355" s="914"/>
      <c r="AA355" s="914"/>
      <c r="AB355" s="914"/>
      <c r="AC355" s="914"/>
      <c r="AD355" s="914"/>
      <c r="AE355" s="914"/>
      <c r="AF355" s="914"/>
    </row>
    <row r="356" spans="20:32" x14ac:dyDescent="0.25">
      <c r="T356" s="914"/>
      <c r="U356" s="914"/>
      <c r="V356" s="914"/>
      <c r="W356" s="914"/>
      <c r="X356" s="914"/>
      <c r="Y356" s="914"/>
      <c r="Z356" s="914"/>
      <c r="AA356" s="914"/>
      <c r="AB356" s="914"/>
      <c r="AC356" s="914"/>
      <c r="AD356" s="914"/>
      <c r="AE356" s="914"/>
      <c r="AF356" s="914"/>
    </row>
    <row r="357" spans="20:32" x14ac:dyDescent="0.25">
      <c r="T357" s="914"/>
      <c r="U357" s="914"/>
      <c r="V357" s="914"/>
      <c r="W357" s="914"/>
      <c r="X357" s="914"/>
      <c r="Y357" s="914"/>
      <c r="Z357" s="914"/>
      <c r="AA357" s="914"/>
      <c r="AB357" s="914"/>
      <c r="AC357" s="914"/>
      <c r="AD357" s="914"/>
      <c r="AE357" s="914"/>
      <c r="AF357" s="914"/>
    </row>
    <row r="358" spans="20:32" x14ac:dyDescent="0.25">
      <c r="T358" s="914"/>
      <c r="U358" s="914"/>
      <c r="V358" s="914"/>
      <c r="W358" s="914"/>
      <c r="X358" s="914"/>
      <c r="Y358" s="914"/>
      <c r="Z358" s="914"/>
      <c r="AA358" s="914"/>
      <c r="AB358" s="914"/>
      <c r="AC358" s="914"/>
      <c r="AD358" s="914"/>
      <c r="AE358" s="914"/>
      <c r="AF358" s="914"/>
    </row>
    <row r="359" spans="20:32" x14ac:dyDescent="0.25">
      <c r="T359" s="914"/>
      <c r="U359" s="914"/>
      <c r="V359" s="914"/>
      <c r="W359" s="914"/>
      <c r="X359" s="914"/>
      <c r="Y359" s="914"/>
      <c r="Z359" s="914"/>
      <c r="AA359" s="914"/>
      <c r="AB359" s="914"/>
      <c r="AC359" s="914"/>
      <c r="AD359" s="914"/>
      <c r="AE359" s="914"/>
      <c r="AF359" s="914"/>
    </row>
    <row r="360" spans="20:32" x14ac:dyDescent="0.25">
      <c r="T360" s="914"/>
      <c r="U360" s="914"/>
      <c r="V360" s="914"/>
      <c r="W360" s="914"/>
      <c r="X360" s="914"/>
      <c r="Y360" s="914"/>
      <c r="Z360" s="914"/>
      <c r="AA360" s="914"/>
      <c r="AB360" s="914"/>
      <c r="AC360" s="914"/>
      <c r="AD360" s="914"/>
      <c r="AE360" s="914"/>
      <c r="AF360" s="914"/>
    </row>
    <row r="361" spans="20:32" x14ac:dyDescent="0.25">
      <c r="T361" s="914"/>
      <c r="U361" s="914"/>
      <c r="V361" s="914"/>
      <c r="W361" s="914"/>
      <c r="X361" s="914"/>
      <c r="Y361" s="914"/>
      <c r="Z361" s="914"/>
      <c r="AA361" s="914"/>
      <c r="AB361" s="914"/>
      <c r="AC361" s="914"/>
      <c r="AD361" s="914"/>
      <c r="AE361" s="914"/>
      <c r="AF361" s="914"/>
    </row>
    <row r="362" spans="20:32" x14ac:dyDescent="0.25">
      <c r="T362" s="914"/>
      <c r="U362" s="914"/>
      <c r="V362" s="914"/>
      <c r="W362" s="914"/>
      <c r="X362" s="914"/>
      <c r="Y362" s="914"/>
      <c r="Z362" s="914"/>
      <c r="AA362" s="914"/>
      <c r="AB362" s="914"/>
      <c r="AC362" s="914"/>
      <c r="AD362" s="914"/>
      <c r="AE362" s="914"/>
      <c r="AF362" s="914"/>
    </row>
    <row r="363" spans="20:32" x14ac:dyDescent="0.25">
      <c r="T363" s="914"/>
      <c r="U363" s="914"/>
      <c r="V363" s="914"/>
      <c r="W363" s="914"/>
      <c r="X363" s="914"/>
      <c r="Y363" s="914"/>
      <c r="Z363" s="914"/>
      <c r="AA363" s="914"/>
      <c r="AB363" s="914"/>
      <c r="AC363" s="914"/>
      <c r="AD363" s="914"/>
      <c r="AE363" s="914"/>
      <c r="AF363" s="914"/>
    </row>
    <row r="364" spans="20:32" x14ac:dyDescent="0.25">
      <c r="T364" s="914"/>
      <c r="U364" s="914"/>
      <c r="V364" s="914"/>
      <c r="W364" s="914"/>
      <c r="X364" s="914"/>
      <c r="Y364" s="914"/>
      <c r="Z364" s="914"/>
      <c r="AA364" s="914"/>
      <c r="AB364" s="914"/>
      <c r="AC364" s="914"/>
      <c r="AD364" s="914"/>
      <c r="AE364" s="914"/>
      <c r="AF364" s="914"/>
    </row>
    <row r="365" spans="20:32" x14ac:dyDescent="0.25">
      <c r="T365" s="914"/>
      <c r="U365" s="914"/>
      <c r="V365" s="914"/>
      <c r="W365" s="914"/>
      <c r="X365" s="914"/>
      <c r="Y365" s="914"/>
      <c r="Z365" s="914"/>
      <c r="AA365" s="914"/>
      <c r="AB365" s="914"/>
      <c r="AC365" s="914"/>
      <c r="AD365" s="914"/>
      <c r="AE365" s="914"/>
      <c r="AF365" s="914"/>
    </row>
    <row r="366" spans="20:32" x14ac:dyDescent="0.25">
      <c r="T366" s="914"/>
      <c r="U366" s="914"/>
      <c r="V366" s="914"/>
      <c r="W366" s="914"/>
      <c r="X366" s="914"/>
      <c r="Y366" s="914"/>
      <c r="Z366" s="914"/>
      <c r="AA366" s="914"/>
      <c r="AB366" s="914"/>
      <c r="AC366" s="914"/>
      <c r="AD366" s="914"/>
      <c r="AE366" s="914"/>
      <c r="AF366" s="914"/>
    </row>
    <row r="367" spans="20:32" x14ac:dyDescent="0.25">
      <c r="T367" s="914"/>
      <c r="U367" s="914"/>
      <c r="V367" s="914"/>
      <c r="W367" s="914"/>
      <c r="X367" s="914"/>
      <c r="Y367" s="914"/>
      <c r="Z367" s="914"/>
      <c r="AA367" s="914"/>
      <c r="AB367" s="914"/>
      <c r="AC367" s="914"/>
      <c r="AD367" s="914"/>
      <c r="AE367" s="914"/>
      <c r="AF367" s="914"/>
    </row>
    <row r="368" spans="20:32" x14ac:dyDescent="0.25">
      <c r="T368" s="914"/>
      <c r="U368" s="914"/>
      <c r="V368" s="914"/>
      <c r="W368" s="914"/>
      <c r="X368" s="914"/>
      <c r="Y368" s="914"/>
      <c r="Z368" s="914"/>
      <c r="AA368" s="914"/>
      <c r="AB368" s="914"/>
      <c r="AC368" s="914"/>
      <c r="AD368" s="914"/>
      <c r="AE368" s="914"/>
      <c r="AF368" s="914"/>
    </row>
    <row r="369" spans="20:32" x14ac:dyDescent="0.25">
      <c r="T369" s="914"/>
      <c r="U369" s="914"/>
      <c r="V369" s="914"/>
      <c r="W369" s="914"/>
      <c r="X369" s="914"/>
      <c r="Y369" s="914"/>
      <c r="Z369" s="914"/>
      <c r="AA369" s="914"/>
      <c r="AB369" s="914"/>
      <c r="AC369" s="914"/>
      <c r="AD369" s="914"/>
      <c r="AE369" s="914"/>
      <c r="AF369" s="914"/>
    </row>
    <row r="370" spans="20:32" x14ac:dyDescent="0.25">
      <c r="T370" s="914"/>
      <c r="U370" s="914"/>
      <c r="V370" s="914"/>
      <c r="W370" s="914"/>
      <c r="X370" s="914"/>
      <c r="Y370" s="914"/>
      <c r="Z370" s="914"/>
      <c r="AA370" s="914"/>
      <c r="AB370" s="914"/>
      <c r="AC370" s="914"/>
      <c r="AD370" s="914"/>
      <c r="AE370" s="914"/>
      <c r="AF370" s="914"/>
    </row>
    <row r="371" spans="20:32" x14ac:dyDescent="0.25">
      <c r="T371" s="914"/>
      <c r="U371" s="914"/>
      <c r="V371" s="914"/>
      <c r="W371" s="914"/>
      <c r="X371" s="914"/>
      <c r="Y371" s="914"/>
      <c r="Z371" s="914"/>
      <c r="AA371" s="914"/>
      <c r="AB371" s="914"/>
      <c r="AC371" s="914"/>
      <c r="AD371" s="914"/>
      <c r="AE371" s="914"/>
      <c r="AF371" s="914"/>
    </row>
    <row r="372" spans="20:32" x14ac:dyDescent="0.25">
      <c r="T372" s="914"/>
      <c r="U372" s="914"/>
      <c r="V372" s="914"/>
      <c r="W372" s="914"/>
      <c r="X372" s="914"/>
      <c r="Y372" s="914"/>
      <c r="Z372" s="914"/>
      <c r="AA372" s="914"/>
      <c r="AB372" s="914"/>
      <c r="AC372" s="914"/>
      <c r="AD372" s="914"/>
      <c r="AE372" s="914"/>
      <c r="AF372" s="914"/>
    </row>
    <row r="373" spans="20:32" x14ac:dyDescent="0.25">
      <c r="T373" s="914"/>
      <c r="U373" s="914"/>
      <c r="V373" s="914"/>
      <c r="W373" s="914"/>
      <c r="X373" s="914"/>
      <c r="Y373" s="914"/>
      <c r="Z373" s="914"/>
      <c r="AA373" s="914"/>
      <c r="AB373" s="914"/>
      <c r="AC373" s="914"/>
      <c r="AD373" s="914"/>
      <c r="AE373" s="914"/>
      <c r="AF373" s="914"/>
    </row>
    <row r="374" spans="20:32" x14ac:dyDescent="0.25">
      <c r="T374" s="914"/>
      <c r="U374" s="914"/>
      <c r="V374" s="914"/>
      <c r="W374" s="914"/>
      <c r="X374" s="914"/>
      <c r="Y374" s="914"/>
      <c r="Z374" s="914"/>
      <c r="AA374" s="914"/>
      <c r="AB374" s="914"/>
      <c r="AC374" s="914"/>
      <c r="AD374" s="914"/>
      <c r="AE374" s="914"/>
      <c r="AF374" s="914"/>
    </row>
    <row r="375" spans="20:32" x14ac:dyDescent="0.25">
      <c r="T375" s="914"/>
      <c r="U375" s="914"/>
      <c r="V375" s="914"/>
      <c r="W375" s="914"/>
      <c r="X375" s="914"/>
      <c r="Y375" s="914"/>
      <c r="Z375" s="914"/>
      <c r="AA375" s="914"/>
      <c r="AB375" s="914"/>
      <c r="AC375" s="914"/>
      <c r="AD375" s="914"/>
      <c r="AE375" s="914"/>
      <c r="AF375" s="914"/>
    </row>
    <row r="376" spans="20:32" x14ac:dyDescent="0.25">
      <c r="T376" s="914"/>
      <c r="U376" s="914"/>
      <c r="V376" s="914"/>
      <c r="W376" s="914"/>
      <c r="X376" s="914"/>
      <c r="Y376" s="914"/>
      <c r="Z376" s="914"/>
      <c r="AA376" s="914"/>
      <c r="AB376" s="914"/>
      <c r="AC376" s="914"/>
      <c r="AD376" s="914"/>
      <c r="AE376" s="914"/>
      <c r="AF376" s="914"/>
    </row>
    <row r="377" spans="20:32" x14ac:dyDescent="0.25">
      <c r="T377" s="914"/>
      <c r="U377" s="914"/>
      <c r="V377" s="914"/>
      <c r="W377" s="914"/>
      <c r="X377" s="914"/>
      <c r="Y377" s="914"/>
      <c r="Z377" s="914"/>
      <c r="AA377" s="914"/>
      <c r="AB377" s="914"/>
      <c r="AC377" s="914"/>
      <c r="AD377" s="914"/>
      <c r="AE377" s="914"/>
      <c r="AF377" s="914"/>
    </row>
    <row r="378" spans="20:32" x14ac:dyDescent="0.25">
      <c r="T378" s="914"/>
      <c r="U378" s="914"/>
      <c r="V378" s="914"/>
      <c r="W378" s="914"/>
      <c r="X378" s="914"/>
      <c r="Y378" s="914"/>
      <c r="Z378" s="914"/>
      <c r="AA378" s="914"/>
      <c r="AB378" s="914"/>
      <c r="AC378" s="914"/>
      <c r="AD378" s="914"/>
      <c r="AE378" s="914"/>
      <c r="AF378" s="914"/>
    </row>
    <row r="379" spans="20:32" x14ac:dyDescent="0.25">
      <c r="T379" s="914"/>
      <c r="U379" s="914"/>
      <c r="V379" s="914"/>
      <c r="W379" s="914"/>
      <c r="X379" s="914"/>
      <c r="Y379" s="914"/>
      <c r="Z379" s="914"/>
      <c r="AA379" s="914"/>
      <c r="AB379" s="914"/>
      <c r="AC379" s="914"/>
      <c r="AD379" s="914"/>
      <c r="AE379" s="914"/>
      <c r="AF379" s="914"/>
    </row>
    <row r="380" spans="20:32" x14ac:dyDescent="0.25">
      <c r="T380" s="914"/>
      <c r="U380" s="914"/>
      <c r="V380" s="914"/>
      <c r="W380" s="914"/>
      <c r="X380" s="914"/>
      <c r="Y380" s="914"/>
      <c r="Z380" s="914"/>
      <c r="AA380" s="914"/>
      <c r="AB380" s="914"/>
      <c r="AC380" s="914"/>
      <c r="AD380" s="914"/>
      <c r="AE380" s="914"/>
      <c r="AF380" s="914"/>
    </row>
    <row r="381" spans="20:32" x14ac:dyDescent="0.25">
      <c r="T381" s="914"/>
      <c r="U381" s="914"/>
      <c r="V381" s="914"/>
      <c r="W381" s="914"/>
      <c r="X381" s="914"/>
      <c r="Y381" s="914"/>
      <c r="Z381" s="914"/>
      <c r="AA381" s="914"/>
      <c r="AB381" s="914"/>
      <c r="AC381" s="914"/>
      <c r="AD381" s="914"/>
      <c r="AE381" s="914"/>
      <c r="AF381" s="914"/>
    </row>
    <row r="382" spans="20:32" x14ac:dyDescent="0.25">
      <c r="T382" s="914"/>
      <c r="U382" s="914"/>
      <c r="V382" s="914"/>
      <c r="W382" s="914"/>
      <c r="X382" s="914"/>
      <c r="Y382" s="914"/>
      <c r="Z382" s="914"/>
      <c r="AA382" s="914"/>
      <c r="AB382" s="914"/>
      <c r="AC382" s="914"/>
      <c r="AD382" s="914"/>
      <c r="AE382" s="914"/>
      <c r="AF382" s="914"/>
    </row>
    <row r="383" spans="20:32" x14ac:dyDescent="0.25">
      <c r="T383" s="914"/>
      <c r="U383" s="914"/>
      <c r="V383" s="914"/>
      <c r="W383" s="914"/>
      <c r="X383" s="914"/>
      <c r="Y383" s="914"/>
      <c r="Z383" s="914"/>
      <c r="AA383" s="914"/>
      <c r="AB383" s="914"/>
      <c r="AC383" s="914"/>
      <c r="AD383" s="914"/>
      <c r="AE383" s="914"/>
      <c r="AF383" s="914"/>
    </row>
    <row r="384" spans="20:32" x14ac:dyDescent="0.25">
      <c r="T384" s="914"/>
      <c r="U384" s="914"/>
      <c r="V384" s="914"/>
      <c r="W384" s="914"/>
      <c r="X384" s="914"/>
      <c r="Y384" s="914"/>
      <c r="Z384" s="914"/>
      <c r="AA384" s="914"/>
      <c r="AB384" s="914"/>
      <c r="AC384" s="914"/>
      <c r="AD384" s="914"/>
      <c r="AE384" s="914"/>
      <c r="AF384" s="914"/>
    </row>
    <row r="385" spans="20:32" x14ac:dyDescent="0.25">
      <c r="T385" s="914"/>
      <c r="U385" s="914"/>
      <c r="V385" s="914"/>
      <c r="W385" s="914"/>
      <c r="X385" s="914"/>
      <c r="Y385" s="914"/>
      <c r="Z385" s="914"/>
      <c r="AA385" s="914"/>
      <c r="AB385" s="914"/>
      <c r="AC385" s="914"/>
      <c r="AD385" s="914"/>
      <c r="AE385" s="914"/>
      <c r="AF385" s="914"/>
    </row>
    <row r="386" spans="20:32" x14ac:dyDescent="0.25">
      <c r="T386" s="914"/>
      <c r="U386" s="914"/>
      <c r="V386" s="914"/>
      <c r="W386" s="914"/>
      <c r="X386" s="914"/>
      <c r="Y386" s="914"/>
      <c r="Z386" s="914"/>
      <c r="AA386" s="914"/>
      <c r="AB386" s="914"/>
      <c r="AC386" s="914"/>
      <c r="AD386" s="914"/>
      <c r="AE386" s="914"/>
      <c r="AF386" s="914"/>
    </row>
    <row r="387" spans="20:32" x14ac:dyDescent="0.25">
      <c r="T387" s="914"/>
      <c r="U387" s="914"/>
      <c r="V387" s="914"/>
      <c r="W387" s="914"/>
      <c r="X387" s="914"/>
      <c r="Y387" s="914"/>
      <c r="Z387" s="914"/>
      <c r="AA387" s="914"/>
      <c r="AB387" s="914"/>
      <c r="AC387" s="914"/>
      <c r="AD387" s="914"/>
      <c r="AE387" s="914"/>
      <c r="AF387" s="914"/>
    </row>
    <row r="388" spans="20:32" x14ac:dyDescent="0.25">
      <c r="T388" s="914"/>
      <c r="U388" s="914"/>
      <c r="V388" s="914"/>
      <c r="W388" s="914"/>
      <c r="X388" s="914"/>
      <c r="Y388" s="914"/>
      <c r="Z388" s="914"/>
      <c r="AA388" s="914"/>
      <c r="AB388" s="914"/>
      <c r="AC388" s="914"/>
      <c r="AD388" s="914"/>
      <c r="AE388" s="914"/>
      <c r="AF388" s="914"/>
    </row>
    <row r="389" spans="20:32" x14ac:dyDescent="0.25">
      <c r="T389" s="914"/>
      <c r="U389" s="914"/>
      <c r="V389" s="914"/>
      <c r="W389" s="914"/>
      <c r="X389" s="914"/>
      <c r="Y389" s="914"/>
      <c r="Z389" s="914"/>
      <c r="AA389" s="914"/>
      <c r="AB389" s="914"/>
      <c r="AC389" s="914"/>
      <c r="AD389" s="914"/>
      <c r="AE389" s="914"/>
      <c r="AF389" s="914"/>
    </row>
    <row r="390" spans="20:32" x14ac:dyDescent="0.25">
      <c r="T390" s="914"/>
      <c r="U390" s="914"/>
      <c r="V390" s="914"/>
      <c r="W390" s="914"/>
      <c r="X390" s="914"/>
      <c r="Y390" s="914"/>
      <c r="Z390" s="914"/>
      <c r="AA390" s="914"/>
      <c r="AB390" s="914"/>
      <c r="AC390" s="914"/>
      <c r="AD390" s="914"/>
      <c r="AE390" s="914"/>
      <c r="AF390" s="914"/>
    </row>
    <row r="391" spans="20:32" x14ac:dyDescent="0.25">
      <c r="T391" s="914"/>
      <c r="U391" s="914"/>
      <c r="V391" s="914"/>
      <c r="W391" s="914"/>
      <c r="X391" s="914"/>
      <c r="Y391" s="914"/>
      <c r="Z391" s="914"/>
      <c r="AA391" s="914"/>
      <c r="AB391" s="914"/>
      <c r="AC391" s="914"/>
      <c r="AD391" s="914"/>
      <c r="AE391" s="914"/>
      <c r="AF391" s="914"/>
    </row>
    <row r="392" spans="20:32" x14ac:dyDescent="0.25">
      <c r="T392" s="914"/>
      <c r="U392" s="914"/>
      <c r="V392" s="914"/>
      <c r="W392" s="914"/>
      <c r="X392" s="914"/>
      <c r="Y392" s="914"/>
      <c r="Z392" s="914"/>
      <c r="AA392" s="914"/>
      <c r="AB392" s="914"/>
      <c r="AC392" s="914"/>
      <c r="AD392" s="914"/>
      <c r="AE392" s="914"/>
      <c r="AF392" s="914"/>
    </row>
    <row r="393" spans="20:32" x14ac:dyDescent="0.25">
      <c r="T393" s="914"/>
      <c r="U393" s="914"/>
      <c r="V393" s="914"/>
      <c r="W393" s="914"/>
      <c r="X393" s="914"/>
      <c r="Y393" s="914"/>
      <c r="Z393" s="914"/>
      <c r="AA393" s="914"/>
      <c r="AB393" s="914"/>
      <c r="AC393" s="914"/>
      <c r="AD393" s="914"/>
      <c r="AE393" s="914"/>
      <c r="AF393" s="914"/>
    </row>
    <row r="394" spans="20:32" x14ac:dyDescent="0.25">
      <c r="T394" s="914"/>
      <c r="U394" s="914"/>
      <c r="V394" s="914"/>
      <c r="W394" s="914"/>
      <c r="X394" s="914"/>
      <c r="Y394" s="914"/>
      <c r="Z394" s="914"/>
      <c r="AA394" s="914"/>
      <c r="AB394" s="914"/>
      <c r="AC394" s="914"/>
      <c r="AD394" s="914"/>
      <c r="AE394" s="914"/>
      <c r="AF394" s="914"/>
    </row>
    <row r="395" spans="20:32" x14ac:dyDescent="0.25">
      <c r="T395" s="914"/>
      <c r="U395" s="914"/>
      <c r="V395" s="914"/>
      <c r="W395" s="914"/>
      <c r="X395" s="914"/>
      <c r="Y395" s="914"/>
      <c r="Z395" s="914"/>
      <c r="AA395" s="914"/>
      <c r="AB395" s="914"/>
      <c r="AC395" s="914"/>
      <c r="AD395" s="914"/>
      <c r="AE395" s="914"/>
      <c r="AF395" s="914"/>
    </row>
    <row r="396" spans="20:32" x14ac:dyDescent="0.25">
      <c r="T396" s="914"/>
      <c r="U396" s="914"/>
      <c r="V396" s="914"/>
      <c r="W396" s="914"/>
      <c r="X396" s="914"/>
      <c r="Y396" s="914"/>
      <c r="Z396" s="914"/>
      <c r="AA396" s="914"/>
      <c r="AB396" s="914"/>
      <c r="AC396" s="914"/>
      <c r="AD396" s="914"/>
      <c r="AE396" s="914"/>
      <c r="AF396" s="914"/>
    </row>
    <row r="397" spans="20:32" x14ac:dyDescent="0.25">
      <c r="T397" s="914"/>
      <c r="U397" s="914"/>
      <c r="V397" s="914"/>
      <c r="W397" s="914"/>
      <c r="X397" s="914"/>
      <c r="Y397" s="914"/>
      <c r="Z397" s="914"/>
      <c r="AA397" s="914"/>
      <c r="AB397" s="914"/>
      <c r="AC397" s="914"/>
      <c r="AD397" s="914"/>
      <c r="AE397" s="914"/>
      <c r="AF397" s="914"/>
    </row>
    <row r="398" spans="20:32" x14ac:dyDescent="0.25">
      <c r="T398" s="914"/>
      <c r="U398" s="914"/>
      <c r="V398" s="914"/>
      <c r="W398" s="914"/>
      <c r="X398" s="914"/>
      <c r="Y398" s="914"/>
      <c r="Z398" s="914"/>
      <c r="AA398" s="914"/>
      <c r="AB398" s="914"/>
      <c r="AC398" s="914"/>
      <c r="AD398" s="914"/>
      <c r="AE398" s="914"/>
      <c r="AF398" s="914"/>
    </row>
    <row r="399" spans="20:32" x14ac:dyDescent="0.25">
      <c r="T399" s="914"/>
      <c r="U399" s="914"/>
      <c r="V399" s="914"/>
      <c r="W399" s="914"/>
      <c r="X399" s="914"/>
      <c r="Y399" s="914"/>
      <c r="Z399" s="914"/>
      <c r="AA399" s="914"/>
      <c r="AB399" s="914"/>
      <c r="AC399" s="914"/>
      <c r="AD399" s="914"/>
      <c r="AE399" s="914"/>
      <c r="AF399" s="914"/>
    </row>
    <row r="400" spans="20:32" x14ac:dyDescent="0.25">
      <c r="T400" s="914"/>
      <c r="U400" s="914"/>
      <c r="V400" s="914"/>
      <c r="W400" s="914"/>
      <c r="X400" s="914"/>
      <c r="Y400" s="914"/>
      <c r="Z400" s="914"/>
      <c r="AA400" s="914"/>
      <c r="AB400" s="914"/>
      <c r="AC400" s="914"/>
      <c r="AD400" s="914"/>
      <c r="AE400" s="914"/>
      <c r="AF400" s="914"/>
    </row>
    <row r="401" spans="20:32" x14ac:dyDescent="0.25">
      <c r="T401" s="914"/>
      <c r="U401" s="914"/>
      <c r="V401" s="914"/>
      <c r="W401" s="914"/>
      <c r="X401" s="914"/>
      <c r="Y401" s="914"/>
      <c r="Z401" s="914"/>
      <c r="AA401" s="914"/>
      <c r="AB401" s="914"/>
      <c r="AC401" s="914"/>
      <c r="AD401" s="914"/>
      <c r="AE401" s="914"/>
      <c r="AF401" s="914"/>
    </row>
    <row r="402" spans="20:32" x14ac:dyDescent="0.25">
      <c r="T402" s="914"/>
      <c r="U402" s="914"/>
      <c r="V402" s="914"/>
      <c r="W402" s="914"/>
      <c r="X402" s="914"/>
      <c r="Y402" s="914"/>
      <c r="Z402" s="914"/>
      <c r="AA402" s="914"/>
      <c r="AB402" s="914"/>
      <c r="AC402" s="914"/>
      <c r="AD402" s="914"/>
      <c r="AE402" s="914"/>
      <c r="AF402" s="914"/>
    </row>
    <row r="403" spans="20:32" x14ac:dyDescent="0.25">
      <c r="T403" s="914"/>
      <c r="U403" s="914"/>
      <c r="V403" s="914"/>
      <c r="W403" s="914"/>
      <c r="X403" s="914"/>
      <c r="Y403" s="914"/>
      <c r="Z403" s="914"/>
      <c r="AA403" s="914"/>
      <c r="AB403" s="914"/>
      <c r="AC403" s="914"/>
      <c r="AD403" s="914"/>
      <c r="AE403" s="914"/>
      <c r="AF403" s="914"/>
    </row>
    <row r="404" spans="20:32" x14ac:dyDescent="0.25">
      <c r="T404" s="914"/>
      <c r="U404" s="914"/>
      <c r="V404" s="914"/>
      <c r="W404" s="914"/>
      <c r="X404" s="914"/>
      <c r="Y404" s="914"/>
      <c r="Z404" s="914"/>
      <c r="AA404" s="914"/>
      <c r="AB404" s="914"/>
      <c r="AC404" s="914"/>
      <c r="AD404" s="914"/>
      <c r="AE404" s="914"/>
      <c r="AF404" s="914"/>
    </row>
    <row r="405" spans="20:32" x14ac:dyDescent="0.25">
      <c r="T405" s="914"/>
      <c r="U405" s="914"/>
      <c r="V405" s="914"/>
      <c r="W405" s="914"/>
      <c r="X405" s="914"/>
      <c r="Y405" s="914"/>
      <c r="Z405" s="914"/>
      <c r="AA405" s="914"/>
      <c r="AB405" s="914"/>
      <c r="AC405" s="914"/>
      <c r="AD405" s="914"/>
      <c r="AE405" s="914"/>
      <c r="AF405" s="914"/>
    </row>
    <row r="406" spans="20:32" x14ac:dyDescent="0.25">
      <c r="T406" s="914"/>
      <c r="U406" s="914"/>
      <c r="V406" s="914"/>
      <c r="W406" s="914"/>
      <c r="X406" s="914"/>
      <c r="Y406" s="914"/>
      <c r="Z406" s="914"/>
      <c r="AA406" s="914"/>
      <c r="AB406" s="914"/>
      <c r="AC406" s="914"/>
      <c r="AD406" s="914"/>
      <c r="AE406" s="914"/>
      <c r="AF406" s="914"/>
    </row>
    <row r="407" spans="20:32" x14ac:dyDescent="0.25">
      <c r="T407" s="914"/>
      <c r="U407" s="914"/>
      <c r="V407" s="914"/>
      <c r="W407" s="914"/>
      <c r="X407" s="914"/>
      <c r="Y407" s="914"/>
      <c r="Z407" s="914"/>
      <c r="AA407" s="914"/>
      <c r="AB407" s="914"/>
      <c r="AC407" s="914"/>
      <c r="AD407" s="914"/>
      <c r="AE407" s="914"/>
      <c r="AF407" s="914"/>
    </row>
    <row r="408" spans="20:32" x14ac:dyDescent="0.25">
      <c r="T408" s="914"/>
      <c r="U408" s="914"/>
      <c r="V408" s="914"/>
      <c r="W408" s="914"/>
      <c r="X408" s="914"/>
      <c r="Y408" s="914"/>
      <c r="Z408" s="914"/>
      <c r="AA408" s="914"/>
      <c r="AB408" s="914"/>
      <c r="AC408" s="914"/>
      <c r="AD408" s="914"/>
      <c r="AE408" s="914"/>
      <c r="AF408" s="914"/>
    </row>
    <row r="409" spans="20:32" x14ac:dyDescent="0.25">
      <c r="T409" s="914"/>
      <c r="U409" s="914"/>
      <c r="V409" s="914"/>
      <c r="W409" s="914"/>
      <c r="X409" s="914"/>
      <c r="Y409" s="914"/>
      <c r="Z409" s="914"/>
      <c r="AA409" s="914"/>
      <c r="AB409" s="914"/>
      <c r="AC409" s="914"/>
      <c r="AD409" s="914"/>
      <c r="AE409" s="914"/>
      <c r="AF409" s="914"/>
    </row>
    <row r="410" spans="20:32" x14ac:dyDescent="0.25">
      <c r="T410" s="914"/>
      <c r="U410" s="914"/>
      <c r="V410" s="914"/>
      <c r="W410" s="914"/>
      <c r="X410" s="914"/>
      <c r="Y410" s="914"/>
      <c r="Z410" s="914"/>
      <c r="AA410" s="914"/>
      <c r="AB410" s="914"/>
      <c r="AC410" s="914"/>
      <c r="AD410" s="914"/>
      <c r="AE410" s="914"/>
      <c r="AF410" s="914"/>
    </row>
    <row r="411" spans="20:32" x14ac:dyDescent="0.25">
      <c r="T411" s="914"/>
      <c r="U411" s="914"/>
      <c r="V411" s="914"/>
      <c r="W411" s="914"/>
      <c r="X411" s="914"/>
      <c r="Y411" s="914"/>
      <c r="Z411" s="914"/>
      <c r="AA411" s="914"/>
      <c r="AB411" s="914"/>
      <c r="AC411" s="914"/>
      <c r="AD411" s="914"/>
      <c r="AE411" s="914"/>
      <c r="AF411" s="914"/>
    </row>
    <row r="412" spans="20:32" x14ac:dyDescent="0.25">
      <c r="T412" s="914"/>
      <c r="U412" s="914"/>
      <c r="V412" s="914"/>
      <c r="W412" s="914"/>
      <c r="X412" s="914"/>
      <c r="Y412" s="914"/>
      <c r="Z412" s="914"/>
      <c r="AA412" s="914"/>
      <c r="AB412" s="914"/>
      <c r="AC412" s="914"/>
      <c r="AD412" s="914"/>
      <c r="AE412" s="914"/>
      <c r="AF412" s="914"/>
    </row>
    <row r="413" spans="20:32" x14ac:dyDescent="0.25">
      <c r="T413" s="914"/>
      <c r="U413" s="914"/>
      <c r="V413" s="914"/>
      <c r="W413" s="914"/>
      <c r="X413" s="914"/>
      <c r="Y413" s="914"/>
      <c r="Z413" s="914"/>
      <c r="AA413" s="914"/>
      <c r="AB413" s="914"/>
      <c r="AC413" s="914"/>
      <c r="AD413" s="914"/>
      <c r="AE413" s="914"/>
      <c r="AF413" s="914"/>
    </row>
    <row r="414" spans="20:32" x14ac:dyDescent="0.25">
      <c r="T414" s="914"/>
      <c r="U414" s="914"/>
      <c r="V414" s="914"/>
      <c r="W414" s="914"/>
      <c r="X414" s="914"/>
      <c r="Y414" s="914"/>
      <c r="Z414" s="914"/>
      <c r="AA414" s="914"/>
      <c r="AB414" s="914"/>
      <c r="AC414" s="914"/>
      <c r="AD414" s="914"/>
      <c r="AE414" s="914"/>
      <c r="AF414" s="914"/>
    </row>
    <row r="415" spans="20:32" x14ac:dyDescent="0.25">
      <c r="T415" s="914"/>
      <c r="U415" s="914"/>
      <c r="V415" s="914"/>
      <c r="W415" s="914"/>
      <c r="X415" s="914"/>
      <c r="Y415" s="914"/>
      <c r="Z415" s="914"/>
      <c r="AA415" s="914"/>
      <c r="AB415" s="914"/>
      <c r="AC415" s="914"/>
      <c r="AD415" s="914"/>
      <c r="AE415" s="914"/>
      <c r="AF415" s="914"/>
    </row>
    <row r="416" spans="20:32" x14ac:dyDescent="0.25">
      <c r="T416" s="914"/>
      <c r="U416" s="914"/>
      <c r="V416" s="914"/>
      <c r="W416" s="914"/>
      <c r="X416" s="914"/>
      <c r="Y416" s="914"/>
      <c r="Z416" s="914"/>
      <c r="AA416" s="914"/>
      <c r="AB416" s="914"/>
      <c r="AC416" s="914"/>
      <c r="AD416" s="914"/>
      <c r="AE416" s="914"/>
      <c r="AF416" s="914"/>
    </row>
    <row r="417" spans="20:32" x14ac:dyDescent="0.25">
      <c r="T417" s="914"/>
      <c r="U417" s="914"/>
      <c r="V417" s="914"/>
      <c r="W417" s="914"/>
      <c r="X417" s="914"/>
      <c r="Y417" s="914"/>
      <c r="Z417" s="914"/>
      <c r="AA417" s="914"/>
      <c r="AB417" s="914"/>
      <c r="AC417" s="914"/>
      <c r="AD417" s="914"/>
      <c r="AE417" s="914"/>
      <c r="AF417" s="914"/>
    </row>
    <row r="418" spans="20:32" x14ac:dyDescent="0.25">
      <c r="T418" s="914"/>
      <c r="U418" s="914"/>
      <c r="V418" s="914"/>
      <c r="W418" s="914"/>
      <c r="X418" s="914"/>
      <c r="Y418" s="914"/>
      <c r="Z418" s="914"/>
      <c r="AA418" s="914"/>
      <c r="AB418" s="914"/>
      <c r="AC418" s="914"/>
      <c r="AD418" s="914"/>
      <c r="AE418" s="914"/>
      <c r="AF418" s="914"/>
    </row>
    <row r="419" spans="20:32" x14ac:dyDescent="0.25">
      <c r="T419" s="914"/>
      <c r="U419" s="914"/>
      <c r="V419" s="914"/>
      <c r="W419" s="914"/>
      <c r="X419" s="914"/>
      <c r="Y419" s="914"/>
      <c r="Z419" s="914"/>
      <c r="AA419" s="914"/>
      <c r="AB419" s="914"/>
      <c r="AC419" s="914"/>
      <c r="AD419" s="914"/>
      <c r="AE419" s="914"/>
      <c r="AF419" s="914"/>
    </row>
    <row r="420" spans="20:32" x14ac:dyDescent="0.25">
      <c r="T420" s="914"/>
      <c r="U420" s="914"/>
      <c r="V420" s="914"/>
      <c r="W420" s="914"/>
      <c r="X420" s="914"/>
      <c r="Y420" s="914"/>
      <c r="Z420" s="914"/>
      <c r="AA420" s="914"/>
      <c r="AB420" s="914"/>
      <c r="AC420" s="914"/>
      <c r="AD420" s="914"/>
      <c r="AE420" s="914"/>
      <c r="AF420" s="914"/>
    </row>
    <row r="421" spans="20:32" x14ac:dyDescent="0.25">
      <c r="T421" s="914"/>
      <c r="U421" s="914"/>
      <c r="V421" s="914"/>
      <c r="W421" s="914"/>
      <c r="X421" s="914"/>
      <c r="Y421" s="914"/>
      <c r="Z421" s="914"/>
      <c r="AA421" s="914"/>
      <c r="AB421" s="914"/>
      <c r="AC421" s="914"/>
      <c r="AD421" s="914"/>
      <c r="AE421" s="914"/>
      <c r="AF421" s="914"/>
    </row>
    <row r="422" spans="20:32" x14ac:dyDescent="0.25">
      <c r="T422" s="914"/>
      <c r="U422" s="914"/>
      <c r="V422" s="914"/>
      <c r="W422" s="914"/>
      <c r="X422" s="914"/>
      <c r="Y422" s="914"/>
      <c r="Z422" s="914"/>
      <c r="AA422" s="914"/>
      <c r="AB422" s="914"/>
      <c r="AC422" s="914"/>
      <c r="AD422" s="914"/>
      <c r="AE422" s="914"/>
      <c r="AF422" s="914"/>
    </row>
    <row r="423" spans="20:32" x14ac:dyDescent="0.25">
      <c r="T423" s="914"/>
      <c r="U423" s="914"/>
      <c r="V423" s="914"/>
      <c r="W423" s="914"/>
      <c r="X423" s="914"/>
      <c r="Y423" s="914"/>
      <c r="Z423" s="914"/>
      <c r="AA423" s="914"/>
      <c r="AB423" s="914"/>
      <c r="AC423" s="914"/>
      <c r="AD423" s="914"/>
      <c r="AE423" s="914"/>
      <c r="AF423" s="914"/>
    </row>
    <row r="424" spans="20:32" x14ac:dyDescent="0.25">
      <c r="T424" s="914"/>
      <c r="U424" s="914"/>
      <c r="V424" s="914"/>
      <c r="W424" s="914"/>
      <c r="X424" s="914"/>
      <c r="Y424" s="914"/>
      <c r="Z424" s="914"/>
      <c r="AA424" s="914"/>
      <c r="AB424" s="914"/>
      <c r="AC424" s="914"/>
      <c r="AD424" s="914"/>
      <c r="AE424" s="914"/>
      <c r="AF424" s="914"/>
    </row>
    <row r="425" spans="20:32" x14ac:dyDescent="0.25">
      <c r="T425" s="914"/>
      <c r="U425" s="914"/>
      <c r="V425" s="914"/>
      <c r="W425" s="914"/>
      <c r="X425" s="914"/>
      <c r="Y425" s="914"/>
      <c r="Z425" s="914"/>
      <c r="AA425" s="914"/>
      <c r="AB425" s="914"/>
      <c r="AC425" s="914"/>
      <c r="AD425" s="914"/>
      <c r="AE425" s="914"/>
      <c r="AF425" s="914"/>
    </row>
    <row r="426" spans="20:32" x14ac:dyDescent="0.25">
      <c r="T426" s="914"/>
      <c r="U426" s="914"/>
      <c r="V426" s="914"/>
      <c r="W426" s="914"/>
      <c r="X426" s="914"/>
      <c r="Y426" s="914"/>
      <c r="Z426" s="914"/>
      <c r="AA426" s="914"/>
      <c r="AB426" s="914"/>
      <c r="AC426" s="914"/>
      <c r="AD426" s="914"/>
      <c r="AE426" s="914"/>
      <c r="AF426" s="914"/>
    </row>
    <row r="427" spans="20:32" x14ac:dyDescent="0.25">
      <c r="T427" s="914"/>
      <c r="U427" s="914"/>
      <c r="V427" s="914"/>
      <c r="W427" s="914"/>
      <c r="X427" s="914"/>
      <c r="Y427" s="914"/>
      <c r="Z427" s="914"/>
      <c r="AA427" s="914"/>
      <c r="AB427" s="914"/>
      <c r="AC427" s="914"/>
      <c r="AD427" s="914"/>
      <c r="AE427" s="914"/>
      <c r="AF427" s="914"/>
    </row>
    <row r="428" spans="20:32" x14ac:dyDescent="0.25">
      <c r="T428" s="914"/>
      <c r="U428" s="914"/>
      <c r="V428" s="914"/>
      <c r="W428" s="914"/>
      <c r="X428" s="914"/>
      <c r="Y428" s="914"/>
      <c r="Z428" s="914"/>
      <c r="AA428" s="914"/>
      <c r="AB428" s="914"/>
      <c r="AC428" s="914"/>
      <c r="AD428" s="914"/>
      <c r="AE428" s="914"/>
      <c r="AF428" s="914"/>
    </row>
    <row r="429" spans="20:32" x14ac:dyDescent="0.25">
      <c r="T429" s="914"/>
      <c r="U429" s="914"/>
      <c r="V429" s="914"/>
      <c r="W429" s="914"/>
      <c r="X429" s="914"/>
      <c r="Y429" s="914"/>
      <c r="Z429" s="914"/>
      <c r="AA429" s="914"/>
      <c r="AB429" s="914"/>
      <c r="AC429" s="914"/>
      <c r="AD429" s="914"/>
      <c r="AE429" s="914"/>
      <c r="AF429" s="914"/>
    </row>
    <row r="430" spans="20:32" x14ac:dyDescent="0.25">
      <c r="T430" s="914"/>
      <c r="U430" s="914"/>
      <c r="V430" s="914"/>
      <c r="W430" s="914"/>
      <c r="X430" s="914"/>
      <c r="Y430" s="914"/>
      <c r="Z430" s="914"/>
      <c r="AA430" s="914"/>
      <c r="AB430" s="914"/>
      <c r="AC430" s="914"/>
      <c r="AD430" s="914"/>
      <c r="AE430" s="914"/>
      <c r="AF430" s="914"/>
    </row>
    <row r="431" spans="20:32" x14ac:dyDescent="0.25">
      <c r="T431" s="914"/>
      <c r="U431" s="914"/>
      <c r="V431" s="914"/>
      <c r="W431" s="914"/>
      <c r="X431" s="914"/>
      <c r="Y431" s="914"/>
      <c r="Z431" s="914"/>
      <c r="AA431" s="914"/>
      <c r="AB431" s="914"/>
      <c r="AC431" s="914"/>
      <c r="AD431" s="914"/>
      <c r="AE431" s="914"/>
      <c r="AF431" s="914"/>
    </row>
    <row r="432" spans="20:32" x14ac:dyDescent="0.25">
      <c r="T432" s="914"/>
      <c r="U432" s="914"/>
      <c r="V432" s="914"/>
      <c r="W432" s="914"/>
      <c r="X432" s="914"/>
      <c r="Y432" s="914"/>
      <c r="Z432" s="914"/>
      <c r="AA432" s="914"/>
      <c r="AB432" s="914"/>
      <c r="AC432" s="914"/>
      <c r="AD432" s="914"/>
      <c r="AE432" s="914"/>
      <c r="AF432" s="914"/>
    </row>
    <row r="433" spans="20:32" x14ac:dyDescent="0.25">
      <c r="T433" s="914"/>
      <c r="U433" s="914"/>
      <c r="V433" s="914"/>
      <c r="W433" s="914"/>
      <c r="X433" s="914"/>
      <c r="Y433" s="914"/>
      <c r="Z433" s="914"/>
      <c r="AA433" s="914"/>
      <c r="AB433" s="914"/>
      <c r="AC433" s="914"/>
      <c r="AD433" s="914"/>
      <c r="AE433" s="914"/>
      <c r="AF433" s="914"/>
    </row>
    <row r="434" spans="20:32" x14ac:dyDescent="0.25">
      <c r="T434" s="914"/>
      <c r="U434" s="914"/>
      <c r="V434" s="914"/>
      <c r="W434" s="914"/>
      <c r="X434" s="914"/>
      <c r="Y434" s="914"/>
      <c r="Z434" s="914"/>
      <c r="AA434" s="914"/>
      <c r="AB434" s="914"/>
      <c r="AC434" s="914"/>
      <c r="AD434" s="914"/>
      <c r="AE434" s="914"/>
      <c r="AF434" s="914"/>
    </row>
    <row r="435" spans="20:32" x14ac:dyDescent="0.25">
      <c r="T435" s="914"/>
      <c r="U435" s="914"/>
      <c r="V435" s="914"/>
      <c r="W435" s="914"/>
      <c r="X435" s="914"/>
      <c r="Y435" s="914"/>
      <c r="Z435" s="914"/>
      <c r="AA435" s="914"/>
      <c r="AB435" s="914"/>
      <c r="AC435" s="914"/>
      <c r="AD435" s="914"/>
      <c r="AE435" s="914"/>
      <c r="AF435" s="914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7">
    <cfRule type="cellIs" dxfId="3" priority="2" operator="equal">
      <formula>0</formula>
    </cfRule>
  </conditionalFormatting>
  <conditionalFormatting sqref="A105">
    <cfRule type="duplicateValues" dxfId="2" priority="1"/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 xr:uid="{00000000-0002-0000-0100-000001000000}"/>
  </dataValidations>
  <hyperlinks>
    <hyperlink ref="B23" r:id="rId1" xr:uid="{00000000-0004-0000-0100-000000000000}"/>
    <hyperlink ref="B24" r:id="rId2" xr:uid="{00000000-0004-0000-0100-000001000000}"/>
    <hyperlink ref="B14" r:id="rId3" xr:uid="{00000000-0004-0000-0100-000002000000}"/>
    <hyperlink ref="B20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82"/>
  <sheetViews>
    <sheetView showWhiteSpace="0" topLeftCell="A7" zoomScale="85" zoomScaleNormal="85" workbookViewId="0">
      <pane xSplit="2" ySplit="19" topLeftCell="C132" activePane="bottomRight" state="frozen"/>
      <selection activeCell="L62" sqref="L62"/>
      <selection pane="topRight" activeCell="L62" sqref="L62"/>
      <selection pane="bottomLeft" activeCell="L62" sqref="L62"/>
      <selection pane="bottomRight" activeCell="C158" sqref="C158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26.42578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4" t="s">
        <v>137</v>
      </c>
      <c r="Y1" s="1464"/>
      <c r="Z1" s="1464"/>
      <c r="AA1" s="1464"/>
      <c r="AB1" s="1464"/>
      <c r="AC1" s="1464"/>
      <c r="AD1" s="1464"/>
      <c r="AE1" s="1464"/>
    </row>
    <row r="2" spans="1:73" ht="14.25" hidden="1" customHeight="1" x14ac:dyDescent="0.25">
      <c r="T2" s="914"/>
      <c r="U2" s="914"/>
      <c r="V2" s="914"/>
      <c r="W2" s="914"/>
      <c r="X2" s="1159"/>
      <c r="Y2" s="1159"/>
      <c r="Z2" s="1159"/>
      <c r="AA2" s="1159"/>
      <c r="AB2" s="1159"/>
      <c r="AC2" s="1159"/>
      <c r="AD2" s="1159"/>
      <c r="AE2" s="1159"/>
      <c r="AF2" s="914"/>
      <c r="AG2" s="914"/>
      <c r="AH2" s="914"/>
      <c r="AI2" s="914"/>
      <c r="AJ2" s="914"/>
    </row>
    <row r="3" spans="1:73" ht="14.25" hidden="1" customHeight="1" x14ac:dyDescent="0.25">
      <c r="T3" s="914"/>
      <c r="U3" s="914"/>
      <c r="V3" s="914"/>
      <c r="W3" s="914"/>
      <c r="X3" s="1160"/>
      <c r="Y3" s="1160"/>
      <c r="Z3" s="1160"/>
      <c r="AA3" s="1160"/>
      <c r="AB3" s="1160"/>
      <c r="AC3" s="1160"/>
      <c r="AD3" s="1160"/>
      <c r="AE3" s="1160"/>
      <c r="AF3" s="914"/>
      <c r="AG3" s="914"/>
      <c r="AH3" s="914"/>
      <c r="AI3" s="914"/>
      <c r="AJ3" s="914"/>
    </row>
    <row r="4" spans="1:73" ht="14.25" hidden="1" customHeight="1" x14ac:dyDescent="0.25">
      <c r="T4" s="914"/>
      <c r="U4" s="914"/>
      <c r="V4" s="914"/>
      <c r="W4" s="914"/>
      <c r="X4" s="1160"/>
      <c r="Y4" s="1160"/>
      <c r="Z4" s="1160"/>
      <c r="AA4" s="1160"/>
      <c r="AB4" s="1160"/>
      <c r="AC4" s="1160"/>
      <c r="AD4" s="1160"/>
      <c r="AE4" s="1160"/>
      <c r="AF4" s="914"/>
      <c r="AG4" s="914"/>
      <c r="AH4" s="914"/>
      <c r="AI4" s="914"/>
      <c r="AJ4" s="914"/>
    </row>
    <row r="5" spans="1:73" ht="14.25" hidden="1" customHeight="1" x14ac:dyDescent="0.25">
      <c r="T5" s="914"/>
      <c r="U5" s="914"/>
      <c r="V5" s="914"/>
      <c r="W5" s="914"/>
      <c r="X5" s="1159"/>
      <c r="Y5" s="914"/>
      <c r="Z5" s="914"/>
      <c r="AA5" s="914"/>
      <c r="AB5" s="914"/>
      <c r="AC5" s="914"/>
      <c r="AD5" s="1159"/>
      <c r="AE5" s="914"/>
      <c r="AF5" s="914"/>
      <c r="AG5" s="914"/>
      <c r="AH5" s="914"/>
      <c r="AI5" s="914"/>
      <c r="AJ5" s="914"/>
    </row>
    <row r="6" spans="1:73" ht="12.75" hidden="1" customHeight="1" x14ac:dyDescent="0.25">
      <c r="T6" s="914"/>
      <c r="U6" s="914"/>
      <c r="V6" s="914"/>
      <c r="W6" s="914"/>
      <c r="X6" s="914"/>
      <c r="Y6" s="914"/>
      <c r="Z6" s="914"/>
      <c r="AA6" s="914"/>
      <c r="AB6" s="914"/>
      <c r="AC6" s="914"/>
      <c r="AD6" s="914"/>
      <c r="AE6" s="914"/>
      <c r="AF6" s="914"/>
      <c r="AG6" s="914"/>
      <c r="AH6" s="914"/>
      <c r="AI6" s="914"/>
      <c r="AJ6" s="914"/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83"/>
      <c r="U7" s="1083"/>
      <c r="V7" s="1083"/>
      <c r="W7" s="1083"/>
      <c r="X7" s="1083"/>
      <c r="Y7" s="1083"/>
      <c r="Z7" s="1083"/>
      <c r="AA7" s="1083"/>
      <c r="AB7" s="1083"/>
      <c r="AC7" s="1083"/>
      <c r="AD7" s="1083"/>
      <c r="AE7" s="1083"/>
      <c r="AF7" s="1083"/>
      <c r="AG7" s="1083"/>
      <c r="AH7" s="1083"/>
      <c r="AI7" s="1083"/>
      <c r="AJ7" s="1083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83"/>
      <c r="U8" s="1083"/>
      <c r="V8" s="1083"/>
      <c r="W8" s="1083"/>
      <c r="X8" s="1083"/>
      <c r="Y8" s="1083"/>
      <c r="Z8" s="1083"/>
      <c r="AA8" s="1083"/>
      <c r="AB8" s="1083"/>
      <c r="AC8" s="1083"/>
      <c r="AD8" s="1083"/>
      <c r="AE8" s="1083"/>
      <c r="AF8" s="1083"/>
      <c r="AG8" s="1083"/>
      <c r="AH8" s="1083"/>
      <c r="AI8" s="1083"/>
      <c r="AJ8" s="1083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4"/>
      <c r="U9" s="914"/>
      <c r="V9" s="914"/>
      <c r="W9" s="914"/>
      <c r="X9" s="914"/>
      <c r="Y9" s="914"/>
      <c r="Z9" s="914"/>
      <c r="AA9" s="914"/>
      <c r="AB9" s="914"/>
      <c r="AC9" s="914"/>
      <c r="AD9" s="914"/>
      <c r="AE9" s="914"/>
      <c r="AF9" s="914"/>
      <c r="AG9" s="914"/>
      <c r="AH9" s="914"/>
      <c r="AI9" s="914"/>
      <c r="AJ9" s="914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5" t="s">
        <v>363</v>
      </c>
      <c r="B10" s="1466" t="s">
        <v>144</v>
      </c>
      <c r="C10" s="1467">
        <v>2022</v>
      </c>
      <c r="D10" s="1468"/>
      <c r="E10" s="1468"/>
      <c r="F10" s="1468"/>
      <c r="G10" s="1468"/>
      <c r="H10" s="1468"/>
      <c r="I10" s="1468"/>
      <c r="J10" s="1468"/>
      <c r="K10" s="1468"/>
      <c r="L10" s="1468"/>
      <c r="M10" s="1468"/>
      <c r="N10" s="1468"/>
      <c r="O10" s="1468"/>
      <c r="P10" s="1468"/>
      <c r="Q10" s="1468"/>
      <c r="R10" s="1468"/>
      <c r="S10" s="1468"/>
      <c r="T10" s="1120"/>
      <c r="U10" s="1120"/>
      <c r="V10" s="1120"/>
      <c r="W10" s="1120"/>
      <c r="X10" s="1120"/>
      <c r="Y10" s="1121"/>
      <c r="Z10" s="1121"/>
      <c r="AA10" s="1121"/>
      <c r="AB10" s="1121"/>
      <c r="AC10" s="1121"/>
      <c r="AD10" s="1121"/>
      <c r="AE10" s="1121"/>
      <c r="AF10" s="1123"/>
      <c r="AG10" s="1123"/>
      <c r="AH10" s="1123"/>
      <c r="AI10" s="1123"/>
      <c r="AJ10" s="1123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5"/>
      <c r="B11" s="1466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2">
        <f>C10</f>
        <v>2022</v>
      </c>
      <c r="T11" s="1084"/>
      <c r="U11" s="1084"/>
      <c r="V11" s="1084"/>
      <c r="W11" s="1084"/>
      <c r="X11" s="1121"/>
      <c r="Y11" s="1084"/>
      <c r="Z11" s="1084"/>
      <c r="AA11" s="1084"/>
      <c r="AB11" s="1084"/>
      <c r="AC11" s="1121"/>
      <c r="AD11" s="1121"/>
      <c r="AE11" s="1121"/>
      <c r="AF11" s="899"/>
      <c r="AG11" s="899"/>
      <c r="AH11" s="899"/>
      <c r="AI11" s="899"/>
      <c r="AJ11" s="899"/>
      <c r="BR11" s="857" t="s">
        <v>151</v>
      </c>
      <c r="BT11" s="857" t="s">
        <v>152</v>
      </c>
    </row>
    <row r="12" spans="1:73" s="860" customFormat="1" x14ac:dyDescent="0.25">
      <c r="A12" s="1465"/>
      <c r="B12" s="1466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3"/>
      <c r="T12" s="1084"/>
      <c r="U12" s="1084"/>
      <c r="V12" s="1084"/>
      <c r="W12" s="1084"/>
      <c r="X12" s="1121"/>
      <c r="Y12" s="1084"/>
      <c r="Z12" s="1084"/>
      <c r="AA12" s="1084"/>
      <c r="AB12" s="1084"/>
      <c r="AC12" s="1121"/>
      <c r="AD12" s="1121"/>
      <c r="AE12" s="1121"/>
      <c r="AF12" s="899"/>
      <c r="AG12" s="899"/>
      <c r="AH12" s="899"/>
      <c r="AI12" s="899"/>
      <c r="AJ12" s="899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6"/>
      <c r="U13" s="906"/>
      <c r="V13" s="906"/>
      <c r="W13" s="906"/>
      <c r="X13" s="906"/>
      <c r="Y13" s="906"/>
      <c r="Z13" s="906"/>
      <c r="AA13" s="906"/>
      <c r="AB13" s="906"/>
      <c r="AC13" s="906"/>
      <c r="AD13" s="906"/>
      <c r="AE13" s="906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>
        <v>90.680360000000007</v>
      </c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4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BT14" s="865" t="s">
        <v>160</v>
      </c>
    </row>
    <row r="15" spans="1:73" s="865" customFormat="1" x14ac:dyDescent="0.25">
      <c r="A15" s="866" t="s">
        <v>161</v>
      </c>
      <c r="B15" s="870"/>
      <c r="C15" s="868">
        <v>983.33</v>
      </c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69"/>
      <c r="P15" s="869"/>
      <c r="Q15" s="869"/>
      <c r="R15" s="869"/>
      <c r="S15" s="1124"/>
      <c r="T15" s="1086"/>
      <c r="U15" s="1086"/>
      <c r="V15" s="1086"/>
      <c r="W15" s="1086"/>
      <c r="X15" s="1086"/>
      <c r="Y15" s="1086"/>
      <c r="Z15" s="1086"/>
      <c r="AA15" s="1086"/>
      <c r="AB15" s="1086"/>
      <c r="AC15" s="1086"/>
      <c r="AD15" s="1086"/>
      <c r="AE15" s="1086"/>
      <c r="BT15" s="865" t="s">
        <v>162</v>
      </c>
    </row>
    <row r="16" spans="1:73" s="865" customFormat="1" x14ac:dyDescent="0.25">
      <c r="A16" s="866" t="s">
        <v>163</v>
      </c>
      <c r="B16" s="870"/>
      <c r="C16" s="868">
        <v>16.05</v>
      </c>
      <c r="D16" s="868">
        <v>16.05</v>
      </c>
      <c r="E16" s="868">
        <v>16.05</v>
      </c>
      <c r="F16" s="868">
        <v>16.05</v>
      </c>
      <c r="G16" s="868">
        <v>16.05</v>
      </c>
      <c r="H16" s="868">
        <v>16.05</v>
      </c>
      <c r="I16" s="868">
        <v>16.05</v>
      </c>
      <c r="J16" s="868">
        <v>16.05</v>
      </c>
      <c r="K16" s="868">
        <v>16.05</v>
      </c>
      <c r="L16" s="868">
        <v>16.05</v>
      </c>
      <c r="M16" s="868">
        <v>16.05</v>
      </c>
      <c r="N16" s="868">
        <v>16.05</v>
      </c>
      <c r="O16" s="869"/>
      <c r="P16" s="869"/>
      <c r="Q16" s="869"/>
      <c r="R16" s="869"/>
      <c r="S16" s="1124"/>
      <c r="T16" s="906"/>
      <c r="U16" s="906"/>
      <c r="V16" s="906"/>
      <c r="W16" s="906"/>
      <c r="X16" s="906"/>
      <c r="Y16" s="906"/>
      <c r="Z16" s="906"/>
      <c r="AA16" s="906"/>
      <c r="AB16" s="906"/>
      <c r="AC16" s="906"/>
      <c r="AD16" s="906"/>
      <c r="AE16" s="906"/>
      <c r="BT16" s="865" t="s">
        <v>164</v>
      </c>
    </row>
    <row r="17" spans="1:72" s="865" customFormat="1" x14ac:dyDescent="0.25">
      <c r="A17" s="866" t="s">
        <v>165</v>
      </c>
      <c r="B17" s="870"/>
      <c r="C17" s="868">
        <v>279.27000000000004</v>
      </c>
      <c r="D17" s="869" t="s">
        <v>520</v>
      </c>
      <c r="E17" s="869"/>
      <c r="F17" s="869"/>
      <c r="G17" s="869"/>
      <c r="H17" s="869"/>
      <c r="I17" s="869"/>
      <c r="J17" s="869"/>
      <c r="K17" s="869"/>
      <c r="L17" s="869"/>
      <c r="M17" s="869"/>
      <c r="N17" s="869"/>
      <c r="O17" s="869"/>
      <c r="P17" s="869"/>
      <c r="Q17" s="869"/>
      <c r="R17" s="869"/>
      <c r="S17" s="1124"/>
      <c r="T17" s="906"/>
      <c r="U17" s="906"/>
      <c r="V17" s="906"/>
      <c r="W17" s="906"/>
      <c r="X17" s="906"/>
      <c r="Y17" s="906"/>
      <c r="Z17" s="906"/>
      <c r="AA17" s="906"/>
      <c r="AB17" s="906"/>
      <c r="AC17" s="906"/>
      <c r="AD17" s="906"/>
      <c r="AE17" s="906"/>
      <c r="BT17" s="865" t="s">
        <v>166</v>
      </c>
    </row>
    <row r="18" spans="1:72" s="865" customFormat="1" x14ac:dyDescent="0.25">
      <c r="A18" s="866" t="s">
        <v>167</v>
      </c>
      <c r="B18" s="870"/>
      <c r="C18" s="868">
        <v>598.13</v>
      </c>
      <c r="D18" s="869"/>
      <c r="E18" s="869"/>
      <c r="F18" s="869"/>
      <c r="G18" s="869"/>
      <c r="H18" s="869"/>
      <c r="I18" s="869"/>
      <c r="J18" s="869"/>
      <c r="K18" s="869"/>
      <c r="L18" s="869"/>
      <c r="M18" s="869"/>
      <c r="N18" s="869"/>
      <c r="O18" s="869"/>
      <c r="P18" s="869"/>
      <c r="Q18" s="869"/>
      <c r="R18" s="869"/>
      <c r="S18" s="1124"/>
      <c r="T18" s="906"/>
      <c r="U18" s="906"/>
      <c r="V18" s="906"/>
      <c r="W18" s="906"/>
      <c r="X18" s="906"/>
      <c r="Y18" s="906"/>
      <c r="Z18" s="906"/>
      <c r="AA18" s="906"/>
      <c r="AB18" s="906"/>
      <c r="AC18" s="906"/>
      <c r="AD18" s="906"/>
      <c r="AE18" s="906"/>
      <c r="BT18" s="865" t="s">
        <v>168</v>
      </c>
    </row>
    <row r="19" spans="1:72" s="865" customFormat="1" x14ac:dyDescent="0.25">
      <c r="A19" s="866" t="s">
        <v>169</v>
      </c>
      <c r="B19" s="870"/>
      <c r="C19" s="868">
        <v>457.96000000000004</v>
      </c>
      <c r="D19" s="869"/>
      <c r="E19" s="869"/>
      <c r="F19" s="869"/>
      <c r="G19" s="869"/>
      <c r="H19" s="869"/>
      <c r="I19" s="869"/>
      <c r="J19" s="869"/>
      <c r="K19" s="869"/>
      <c r="L19" s="869"/>
      <c r="M19" s="869"/>
      <c r="N19" s="869"/>
      <c r="O19" s="869"/>
      <c r="P19" s="869"/>
      <c r="Q19" s="869"/>
      <c r="R19" s="869"/>
      <c r="S19" s="1124"/>
      <c r="T19" s="906"/>
      <c r="U19" s="906"/>
      <c r="V19" s="906"/>
      <c r="W19" s="906"/>
      <c r="X19" s="906"/>
      <c r="Y19" s="906"/>
      <c r="Z19" s="906"/>
      <c r="AA19" s="906"/>
      <c r="AB19" s="906"/>
      <c r="AC19" s="906"/>
      <c r="AD19" s="906"/>
      <c r="AE19" s="906"/>
    </row>
    <row r="20" spans="1:72" s="865" customFormat="1" ht="15" x14ac:dyDescent="0.2">
      <c r="A20" s="866" t="s">
        <v>53</v>
      </c>
      <c r="B20" s="867" t="s">
        <v>170</v>
      </c>
      <c r="C20" s="868">
        <v>81.195559000000003</v>
      </c>
      <c r="D20" s="977"/>
      <c r="E20" s="868"/>
      <c r="F20" s="868"/>
      <c r="G20" s="868"/>
      <c r="H20" s="873"/>
      <c r="I20" s="868"/>
      <c r="J20" s="868"/>
      <c r="K20" s="868"/>
      <c r="L20" s="868"/>
      <c r="M20" s="868"/>
      <c r="N20" s="868"/>
      <c r="O20" s="869"/>
      <c r="P20" s="869"/>
      <c r="Q20" s="869"/>
      <c r="R20" s="869"/>
      <c r="S20" s="1124"/>
      <c r="T20" s="1085"/>
      <c r="U20" s="1085"/>
      <c r="V20" s="1085"/>
      <c r="W20" s="1085"/>
      <c r="X20" s="1085"/>
      <c r="Y20" s="1085"/>
      <c r="Z20" s="1085"/>
      <c r="AA20" s="1085"/>
      <c r="AB20" s="1085"/>
      <c r="AC20" s="1085"/>
      <c r="AD20" s="1085"/>
      <c r="AE20" s="1085"/>
      <c r="BT20" s="865" t="s">
        <v>171</v>
      </c>
    </row>
    <row r="21" spans="1:72" s="865" customFormat="1" x14ac:dyDescent="0.25">
      <c r="A21" s="866" t="s">
        <v>172</v>
      </c>
      <c r="B21" s="870"/>
      <c r="C21" s="875">
        <f>ROUND((C14-C16)/C17*C20,4)</f>
        <v>21.6982</v>
      </c>
      <c r="D21" s="876" t="e">
        <f>ROUND((D14-D16)/D17*D20,4)</f>
        <v>#VALUE!</v>
      </c>
      <c r="E21" s="877" t="e">
        <f>ROUND((E14-E16)/E17*E20,4)</f>
        <v>#DIV/0!</v>
      </c>
      <c r="F21" s="877" t="e">
        <f>ROUND((F14-F16)/F17*F20,4)</f>
        <v>#DIV/0!</v>
      </c>
      <c r="G21" s="876" t="e">
        <f>ROUND((G14-G16)/G17*G20,4)</f>
        <v>#DIV/0!</v>
      </c>
      <c r="H21" s="877" t="e">
        <f>ROUND((H14-H16)/H17*H20,4)</f>
        <v>#DIV/0!</v>
      </c>
      <c r="I21" s="877" t="e">
        <f>ROUND((I14-I16)/I17*I20,4)</f>
        <v>#DIV/0!</v>
      </c>
      <c r="J21" s="877" t="e">
        <f>ROUND((J14-J16)/J17*J20,4)</f>
        <v>#DIV/0!</v>
      </c>
      <c r="K21" s="877" t="e">
        <f>ROUND((K14-K16)/K17*K20,4)</f>
        <v>#DIV/0!</v>
      </c>
      <c r="L21" s="877" t="e">
        <f>ROUND((L14-L16)/L17*L20,4)</f>
        <v>#DIV/0!</v>
      </c>
      <c r="M21" s="877" t="e">
        <f>ROUND((M14-M16)/M17*M20,4)</f>
        <v>#DIV/0!</v>
      </c>
      <c r="N21" s="877" t="e">
        <f>ROUND((N14-N16)/N17*N20,4)</f>
        <v>#DIV/0!</v>
      </c>
      <c r="O21" s="869" t="e">
        <f t="shared" ref="O21" si="0">AVERAGE(C21:E21)</f>
        <v>#VALUE!</v>
      </c>
      <c r="P21" s="869" t="e">
        <f t="shared" ref="P21" si="1">AVERAGE(F21:H21)</f>
        <v>#DIV/0!</v>
      </c>
      <c r="Q21" s="869" t="e">
        <f>AVERAGE(I21:K21)</f>
        <v>#DIV/0!</v>
      </c>
      <c r="R21" s="869" t="e">
        <f t="shared" ref="R21" si="2">AVERAGE(L21:N21)</f>
        <v>#DIV/0!</v>
      </c>
      <c r="S21" s="1124" t="e">
        <f>ROUND((S14-S16)/S17*S20,4)</f>
        <v>#DIV/0!</v>
      </c>
      <c r="T21" s="1087"/>
      <c r="U21" s="1087"/>
      <c r="V21" s="1087"/>
      <c r="W21" s="1087"/>
      <c r="X21" s="1087"/>
      <c r="Y21" s="1087"/>
      <c r="Z21" s="1087"/>
      <c r="AA21" s="1087"/>
      <c r="AB21" s="1087"/>
      <c r="AC21" s="1087"/>
      <c r="AD21" s="1087"/>
      <c r="AE21" s="1087"/>
      <c r="BT21" s="865" t="s">
        <v>173</v>
      </c>
    </row>
    <row r="22" spans="1:72" s="880" customFormat="1" x14ac:dyDescent="0.25">
      <c r="A22" s="878" t="s">
        <v>174</v>
      </c>
      <c r="B22" s="879"/>
      <c r="C22" s="875">
        <v>0.71369000000000005</v>
      </c>
      <c r="D22" s="875"/>
      <c r="E22" s="875"/>
      <c r="F22" s="875"/>
      <c r="G22" s="875"/>
      <c r="H22" s="875"/>
      <c r="I22" s="875"/>
      <c r="J22" s="875"/>
      <c r="K22" s="875"/>
      <c r="L22" s="875"/>
      <c r="M22" s="875"/>
      <c r="N22" s="875"/>
      <c r="O22" s="875"/>
      <c r="P22" s="875"/>
      <c r="Q22" s="875"/>
      <c r="R22" s="875"/>
      <c r="S22" s="1125"/>
      <c r="T22" s="1088"/>
      <c r="U22" s="1088"/>
      <c r="V22" s="1088"/>
      <c r="W22" s="1088"/>
      <c r="X22" s="1088"/>
      <c r="Y22" s="1088"/>
      <c r="Z22" s="1088"/>
      <c r="AA22" s="1088"/>
      <c r="AB22" s="1088"/>
      <c r="AC22" s="1088"/>
      <c r="AD22" s="1088"/>
      <c r="AE22" s="1088"/>
    </row>
    <row r="23" spans="1:72" s="880" customFormat="1" ht="15" x14ac:dyDescent="0.25">
      <c r="A23" s="878" t="s">
        <v>175</v>
      </c>
      <c r="B23" s="867" t="s">
        <v>176</v>
      </c>
      <c r="C23" s="881">
        <f>+IF(C171*7.3&gt;182.5,ROUNDDOWN((0.3*(C171*7.3-182.5)+29.2),1)*C20*C22,IF(AND(C171*7.3&gt;146,C171*7.3&lt;=182.5),(0.45*(C171*7.3-146)+12.78)*C20*C22,IF(AND(C171*7.3&gt;109.5,C171*7.3&lt;=146),ROUNDDOWN(0.35*(C171*7.3-109.5),1)*C20*C22,0)))</f>
        <v>7683.9655974593461</v>
      </c>
      <c r="D23" s="881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81">
        <f t="shared" ref="E23:N23" si="3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81">
        <f t="shared" si="3"/>
        <v>0</v>
      </c>
      <c r="G23" s="881">
        <f t="shared" si="3"/>
        <v>0</v>
      </c>
      <c r="H23" s="881">
        <f t="shared" si="3"/>
        <v>0</v>
      </c>
      <c r="I23" s="881">
        <f t="shared" si="3"/>
        <v>0</v>
      </c>
      <c r="J23" s="881">
        <f t="shared" si="3"/>
        <v>0</v>
      </c>
      <c r="K23" s="881">
        <f t="shared" si="3"/>
        <v>0</v>
      </c>
      <c r="L23" s="881">
        <f t="shared" si="3"/>
        <v>0</v>
      </c>
      <c r="M23" s="881">
        <f t="shared" si="3"/>
        <v>0</v>
      </c>
      <c r="N23" s="881">
        <f t="shared" si="3"/>
        <v>0</v>
      </c>
      <c r="O23" s="869">
        <f t="shared" ref="O23" si="4">AVERAGE(C23:E23)</f>
        <v>2561.321865819782</v>
      </c>
      <c r="P23" s="869">
        <f t="shared" ref="P23" si="5">AVERAGE(F23:H23)</f>
        <v>0</v>
      </c>
      <c r="Q23" s="869">
        <f>AVERAGE(I23:K23)</f>
        <v>0</v>
      </c>
      <c r="R23" s="869">
        <f t="shared" ref="R23" si="6">AVERAGE(L23:N23)</f>
        <v>0</v>
      </c>
      <c r="S23" s="1124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9"/>
      <c r="U23" s="1089"/>
      <c r="V23" s="1089"/>
      <c r="W23" s="1089"/>
      <c r="X23" s="1089"/>
      <c r="Y23" s="1089"/>
      <c r="Z23" s="1089"/>
      <c r="AA23" s="1089"/>
      <c r="AB23" s="1089"/>
      <c r="AC23" s="1089"/>
      <c r="AD23" s="1089"/>
      <c r="AE23" s="1089"/>
    </row>
    <row r="24" spans="1:72" s="880" customFormat="1" ht="15" x14ac:dyDescent="0.25">
      <c r="A24" s="878" t="s">
        <v>177</v>
      </c>
      <c r="B24" s="867" t="s">
        <v>178</v>
      </c>
      <c r="C24" s="883">
        <f t="shared" ref="C24:S24" si="7">C203</f>
        <v>118.2645</v>
      </c>
      <c r="D24" s="883">
        <f t="shared" si="7"/>
        <v>220.55369999999999</v>
      </c>
      <c r="E24" s="883">
        <f t="shared" si="7"/>
        <v>220.55369999999999</v>
      </c>
      <c r="F24" s="883">
        <f t="shared" si="7"/>
        <v>110.55369999999999</v>
      </c>
      <c r="G24" s="883">
        <f t="shared" si="7"/>
        <v>23.553699999999999</v>
      </c>
      <c r="H24" s="883">
        <f t="shared" si="7"/>
        <v>23.553699999999999</v>
      </c>
      <c r="I24" s="883">
        <f t="shared" si="7"/>
        <v>23.553699999999999</v>
      </c>
      <c r="J24" s="883">
        <f t="shared" si="7"/>
        <v>23.553699999999999</v>
      </c>
      <c r="K24" s="883">
        <f t="shared" si="7"/>
        <v>23.553699999999999</v>
      </c>
      <c r="L24" s="883">
        <f t="shared" si="7"/>
        <v>23.553699999999999</v>
      </c>
      <c r="M24" s="883">
        <f t="shared" si="7"/>
        <v>23.553699999999999</v>
      </c>
      <c r="N24" s="883">
        <f t="shared" si="7"/>
        <v>23.553699999999999</v>
      </c>
      <c r="O24" s="883">
        <f>O203</f>
        <v>23.553699999999999</v>
      </c>
      <c r="P24" s="883">
        <f t="shared" ref="P24:R24" si="8">P203</f>
        <v>23.553699999999999</v>
      </c>
      <c r="Q24" s="883">
        <f t="shared" si="8"/>
        <v>23.553699999999999</v>
      </c>
      <c r="R24" s="883">
        <f t="shared" si="8"/>
        <v>23.553699999999999</v>
      </c>
      <c r="S24" s="1126">
        <f t="shared" si="7"/>
        <v>23.553699999999999</v>
      </c>
      <c r="T24" s="1090"/>
      <c r="U24" s="1090"/>
      <c r="V24" s="1090"/>
      <c r="W24" s="1090"/>
      <c r="X24" s="1090"/>
      <c r="Y24" s="1090"/>
      <c r="Z24" s="1090"/>
      <c r="AA24" s="1090"/>
      <c r="AB24" s="1090"/>
      <c r="AC24" s="1090"/>
      <c r="AD24" s="1090"/>
      <c r="AE24" s="1090"/>
    </row>
    <row r="25" spans="1:72" s="865" customFormat="1" x14ac:dyDescent="0.25">
      <c r="A25" s="884" t="s">
        <v>179</v>
      </c>
      <c r="B25" s="885" t="s">
        <v>180</v>
      </c>
      <c r="C25" s="886">
        <f>C21*C15+C19+C23+C24</f>
        <v>29596.681103459345</v>
      </c>
      <c r="D25" s="886" t="e">
        <f t="shared" ref="D25:S25" si="9">D21*D15+D19+D23+D24</f>
        <v>#VALUE!</v>
      </c>
      <c r="E25" s="886" t="e">
        <f t="shared" si="9"/>
        <v>#DIV/0!</v>
      </c>
      <c r="F25" s="886" t="e">
        <f t="shared" si="9"/>
        <v>#DIV/0!</v>
      </c>
      <c r="G25" s="886" t="e">
        <f t="shared" si="9"/>
        <v>#DIV/0!</v>
      </c>
      <c r="H25" s="886" t="e">
        <f t="shared" si="9"/>
        <v>#DIV/0!</v>
      </c>
      <c r="I25" s="886" t="e">
        <f t="shared" si="9"/>
        <v>#DIV/0!</v>
      </c>
      <c r="J25" s="886" t="e">
        <f t="shared" si="9"/>
        <v>#DIV/0!</v>
      </c>
      <c r="K25" s="886" t="e">
        <f t="shared" si="9"/>
        <v>#DIV/0!</v>
      </c>
      <c r="L25" s="886" t="e">
        <f t="shared" si="9"/>
        <v>#DIV/0!</v>
      </c>
      <c r="M25" s="886" t="e">
        <f t="shared" si="9"/>
        <v>#DIV/0!</v>
      </c>
      <c r="N25" s="886" t="e">
        <f t="shared" si="9"/>
        <v>#DIV/0!</v>
      </c>
      <c r="O25" s="886" t="e">
        <f>O21*O15+O19+O23+O24</f>
        <v>#VALUE!</v>
      </c>
      <c r="P25" s="886" t="e">
        <f t="shared" si="9"/>
        <v>#DIV/0!</v>
      </c>
      <c r="Q25" s="886" t="e">
        <f t="shared" si="9"/>
        <v>#DIV/0!</v>
      </c>
      <c r="R25" s="886" t="e">
        <f t="shared" si="9"/>
        <v>#DIV/0!</v>
      </c>
      <c r="S25" s="1127" t="e">
        <f t="shared" si="9"/>
        <v>#DIV/0!</v>
      </c>
      <c r="T25" s="1091"/>
      <c r="U25" s="1091"/>
      <c r="V25" s="1091"/>
      <c r="W25" s="1091"/>
      <c r="X25" s="1091"/>
      <c r="Y25" s="1091"/>
      <c r="Z25" s="1091"/>
      <c r="AA25" s="1091"/>
      <c r="AB25" s="1091"/>
      <c r="AC25" s="1091"/>
      <c r="AD25" s="1091"/>
      <c r="AE25" s="1091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8"/>
      <c r="D26" s="889"/>
      <c r="E26" s="889"/>
      <c r="F26" s="889"/>
      <c r="G26" s="889"/>
      <c r="H26" s="889"/>
      <c r="I26" s="889"/>
      <c r="J26" s="888"/>
      <c r="K26" s="888"/>
      <c r="L26" s="889"/>
      <c r="M26" s="889"/>
      <c r="N26" s="889"/>
      <c r="O26" s="889"/>
      <c r="P26" s="889"/>
      <c r="Q26" s="889"/>
      <c r="R26" s="889"/>
      <c r="S26" s="890"/>
      <c r="T26" s="906"/>
      <c r="U26" s="906"/>
      <c r="V26" s="906"/>
      <c r="W26" s="906"/>
      <c r="X26" s="906"/>
      <c r="Y26" s="906"/>
      <c r="Z26" s="906"/>
      <c r="AA26" s="906"/>
      <c r="AB26" s="906"/>
      <c r="AC26" s="906"/>
      <c r="AD26" s="906"/>
      <c r="AE26" s="906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91" t="s">
        <v>184</v>
      </c>
      <c r="C27" s="1196">
        <v>0.4</v>
      </c>
      <c r="D27" s="892"/>
      <c r="E27" s="892"/>
      <c r="F27" s="892"/>
      <c r="G27" s="892"/>
      <c r="H27" s="892"/>
      <c r="I27" s="892"/>
      <c r="J27" s="892"/>
      <c r="K27" s="892"/>
      <c r="L27" s="892"/>
      <c r="M27" s="892"/>
      <c r="N27" s="892"/>
      <c r="O27" s="892"/>
      <c r="P27" s="892"/>
      <c r="Q27" s="892"/>
      <c r="R27" s="892"/>
      <c r="S27" s="1128"/>
      <c r="T27" s="1092"/>
      <c r="U27" s="1092"/>
      <c r="V27" s="1092"/>
      <c r="W27" s="1092"/>
      <c r="X27" s="1092"/>
      <c r="Y27" s="1092"/>
      <c r="Z27" s="1092"/>
      <c r="AA27" s="1092"/>
      <c r="AB27" s="1092"/>
      <c r="AC27" s="1092"/>
      <c r="AD27" s="1092"/>
      <c r="AE27" s="1092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91" t="s">
        <v>184</v>
      </c>
      <c r="C28" s="1196">
        <v>0.4</v>
      </c>
      <c r="D28" s="892"/>
      <c r="E28" s="892"/>
      <c r="F28" s="892"/>
      <c r="G28" s="892"/>
      <c r="H28" s="892"/>
      <c r="I28" s="892"/>
      <c r="J28" s="892"/>
      <c r="K28" s="892"/>
      <c r="L28" s="892"/>
      <c r="M28" s="892"/>
      <c r="N28" s="892"/>
      <c r="O28" s="892"/>
      <c r="P28" s="892"/>
      <c r="Q28" s="892"/>
      <c r="R28" s="892"/>
      <c r="S28" s="1128"/>
      <c r="T28" s="1092"/>
      <c r="U28" s="1092"/>
      <c r="V28" s="1092"/>
      <c r="W28" s="1092"/>
      <c r="X28" s="1092"/>
      <c r="Y28" s="1092"/>
      <c r="Z28" s="1092"/>
      <c r="AA28" s="1092"/>
      <c r="AB28" s="1092"/>
      <c r="AC28" s="1092"/>
      <c r="AD28" s="1092"/>
      <c r="AE28" s="1092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91" t="s">
        <v>142</v>
      </c>
      <c r="C29" s="1196">
        <v>1</v>
      </c>
      <c r="D29" s="892"/>
      <c r="E29" s="892"/>
      <c r="F29" s="892"/>
      <c r="G29" s="892"/>
      <c r="H29" s="892"/>
      <c r="I29" s="892"/>
      <c r="J29" s="892"/>
      <c r="K29" s="892"/>
      <c r="L29" s="892"/>
      <c r="M29" s="892"/>
      <c r="N29" s="892"/>
      <c r="O29" s="892"/>
      <c r="P29" s="892"/>
      <c r="Q29" s="892"/>
      <c r="R29" s="892"/>
      <c r="S29" s="1128"/>
      <c r="T29" s="1092"/>
      <c r="U29" s="1092"/>
      <c r="V29" s="1092"/>
      <c r="W29" s="1092"/>
      <c r="X29" s="1092"/>
      <c r="Y29" s="1092"/>
      <c r="Z29" s="1092"/>
      <c r="AA29" s="1092"/>
      <c r="AB29" s="1092"/>
      <c r="AC29" s="1092"/>
      <c r="AD29" s="1092"/>
      <c r="AE29" s="1092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91" t="s">
        <v>142</v>
      </c>
      <c r="C30" s="1196">
        <v>1</v>
      </c>
      <c r="D30" s="892"/>
      <c r="E30" s="892"/>
      <c r="F30" s="892"/>
      <c r="G30" s="892"/>
      <c r="H30" s="892"/>
      <c r="I30" s="892"/>
      <c r="J30" s="892"/>
      <c r="K30" s="892"/>
      <c r="L30" s="892"/>
      <c r="M30" s="892"/>
      <c r="N30" s="892"/>
      <c r="O30" s="892"/>
      <c r="P30" s="892"/>
      <c r="Q30" s="892"/>
      <c r="R30" s="892"/>
      <c r="S30" s="1128"/>
      <c r="T30" s="1092"/>
      <c r="U30" s="1092"/>
      <c r="V30" s="1092"/>
      <c r="W30" s="1092"/>
      <c r="X30" s="1092"/>
      <c r="Y30" s="1092"/>
      <c r="Z30" s="1092"/>
      <c r="AA30" s="1092"/>
      <c r="AB30" s="1092"/>
      <c r="AC30" s="1092"/>
      <c r="AD30" s="1092"/>
      <c r="AE30" s="1092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91" t="s">
        <v>142</v>
      </c>
      <c r="C31" s="1196">
        <v>1</v>
      </c>
      <c r="D31" s="892"/>
      <c r="E31" s="892"/>
      <c r="F31" s="892"/>
      <c r="G31" s="892"/>
      <c r="H31" s="892"/>
      <c r="I31" s="892"/>
      <c r="J31" s="892"/>
      <c r="K31" s="892"/>
      <c r="L31" s="892"/>
      <c r="M31" s="892"/>
      <c r="N31" s="892"/>
      <c r="O31" s="892"/>
      <c r="P31" s="892"/>
      <c r="Q31" s="892"/>
      <c r="R31" s="892"/>
      <c r="S31" s="1128"/>
      <c r="T31" s="1092"/>
      <c r="U31" s="1092"/>
      <c r="V31" s="1092"/>
      <c r="W31" s="1092"/>
      <c r="X31" s="1092"/>
      <c r="Y31" s="1092"/>
      <c r="Z31" s="1092"/>
      <c r="AA31" s="1092"/>
      <c r="AB31" s="1092"/>
      <c r="AC31" s="1092"/>
      <c r="AD31" s="1092"/>
      <c r="AE31" s="1092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91" t="s">
        <v>142</v>
      </c>
      <c r="C32" s="1196">
        <v>1</v>
      </c>
      <c r="D32" s="892"/>
      <c r="E32" s="892"/>
      <c r="F32" s="892"/>
      <c r="G32" s="892"/>
      <c r="H32" s="892"/>
      <c r="I32" s="892"/>
      <c r="J32" s="892"/>
      <c r="K32" s="892"/>
      <c r="L32" s="892"/>
      <c r="M32" s="892"/>
      <c r="N32" s="892"/>
      <c r="O32" s="892"/>
      <c r="P32" s="892"/>
      <c r="Q32" s="892"/>
      <c r="R32" s="892"/>
      <c r="S32" s="1128"/>
      <c r="T32" s="1092"/>
      <c r="U32" s="1092"/>
      <c r="V32" s="1092"/>
      <c r="W32" s="1092"/>
      <c r="X32" s="1092"/>
      <c r="Y32" s="1092"/>
      <c r="Z32" s="1092"/>
      <c r="AA32" s="1092"/>
      <c r="AB32" s="1092"/>
      <c r="AC32" s="1092"/>
      <c r="AD32" s="1092"/>
      <c r="AE32" s="1092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91" t="s">
        <v>142</v>
      </c>
      <c r="C33" s="1196">
        <v>1</v>
      </c>
      <c r="D33" s="892"/>
      <c r="E33" s="892"/>
      <c r="F33" s="892"/>
      <c r="G33" s="892"/>
      <c r="H33" s="892"/>
      <c r="I33" s="892"/>
      <c r="J33" s="892"/>
      <c r="K33" s="892"/>
      <c r="L33" s="892"/>
      <c r="M33" s="892"/>
      <c r="N33" s="892"/>
      <c r="O33" s="892"/>
      <c r="P33" s="892"/>
      <c r="Q33" s="892"/>
      <c r="R33" s="892"/>
      <c r="S33" s="1128"/>
      <c r="T33" s="1092"/>
      <c r="U33" s="1092"/>
      <c r="V33" s="1092"/>
      <c r="W33" s="1092"/>
      <c r="X33" s="1092"/>
      <c r="Y33" s="1092"/>
      <c r="Z33" s="1092"/>
      <c r="AA33" s="1092"/>
      <c r="AB33" s="1092"/>
      <c r="AC33" s="1092"/>
      <c r="AD33" s="1092"/>
      <c r="AE33" s="1092"/>
    </row>
    <row r="34" spans="1:31" s="865" customFormat="1" ht="12.75" customHeight="1" outlineLevel="1" x14ac:dyDescent="0.25">
      <c r="A34" s="870" t="s">
        <v>372</v>
      </c>
      <c r="B34" s="891" t="s">
        <v>142</v>
      </c>
      <c r="C34" s="1196">
        <v>1</v>
      </c>
      <c r="D34" s="892"/>
      <c r="E34" s="892"/>
      <c r="F34" s="892"/>
      <c r="G34" s="892"/>
      <c r="H34" s="892"/>
      <c r="I34" s="892"/>
      <c r="J34" s="892"/>
      <c r="K34" s="892"/>
      <c r="L34" s="892"/>
      <c r="M34" s="892"/>
      <c r="N34" s="892"/>
      <c r="O34" s="892"/>
      <c r="P34" s="892"/>
      <c r="Q34" s="892"/>
      <c r="R34" s="892"/>
      <c r="S34" s="1128"/>
      <c r="T34" s="1092"/>
      <c r="U34" s="1092"/>
      <c r="V34" s="1092"/>
      <c r="W34" s="1092"/>
      <c r="X34" s="1092"/>
      <c r="Y34" s="1092"/>
      <c r="Z34" s="1092"/>
      <c r="AA34" s="1092"/>
      <c r="AB34" s="1092"/>
      <c r="AC34" s="1092"/>
      <c r="AD34" s="1092"/>
      <c r="AE34" s="1092"/>
    </row>
    <row r="35" spans="1:31" s="865" customFormat="1" ht="12.75" customHeight="1" outlineLevel="1" x14ac:dyDescent="0.25">
      <c r="A35" s="870" t="s">
        <v>373</v>
      </c>
      <c r="B35" s="891" t="s">
        <v>142</v>
      </c>
      <c r="C35" s="1196">
        <v>1</v>
      </c>
      <c r="D35" s="892"/>
      <c r="E35" s="892"/>
      <c r="F35" s="892"/>
      <c r="G35" s="892"/>
      <c r="H35" s="892"/>
      <c r="I35" s="892"/>
      <c r="J35" s="892"/>
      <c r="K35" s="892"/>
      <c r="L35" s="892"/>
      <c r="M35" s="892"/>
      <c r="N35" s="892"/>
      <c r="O35" s="892"/>
      <c r="P35" s="892"/>
      <c r="Q35" s="892"/>
      <c r="R35" s="892"/>
      <c r="S35" s="1128"/>
      <c r="T35" s="1092"/>
      <c r="U35" s="1092"/>
      <c r="V35" s="1092"/>
      <c r="W35" s="1092"/>
      <c r="X35" s="1092"/>
      <c r="Y35" s="1092"/>
      <c r="Z35" s="1092"/>
      <c r="AA35" s="1092"/>
      <c r="AB35" s="1092"/>
      <c r="AC35" s="1092"/>
      <c r="AD35" s="1092"/>
      <c r="AE35" s="1092"/>
    </row>
    <row r="36" spans="1:31" s="865" customFormat="1" ht="12.75" customHeight="1" outlineLevel="1" x14ac:dyDescent="0.25">
      <c r="A36" s="870" t="s">
        <v>374</v>
      </c>
      <c r="B36" s="891" t="s">
        <v>142</v>
      </c>
      <c r="C36" s="1196">
        <v>1</v>
      </c>
      <c r="D36" s="892"/>
      <c r="E36" s="892"/>
      <c r="F36" s="892"/>
      <c r="G36" s="892"/>
      <c r="H36" s="892"/>
      <c r="I36" s="892"/>
      <c r="J36" s="892"/>
      <c r="K36" s="892"/>
      <c r="L36" s="892"/>
      <c r="M36" s="892"/>
      <c r="N36" s="892"/>
      <c r="O36" s="892"/>
      <c r="P36" s="892"/>
      <c r="Q36" s="892"/>
      <c r="R36" s="892"/>
      <c r="S36" s="1128"/>
      <c r="T36" s="1092"/>
      <c r="U36" s="1092"/>
      <c r="V36" s="1092"/>
      <c r="W36" s="1092"/>
      <c r="X36" s="1092"/>
      <c r="Y36" s="1092"/>
      <c r="Z36" s="1092"/>
      <c r="AA36" s="1092"/>
      <c r="AB36" s="1092"/>
      <c r="AC36" s="1092"/>
      <c r="AD36" s="1092"/>
      <c r="AE36" s="1092"/>
    </row>
    <row r="37" spans="1:31" s="865" customFormat="1" ht="12.75" customHeight="1" outlineLevel="1" x14ac:dyDescent="0.25">
      <c r="A37" s="870" t="s">
        <v>375</v>
      </c>
      <c r="B37" s="891" t="s">
        <v>142</v>
      </c>
      <c r="C37" s="1196">
        <v>1</v>
      </c>
      <c r="D37" s="892"/>
      <c r="E37" s="892"/>
      <c r="F37" s="892"/>
      <c r="G37" s="892"/>
      <c r="H37" s="892"/>
      <c r="I37" s="892"/>
      <c r="J37" s="892"/>
      <c r="K37" s="892"/>
      <c r="L37" s="892"/>
      <c r="M37" s="892"/>
      <c r="N37" s="892"/>
      <c r="O37" s="892"/>
      <c r="P37" s="892"/>
      <c r="Q37" s="892"/>
      <c r="R37" s="892"/>
      <c r="S37" s="1128"/>
      <c r="T37" s="1092"/>
      <c r="U37" s="1092"/>
      <c r="V37" s="1092"/>
      <c r="W37" s="1092"/>
      <c r="X37" s="1092"/>
      <c r="Y37" s="1092"/>
      <c r="Z37" s="1092"/>
      <c r="AA37" s="1092"/>
      <c r="AB37" s="1092"/>
      <c r="AC37" s="1092"/>
      <c r="AD37" s="1092"/>
      <c r="AE37" s="1092"/>
    </row>
    <row r="38" spans="1:31" s="865" customFormat="1" ht="12.75" customHeight="1" outlineLevel="1" x14ac:dyDescent="0.25">
      <c r="A38" s="870" t="s">
        <v>376</v>
      </c>
      <c r="B38" s="891" t="s">
        <v>142</v>
      </c>
      <c r="C38" s="1196">
        <v>1</v>
      </c>
      <c r="D38" s="892"/>
      <c r="E38" s="892"/>
      <c r="F38" s="892"/>
      <c r="G38" s="892"/>
      <c r="H38" s="892"/>
      <c r="I38" s="892"/>
      <c r="J38" s="892"/>
      <c r="K38" s="892"/>
      <c r="L38" s="892"/>
      <c r="M38" s="892"/>
      <c r="N38" s="892"/>
      <c r="O38" s="892"/>
      <c r="P38" s="892"/>
      <c r="Q38" s="892"/>
      <c r="R38" s="892"/>
      <c r="S38" s="1128"/>
      <c r="T38" s="1092"/>
      <c r="U38" s="1092"/>
      <c r="V38" s="1092"/>
      <c r="W38" s="1092"/>
      <c r="X38" s="1092"/>
      <c r="Y38" s="1092"/>
      <c r="Z38" s="1092"/>
      <c r="AA38" s="1092"/>
      <c r="AB38" s="1092"/>
      <c r="AC38" s="1092"/>
      <c r="AD38" s="1092"/>
      <c r="AE38" s="1092"/>
    </row>
    <row r="39" spans="1:31" s="865" customFormat="1" ht="12.75" customHeight="1" outlineLevel="1" x14ac:dyDescent="0.25">
      <c r="A39" s="870" t="s">
        <v>377</v>
      </c>
      <c r="B39" s="891" t="s">
        <v>184</v>
      </c>
      <c r="C39" s="1196">
        <v>0.4</v>
      </c>
      <c r="D39" s="892"/>
      <c r="E39" s="892"/>
      <c r="F39" s="892"/>
      <c r="G39" s="892"/>
      <c r="H39" s="892"/>
      <c r="I39" s="892"/>
      <c r="J39" s="892"/>
      <c r="K39" s="892"/>
      <c r="L39" s="892"/>
      <c r="M39" s="892"/>
      <c r="N39" s="892"/>
      <c r="O39" s="892"/>
      <c r="P39" s="892"/>
      <c r="Q39" s="892"/>
      <c r="R39" s="892"/>
      <c r="S39" s="1128"/>
      <c r="T39" s="1092"/>
      <c r="U39" s="1092"/>
      <c r="V39" s="1092"/>
      <c r="W39" s="1092"/>
      <c r="X39" s="1092"/>
      <c r="Y39" s="1092"/>
      <c r="Z39" s="1092"/>
      <c r="AA39" s="1092"/>
      <c r="AB39" s="1092"/>
      <c r="AC39" s="1092"/>
      <c r="AD39" s="1092"/>
      <c r="AE39" s="1092"/>
    </row>
    <row r="40" spans="1:31" s="865" customFormat="1" ht="12.75" customHeight="1" outlineLevel="1" x14ac:dyDescent="0.25">
      <c r="A40" s="870" t="s">
        <v>367</v>
      </c>
      <c r="B40" s="891" t="s">
        <v>191</v>
      </c>
      <c r="C40" s="1196">
        <v>1</v>
      </c>
      <c r="D40" s="892"/>
      <c r="E40" s="892"/>
      <c r="F40" s="892"/>
      <c r="G40" s="892"/>
      <c r="H40" s="892"/>
      <c r="I40" s="892"/>
      <c r="J40" s="892"/>
      <c r="K40" s="892"/>
      <c r="L40" s="892"/>
      <c r="M40" s="892"/>
      <c r="N40" s="892"/>
      <c r="O40" s="892"/>
      <c r="P40" s="892"/>
      <c r="Q40" s="892"/>
      <c r="R40" s="892"/>
      <c r="S40" s="1128"/>
      <c r="T40" s="1092"/>
      <c r="U40" s="1092"/>
      <c r="V40" s="1092"/>
      <c r="W40" s="1092"/>
      <c r="X40" s="1092"/>
      <c r="Y40" s="1092"/>
      <c r="Z40" s="1092"/>
      <c r="AA40" s="1092"/>
      <c r="AB40" s="1092"/>
      <c r="AC40" s="1092"/>
      <c r="AD40" s="1092"/>
      <c r="AE40" s="1092"/>
    </row>
    <row r="41" spans="1:31" s="865" customFormat="1" ht="15.75" customHeight="1" x14ac:dyDescent="0.25">
      <c r="A41" s="893" t="s">
        <v>192</v>
      </c>
      <c r="B41" s="862"/>
      <c r="C41" s="894">
        <f>+SUMPRODUCT(C42:C55,C57:C70)/C71</f>
        <v>25587.809794611461</v>
      </c>
      <c r="D41" s="894" t="e">
        <f t="shared" ref="D41:H41" si="10">+SUMPRODUCT(D42:D55,D57:D70)/D71</f>
        <v>#VALUE!</v>
      </c>
      <c r="E41" s="894" t="e">
        <f t="shared" si="10"/>
        <v>#DIV/0!</v>
      </c>
      <c r="F41" s="894" t="e">
        <f t="shared" si="10"/>
        <v>#DIV/0!</v>
      </c>
      <c r="G41" s="894" t="e">
        <f t="shared" si="10"/>
        <v>#DIV/0!</v>
      </c>
      <c r="H41" s="894" t="e">
        <f t="shared" si="10"/>
        <v>#DIV/0!</v>
      </c>
      <c r="I41" s="894" t="e">
        <f>+SUMPRODUCT(I42:I55,I57:I70)/I71</f>
        <v>#DIV/0!</v>
      </c>
      <c r="J41" s="894" t="e">
        <f t="shared" ref="J41:N41" si="11">+SUMPRODUCT(J42:J55,J57:J70)/J71</f>
        <v>#DIV/0!</v>
      </c>
      <c r="K41" s="894" t="e">
        <f t="shared" si="11"/>
        <v>#DIV/0!</v>
      </c>
      <c r="L41" s="894" t="e">
        <f t="shared" si="11"/>
        <v>#DIV/0!</v>
      </c>
      <c r="M41" s="894" t="e">
        <f t="shared" si="11"/>
        <v>#DIV/0!</v>
      </c>
      <c r="N41" s="894" t="e">
        <f t="shared" si="11"/>
        <v>#DIV/0!</v>
      </c>
      <c r="O41" s="889"/>
      <c r="P41" s="889"/>
      <c r="Q41" s="889"/>
      <c r="R41" s="889"/>
      <c r="S41" s="890"/>
      <c r="T41" s="906"/>
      <c r="U41" s="906"/>
      <c r="V41" s="906"/>
      <c r="W41" s="906"/>
      <c r="X41" s="906"/>
      <c r="Y41" s="906"/>
      <c r="Z41" s="906"/>
      <c r="AA41" s="906"/>
      <c r="AB41" s="906"/>
      <c r="AC41" s="906"/>
      <c r="AD41" s="906"/>
      <c r="AE41" s="906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5">
        <f>C$25*C27</f>
        <v>11838.672441383738</v>
      </c>
      <c r="D42" s="895" t="e">
        <f t="shared" ref="C42:S54" si="12">D$25*D27</f>
        <v>#VALUE!</v>
      </c>
      <c r="E42" s="895" t="e">
        <f t="shared" si="12"/>
        <v>#DIV/0!</v>
      </c>
      <c r="F42" s="895" t="e">
        <f t="shared" si="12"/>
        <v>#DIV/0!</v>
      </c>
      <c r="G42" s="895" t="e">
        <f t="shared" si="12"/>
        <v>#DIV/0!</v>
      </c>
      <c r="H42" s="895" t="e">
        <f t="shared" si="12"/>
        <v>#DIV/0!</v>
      </c>
      <c r="I42" s="895" t="e">
        <f t="shared" si="12"/>
        <v>#DIV/0!</v>
      </c>
      <c r="J42" s="895" t="e">
        <f t="shared" si="12"/>
        <v>#DIV/0!</v>
      </c>
      <c r="K42" s="895" t="e">
        <f t="shared" si="12"/>
        <v>#DIV/0!</v>
      </c>
      <c r="L42" s="895" t="e">
        <f t="shared" si="12"/>
        <v>#DIV/0!</v>
      </c>
      <c r="M42" s="895" t="e">
        <f t="shared" si="12"/>
        <v>#DIV/0!</v>
      </c>
      <c r="N42" s="895" t="e">
        <f t="shared" si="12"/>
        <v>#DIV/0!</v>
      </c>
      <c r="O42" s="895" t="e">
        <f t="shared" si="12"/>
        <v>#VALUE!</v>
      </c>
      <c r="P42" s="895" t="e">
        <f t="shared" si="12"/>
        <v>#DIV/0!</v>
      </c>
      <c r="Q42" s="895" t="e">
        <f t="shared" si="12"/>
        <v>#DIV/0!</v>
      </c>
      <c r="R42" s="895" t="e">
        <f t="shared" si="12"/>
        <v>#DIV/0!</v>
      </c>
      <c r="S42" s="1129" t="e">
        <f t="shared" si="12"/>
        <v>#DIV/0!</v>
      </c>
      <c r="T42" s="1093"/>
      <c r="U42" s="1093"/>
      <c r="V42" s="1093"/>
      <c r="W42" s="1093"/>
      <c r="X42" s="1093"/>
      <c r="Y42" s="1093"/>
      <c r="Z42" s="1093"/>
      <c r="AA42" s="1093"/>
      <c r="AB42" s="1093"/>
      <c r="AC42" s="1093"/>
      <c r="AD42" s="1093"/>
      <c r="AE42" s="1093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5">
        <f t="shared" si="12"/>
        <v>11838.672441383738</v>
      </c>
      <c r="D43" s="895" t="e">
        <f t="shared" si="12"/>
        <v>#VALUE!</v>
      </c>
      <c r="E43" s="895" t="e">
        <f t="shared" si="12"/>
        <v>#DIV/0!</v>
      </c>
      <c r="F43" s="895" t="e">
        <f t="shared" si="12"/>
        <v>#DIV/0!</v>
      </c>
      <c r="G43" s="895" t="e">
        <f t="shared" si="12"/>
        <v>#DIV/0!</v>
      </c>
      <c r="H43" s="895" t="e">
        <f t="shared" si="12"/>
        <v>#DIV/0!</v>
      </c>
      <c r="I43" s="895" t="e">
        <f t="shared" si="12"/>
        <v>#DIV/0!</v>
      </c>
      <c r="J43" s="895" t="e">
        <f t="shared" si="12"/>
        <v>#DIV/0!</v>
      </c>
      <c r="K43" s="895" t="e">
        <f t="shared" si="12"/>
        <v>#DIV/0!</v>
      </c>
      <c r="L43" s="895" t="e">
        <f t="shared" si="12"/>
        <v>#DIV/0!</v>
      </c>
      <c r="M43" s="895" t="e">
        <f t="shared" si="12"/>
        <v>#DIV/0!</v>
      </c>
      <c r="N43" s="895" t="e">
        <f t="shared" si="12"/>
        <v>#DIV/0!</v>
      </c>
      <c r="O43" s="895" t="e">
        <f t="shared" si="12"/>
        <v>#VALUE!</v>
      </c>
      <c r="P43" s="895" t="e">
        <f t="shared" si="12"/>
        <v>#DIV/0!</v>
      </c>
      <c r="Q43" s="895" t="e">
        <f t="shared" si="12"/>
        <v>#DIV/0!</v>
      </c>
      <c r="R43" s="895" t="e">
        <f t="shared" si="12"/>
        <v>#DIV/0!</v>
      </c>
      <c r="S43" s="1129" t="e">
        <f t="shared" si="12"/>
        <v>#DIV/0!</v>
      </c>
      <c r="T43" s="1093"/>
      <c r="U43" s="1093"/>
      <c r="V43" s="1093"/>
      <c r="W43" s="1093"/>
      <c r="X43" s="1093"/>
      <c r="Y43" s="1093"/>
      <c r="Z43" s="1093"/>
      <c r="AA43" s="1093"/>
      <c r="AB43" s="1093"/>
      <c r="AC43" s="1093"/>
      <c r="AD43" s="1093"/>
      <c r="AE43" s="1093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5">
        <f>C$25*C29</f>
        <v>29596.681103459345</v>
      </c>
      <c r="D44" s="895" t="e">
        <f t="shared" si="12"/>
        <v>#VALUE!</v>
      </c>
      <c r="E44" s="895" t="e">
        <f t="shared" si="12"/>
        <v>#DIV/0!</v>
      </c>
      <c r="F44" s="895" t="e">
        <f t="shared" si="12"/>
        <v>#DIV/0!</v>
      </c>
      <c r="G44" s="895" t="e">
        <f t="shared" si="12"/>
        <v>#DIV/0!</v>
      </c>
      <c r="H44" s="895" t="e">
        <f t="shared" si="12"/>
        <v>#DIV/0!</v>
      </c>
      <c r="I44" s="895" t="e">
        <f t="shared" si="12"/>
        <v>#DIV/0!</v>
      </c>
      <c r="J44" s="895" t="e">
        <f t="shared" si="12"/>
        <v>#DIV/0!</v>
      </c>
      <c r="K44" s="895" t="e">
        <f t="shared" si="12"/>
        <v>#DIV/0!</v>
      </c>
      <c r="L44" s="895" t="e">
        <f t="shared" si="12"/>
        <v>#DIV/0!</v>
      </c>
      <c r="M44" s="895" t="e">
        <f t="shared" si="12"/>
        <v>#DIV/0!</v>
      </c>
      <c r="N44" s="895" t="e">
        <f t="shared" si="12"/>
        <v>#DIV/0!</v>
      </c>
      <c r="O44" s="895" t="e">
        <f t="shared" si="12"/>
        <v>#VALUE!</v>
      </c>
      <c r="P44" s="895" t="e">
        <f t="shared" si="12"/>
        <v>#DIV/0!</v>
      </c>
      <c r="Q44" s="895" t="e">
        <f t="shared" si="12"/>
        <v>#DIV/0!</v>
      </c>
      <c r="R44" s="895" t="e">
        <f t="shared" si="12"/>
        <v>#DIV/0!</v>
      </c>
      <c r="S44" s="1129" t="e">
        <f t="shared" si="12"/>
        <v>#DIV/0!</v>
      </c>
      <c r="T44" s="1093"/>
      <c r="U44" s="1093"/>
      <c r="V44" s="1093"/>
      <c r="W44" s="1093"/>
      <c r="X44" s="1093"/>
      <c r="Y44" s="1093"/>
      <c r="Z44" s="1093"/>
      <c r="AA44" s="1093"/>
      <c r="AB44" s="1093"/>
      <c r="AC44" s="1093"/>
      <c r="AD44" s="1093"/>
      <c r="AE44" s="1093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5">
        <f t="shared" si="12"/>
        <v>29596.681103459345</v>
      </c>
      <c r="D45" s="895" t="e">
        <f t="shared" si="12"/>
        <v>#VALUE!</v>
      </c>
      <c r="E45" s="895" t="e">
        <f t="shared" si="12"/>
        <v>#DIV/0!</v>
      </c>
      <c r="F45" s="895" t="e">
        <f t="shared" si="12"/>
        <v>#DIV/0!</v>
      </c>
      <c r="G45" s="895" t="e">
        <f t="shared" si="12"/>
        <v>#DIV/0!</v>
      </c>
      <c r="H45" s="895" t="e">
        <f t="shared" si="12"/>
        <v>#DIV/0!</v>
      </c>
      <c r="I45" s="895" t="e">
        <f t="shared" si="12"/>
        <v>#DIV/0!</v>
      </c>
      <c r="J45" s="895" t="e">
        <f t="shared" si="12"/>
        <v>#DIV/0!</v>
      </c>
      <c r="K45" s="895" t="e">
        <f t="shared" si="12"/>
        <v>#DIV/0!</v>
      </c>
      <c r="L45" s="895" t="e">
        <f t="shared" si="12"/>
        <v>#DIV/0!</v>
      </c>
      <c r="M45" s="895" t="e">
        <f t="shared" si="12"/>
        <v>#DIV/0!</v>
      </c>
      <c r="N45" s="895" t="e">
        <f t="shared" si="12"/>
        <v>#DIV/0!</v>
      </c>
      <c r="O45" s="895" t="e">
        <f t="shared" si="12"/>
        <v>#VALUE!</v>
      </c>
      <c r="P45" s="895" t="e">
        <f t="shared" si="12"/>
        <v>#DIV/0!</v>
      </c>
      <c r="Q45" s="895" t="e">
        <f t="shared" si="12"/>
        <v>#DIV/0!</v>
      </c>
      <c r="R45" s="895" t="e">
        <f t="shared" si="12"/>
        <v>#DIV/0!</v>
      </c>
      <c r="S45" s="1129" t="e">
        <f t="shared" si="12"/>
        <v>#DIV/0!</v>
      </c>
      <c r="T45" s="1093"/>
      <c r="U45" s="1093"/>
      <c r="V45" s="1093"/>
      <c r="W45" s="1093"/>
      <c r="X45" s="1093"/>
      <c r="Y45" s="1093"/>
      <c r="Z45" s="1093"/>
      <c r="AA45" s="1093"/>
      <c r="AB45" s="1093"/>
      <c r="AC45" s="1093"/>
      <c r="AD45" s="1093"/>
      <c r="AE45" s="1093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5">
        <f t="shared" si="12"/>
        <v>29596.681103459345</v>
      </c>
      <c r="D46" s="895" t="e">
        <f t="shared" si="12"/>
        <v>#VALUE!</v>
      </c>
      <c r="E46" s="895" t="e">
        <f t="shared" si="12"/>
        <v>#DIV/0!</v>
      </c>
      <c r="F46" s="895" t="e">
        <f t="shared" si="12"/>
        <v>#DIV/0!</v>
      </c>
      <c r="G46" s="895" t="e">
        <f t="shared" si="12"/>
        <v>#DIV/0!</v>
      </c>
      <c r="H46" s="895" t="e">
        <f t="shared" si="12"/>
        <v>#DIV/0!</v>
      </c>
      <c r="I46" s="895" t="e">
        <f t="shared" si="12"/>
        <v>#DIV/0!</v>
      </c>
      <c r="J46" s="895" t="e">
        <f t="shared" si="12"/>
        <v>#DIV/0!</v>
      </c>
      <c r="K46" s="895" t="e">
        <f t="shared" si="12"/>
        <v>#DIV/0!</v>
      </c>
      <c r="L46" s="895" t="e">
        <f t="shared" si="12"/>
        <v>#DIV/0!</v>
      </c>
      <c r="M46" s="895" t="e">
        <f t="shared" si="12"/>
        <v>#DIV/0!</v>
      </c>
      <c r="N46" s="895" t="e">
        <f t="shared" si="12"/>
        <v>#DIV/0!</v>
      </c>
      <c r="O46" s="895" t="e">
        <f t="shared" si="12"/>
        <v>#VALUE!</v>
      </c>
      <c r="P46" s="895" t="e">
        <f t="shared" si="12"/>
        <v>#DIV/0!</v>
      </c>
      <c r="Q46" s="895" t="e">
        <f t="shared" si="12"/>
        <v>#DIV/0!</v>
      </c>
      <c r="R46" s="895" t="e">
        <f t="shared" si="12"/>
        <v>#DIV/0!</v>
      </c>
      <c r="S46" s="1129" t="e">
        <f t="shared" si="12"/>
        <v>#DIV/0!</v>
      </c>
      <c r="T46" s="1093"/>
      <c r="U46" s="1093"/>
      <c r="V46" s="1093"/>
      <c r="W46" s="1093"/>
      <c r="X46" s="1093"/>
      <c r="Y46" s="1093"/>
      <c r="Z46" s="1093"/>
      <c r="AA46" s="1093"/>
      <c r="AB46" s="1093"/>
      <c r="AC46" s="1093"/>
      <c r="AD46" s="1093"/>
      <c r="AE46" s="1093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5">
        <f>C$25*C32</f>
        <v>29596.681103459345</v>
      </c>
      <c r="D47" s="895" t="e">
        <f t="shared" si="12"/>
        <v>#VALUE!</v>
      </c>
      <c r="E47" s="895" t="e">
        <f t="shared" si="12"/>
        <v>#DIV/0!</v>
      </c>
      <c r="F47" s="895" t="e">
        <f t="shared" si="12"/>
        <v>#DIV/0!</v>
      </c>
      <c r="G47" s="895" t="e">
        <f t="shared" si="12"/>
        <v>#DIV/0!</v>
      </c>
      <c r="H47" s="895" t="e">
        <f t="shared" si="12"/>
        <v>#DIV/0!</v>
      </c>
      <c r="I47" s="895" t="e">
        <f t="shared" si="12"/>
        <v>#DIV/0!</v>
      </c>
      <c r="J47" s="895" t="e">
        <f t="shared" si="12"/>
        <v>#DIV/0!</v>
      </c>
      <c r="K47" s="895" t="e">
        <f t="shared" si="12"/>
        <v>#DIV/0!</v>
      </c>
      <c r="L47" s="895" t="e">
        <f t="shared" si="12"/>
        <v>#DIV/0!</v>
      </c>
      <c r="M47" s="895" t="e">
        <f t="shared" si="12"/>
        <v>#DIV/0!</v>
      </c>
      <c r="N47" s="895" t="e">
        <f t="shared" si="12"/>
        <v>#DIV/0!</v>
      </c>
      <c r="O47" s="895" t="e">
        <f t="shared" si="12"/>
        <v>#VALUE!</v>
      </c>
      <c r="P47" s="895" t="e">
        <f t="shared" si="12"/>
        <v>#DIV/0!</v>
      </c>
      <c r="Q47" s="895" t="e">
        <f t="shared" si="12"/>
        <v>#DIV/0!</v>
      </c>
      <c r="R47" s="895" t="e">
        <f t="shared" si="12"/>
        <v>#DIV/0!</v>
      </c>
      <c r="S47" s="1129" t="e">
        <f t="shared" si="12"/>
        <v>#DIV/0!</v>
      </c>
      <c r="T47" s="1093"/>
      <c r="U47" s="1093"/>
      <c r="V47" s="1093"/>
      <c r="W47" s="1093"/>
      <c r="X47" s="1093"/>
      <c r="Y47" s="1093"/>
      <c r="Z47" s="1093"/>
      <c r="AA47" s="1093"/>
      <c r="AB47" s="1093"/>
      <c r="AC47" s="1093"/>
      <c r="AD47" s="1093"/>
      <c r="AE47" s="1093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5">
        <f t="shared" si="12"/>
        <v>29596.681103459345</v>
      </c>
      <c r="D48" s="895" t="e">
        <f t="shared" si="12"/>
        <v>#VALUE!</v>
      </c>
      <c r="E48" s="895" t="e">
        <f t="shared" si="12"/>
        <v>#DIV/0!</v>
      </c>
      <c r="F48" s="895" t="e">
        <f t="shared" si="12"/>
        <v>#DIV/0!</v>
      </c>
      <c r="G48" s="895" t="e">
        <f t="shared" si="12"/>
        <v>#DIV/0!</v>
      </c>
      <c r="H48" s="895" t="e">
        <f t="shared" si="12"/>
        <v>#DIV/0!</v>
      </c>
      <c r="I48" s="895" t="e">
        <f t="shared" si="12"/>
        <v>#DIV/0!</v>
      </c>
      <c r="J48" s="895" t="e">
        <f t="shared" si="12"/>
        <v>#DIV/0!</v>
      </c>
      <c r="K48" s="895" t="e">
        <f t="shared" si="12"/>
        <v>#DIV/0!</v>
      </c>
      <c r="L48" s="895" t="e">
        <f t="shared" si="12"/>
        <v>#DIV/0!</v>
      </c>
      <c r="M48" s="895" t="e">
        <f t="shared" si="12"/>
        <v>#DIV/0!</v>
      </c>
      <c r="N48" s="895" t="e">
        <f t="shared" si="12"/>
        <v>#DIV/0!</v>
      </c>
      <c r="O48" s="895" t="e">
        <f t="shared" si="12"/>
        <v>#VALUE!</v>
      </c>
      <c r="P48" s="895" t="e">
        <f t="shared" si="12"/>
        <v>#DIV/0!</v>
      </c>
      <c r="Q48" s="895" t="e">
        <f t="shared" si="12"/>
        <v>#DIV/0!</v>
      </c>
      <c r="R48" s="895" t="e">
        <f t="shared" si="12"/>
        <v>#DIV/0!</v>
      </c>
      <c r="S48" s="1129" t="e">
        <f t="shared" si="12"/>
        <v>#DIV/0!</v>
      </c>
      <c r="T48" s="1093"/>
      <c r="U48" s="1093"/>
      <c r="V48" s="1093"/>
      <c r="W48" s="1093"/>
      <c r="X48" s="1093"/>
      <c r="Y48" s="1093"/>
      <c r="Z48" s="1093"/>
      <c r="AA48" s="1093"/>
      <c r="AB48" s="1093"/>
      <c r="AC48" s="1093"/>
      <c r="AD48" s="1093"/>
      <c r="AE48" s="1093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5">
        <f t="shared" si="12"/>
        <v>29596.681103459345</v>
      </c>
      <c r="D49" s="895" t="e">
        <f t="shared" si="12"/>
        <v>#VALUE!</v>
      </c>
      <c r="E49" s="895" t="e">
        <f t="shared" si="12"/>
        <v>#DIV/0!</v>
      </c>
      <c r="F49" s="895" t="e">
        <f t="shared" si="12"/>
        <v>#DIV/0!</v>
      </c>
      <c r="G49" s="895" t="e">
        <f t="shared" si="12"/>
        <v>#DIV/0!</v>
      </c>
      <c r="H49" s="895" t="e">
        <f t="shared" si="12"/>
        <v>#DIV/0!</v>
      </c>
      <c r="I49" s="895" t="e">
        <f t="shared" si="12"/>
        <v>#DIV/0!</v>
      </c>
      <c r="J49" s="895" t="e">
        <f t="shared" si="12"/>
        <v>#DIV/0!</v>
      </c>
      <c r="K49" s="895" t="e">
        <f t="shared" si="12"/>
        <v>#DIV/0!</v>
      </c>
      <c r="L49" s="895" t="e">
        <f t="shared" si="12"/>
        <v>#DIV/0!</v>
      </c>
      <c r="M49" s="895" t="e">
        <f t="shared" si="12"/>
        <v>#DIV/0!</v>
      </c>
      <c r="N49" s="895" t="e">
        <f t="shared" si="12"/>
        <v>#DIV/0!</v>
      </c>
      <c r="O49" s="895" t="e">
        <f t="shared" si="12"/>
        <v>#VALUE!</v>
      </c>
      <c r="P49" s="895" t="e">
        <f t="shared" si="12"/>
        <v>#DIV/0!</v>
      </c>
      <c r="Q49" s="895" t="e">
        <f t="shared" si="12"/>
        <v>#DIV/0!</v>
      </c>
      <c r="R49" s="895" t="e">
        <f t="shared" si="12"/>
        <v>#DIV/0!</v>
      </c>
      <c r="S49" s="1129" t="e">
        <f t="shared" si="12"/>
        <v>#DIV/0!</v>
      </c>
      <c r="T49" s="1093"/>
      <c r="U49" s="1093"/>
      <c r="V49" s="1093"/>
      <c r="W49" s="1093"/>
      <c r="X49" s="1093"/>
      <c r="Y49" s="1093"/>
      <c r="Z49" s="1093"/>
      <c r="AA49" s="1093"/>
      <c r="AB49" s="1093"/>
      <c r="AC49" s="1093"/>
      <c r="AD49" s="1093"/>
      <c r="AE49" s="1093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5">
        <f t="shared" si="12"/>
        <v>29596.681103459345</v>
      </c>
      <c r="D50" s="895" t="e">
        <f t="shared" si="12"/>
        <v>#VALUE!</v>
      </c>
      <c r="E50" s="895" t="e">
        <f t="shared" si="12"/>
        <v>#DIV/0!</v>
      </c>
      <c r="F50" s="895" t="e">
        <f t="shared" si="12"/>
        <v>#DIV/0!</v>
      </c>
      <c r="G50" s="895" t="e">
        <f t="shared" si="12"/>
        <v>#DIV/0!</v>
      </c>
      <c r="H50" s="895" t="e">
        <f t="shared" si="12"/>
        <v>#DIV/0!</v>
      </c>
      <c r="I50" s="895" t="e">
        <f t="shared" si="12"/>
        <v>#DIV/0!</v>
      </c>
      <c r="J50" s="895" t="e">
        <f t="shared" si="12"/>
        <v>#DIV/0!</v>
      </c>
      <c r="K50" s="895" t="e">
        <f t="shared" si="12"/>
        <v>#DIV/0!</v>
      </c>
      <c r="L50" s="895" t="e">
        <f t="shared" si="12"/>
        <v>#DIV/0!</v>
      </c>
      <c r="M50" s="895" t="e">
        <f t="shared" si="12"/>
        <v>#DIV/0!</v>
      </c>
      <c r="N50" s="895" t="e">
        <f t="shared" si="12"/>
        <v>#DIV/0!</v>
      </c>
      <c r="O50" s="895" t="e">
        <f t="shared" si="12"/>
        <v>#VALUE!</v>
      </c>
      <c r="P50" s="895" t="e">
        <f t="shared" si="12"/>
        <v>#DIV/0!</v>
      </c>
      <c r="Q50" s="895" t="e">
        <f t="shared" si="12"/>
        <v>#DIV/0!</v>
      </c>
      <c r="R50" s="895" t="e">
        <f t="shared" si="12"/>
        <v>#DIV/0!</v>
      </c>
      <c r="S50" s="1129" t="e">
        <f t="shared" si="12"/>
        <v>#DIV/0!</v>
      </c>
      <c r="T50" s="1093"/>
      <c r="U50" s="1093"/>
      <c r="V50" s="1093"/>
      <c r="W50" s="1093"/>
      <c r="X50" s="1093"/>
      <c r="Y50" s="1093"/>
      <c r="Z50" s="1093"/>
      <c r="AA50" s="1093"/>
      <c r="AB50" s="1093"/>
      <c r="AC50" s="1093"/>
      <c r="AD50" s="1093"/>
      <c r="AE50" s="1093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5">
        <f t="shared" si="12"/>
        <v>29596.681103459345</v>
      </c>
      <c r="D51" s="895" t="e">
        <f t="shared" si="12"/>
        <v>#VALUE!</v>
      </c>
      <c r="E51" s="895" t="e">
        <f t="shared" si="12"/>
        <v>#DIV/0!</v>
      </c>
      <c r="F51" s="895" t="e">
        <f t="shared" si="12"/>
        <v>#DIV/0!</v>
      </c>
      <c r="G51" s="895" t="e">
        <f t="shared" si="12"/>
        <v>#DIV/0!</v>
      </c>
      <c r="H51" s="895" t="e">
        <f t="shared" si="12"/>
        <v>#DIV/0!</v>
      </c>
      <c r="I51" s="895" t="e">
        <f t="shared" si="12"/>
        <v>#DIV/0!</v>
      </c>
      <c r="J51" s="895" t="e">
        <f t="shared" si="12"/>
        <v>#DIV/0!</v>
      </c>
      <c r="K51" s="895" t="e">
        <f t="shared" si="12"/>
        <v>#DIV/0!</v>
      </c>
      <c r="L51" s="895" t="e">
        <f t="shared" si="12"/>
        <v>#DIV/0!</v>
      </c>
      <c r="M51" s="895" t="e">
        <f t="shared" si="12"/>
        <v>#DIV/0!</v>
      </c>
      <c r="N51" s="895" t="e">
        <f t="shared" si="12"/>
        <v>#DIV/0!</v>
      </c>
      <c r="O51" s="895" t="e">
        <f t="shared" si="12"/>
        <v>#VALUE!</v>
      </c>
      <c r="P51" s="895" t="e">
        <f t="shared" si="12"/>
        <v>#DIV/0!</v>
      </c>
      <c r="Q51" s="895" t="e">
        <f t="shared" si="12"/>
        <v>#DIV/0!</v>
      </c>
      <c r="R51" s="895" t="e">
        <f t="shared" si="12"/>
        <v>#DIV/0!</v>
      </c>
      <c r="S51" s="1129" t="e">
        <f t="shared" si="12"/>
        <v>#DIV/0!</v>
      </c>
      <c r="T51" s="1093"/>
      <c r="U51" s="1093"/>
      <c r="V51" s="1093"/>
      <c r="W51" s="1093"/>
      <c r="X51" s="1093"/>
      <c r="Y51" s="1093"/>
      <c r="Z51" s="1093"/>
      <c r="AA51" s="1093"/>
      <c r="AB51" s="1093"/>
      <c r="AC51" s="1093"/>
      <c r="AD51" s="1093"/>
      <c r="AE51" s="1093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5">
        <f t="shared" si="12"/>
        <v>29596.681103459345</v>
      </c>
      <c r="D52" s="895" t="e">
        <f t="shared" si="12"/>
        <v>#VALUE!</v>
      </c>
      <c r="E52" s="895" t="e">
        <f t="shared" si="12"/>
        <v>#DIV/0!</v>
      </c>
      <c r="F52" s="895" t="e">
        <f t="shared" si="12"/>
        <v>#DIV/0!</v>
      </c>
      <c r="G52" s="895" t="e">
        <f t="shared" si="12"/>
        <v>#DIV/0!</v>
      </c>
      <c r="H52" s="895" t="e">
        <f t="shared" si="12"/>
        <v>#DIV/0!</v>
      </c>
      <c r="I52" s="895" t="e">
        <f t="shared" si="12"/>
        <v>#DIV/0!</v>
      </c>
      <c r="J52" s="895" t="e">
        <f t="shared" si="12"/>
        <v>#DIV/0!</v>
      </c>
      <c r="K52" s="895" t="e">
        <f t="shared" si="12"/>
        <v>#DIV/0!</v>
      </c>
      <c r="L52" s="895" t="e">
        <f t="shared" si="12"/>
        <v>#DIV/0!</v>
      </c>
      <c r="M52" s="895" t="e">
        <f t="shared" si="12"/>
        <v>#DIV/0!</v>
      </c>
      <c r="N52" s="895" t="e">
        <f t="shared" si="12"/>
        <v>#DIV/0!</v>
      </c>
      <c r="O52" s="895" t="e">
        <f t="shared" si="12"/>
        <v>#VALUE!</v>
      </c>
      <c r="P52" s="895" t="e">
        <f t="shared" si="12"/>
        <v>#DIV/0!</v>
      </c>
      <c r="Q52" s="895" t="e">
        <f t="shared" si="12"/>
        <v>#DIV/0!</v>
      </c>
      <c r="R52" s="895" t="e">
        <f t="shared" si="12"/>
        <v>#DIV/0!</v>
      </c>
      <c r="S52" s="1129" t="e">
        <f t="shared" si="12"/>
        <v>#DIV/0!</v>
      </c>
      <c r="T52" s="1093"/>
      <c r="U52" s="1093"/>
      <c r="V52" s="1093"/>
      <c r="W52" s="1093"/>
      <c r="X52" s="1093"/>
      <c r="Y52" s="1093"/>
      <c r="Z52" s="1093"/>
      <c r="AA52" s="1093"/>
      <c r="AB52" s="1093"/>
      <c r="AC52" s="1093"/>
      <c r="AD52" s="1093"/>
      <c r="AE52" s="1093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5">
        <f t="shared" si="12"/>
        <v>29596.681103459345</v>
      </c>
      <c r="D53" s="895" t="e">
        <f t="shared" si="12"/>
        <v>#VALUE!</v>
      </c>
      <c r="E53" s="895" t="e">
        <f t="shared" si="12"/>
        <v>#DIV/0!</v>
      </c>
      <c r="F53" s="895" t="e">
        <f t="shared" si="12"/>
        <v>#DIV/0!</v>
      </c>
      <c r="G53" s="895" t="e">
        <f t="shared" si="12"/>
        <v>#DIV/0!</v>
      </c>
      <c r="H53" s="895" t="e">
        <f t="shared" si="12"/>
        <v>#DIV/0!</v>
      </c>
      <c r="I53" s="895" t="e">
        <f t="shared" si="12"/>
        <v>#DIV/0!</v>
      </c>
      <c r="J53" s="895" t="e">
        <f t="shared" si="12"/>
        <v>#DIV/0!</v>
      </c>
      <c r="K53" s="895" t="e">
        <f t="shared" si="12"/>
        <v>#DIV/0!</v>
      </c>
      <c r="L53" s="895" t="e">
        <f t="shared" si="12"/>
        <v>#DIV/0!</v>
      </c>
      <c r="M53" s="895" t="e">
        <f t="shared" si="12"/>
        <v>#DIV/0!</v>
      </c>
      <c r="N53" s="895" t="e">
        <f t="shared" si="12"/>
        <v>#DIV/0!</v>
      </c>
      <c r="O53" s="895" t="e">
        <f t="shared" si="12"/>
        <v>#VALUE!</v>
      </c>
      <c r="P53" s="895" t="e">
        <f t="shared" si="12"/>
        <v>#DIV/0!</v>
      </c>
      <c r="Q53" s="895" t="e">
        <f t="shared" si="12"/>
        <v>#DIV/0!</v>
      </c>
      <c r="R53" s="895" t="e">
        <f t="shared" si="12"/>
        <v>#DIV/0!</v>
      </c>
      <c r="S53" s="1129" t="e">
        <f t="shared" si="12"/>
        <v>#DIV/0!</v>
      </c>
      <c r="T53" s="1093"/>
      <c r="U53" s="1093"/>
      <c r="V53" s="1093"/>
      <c r="W53" s="1093"/>
      <c r="X53" s="1093"/>
      <c r="Y53" s="1093"/>
      <c r="Z53" s="1093"/>
      <c r="AA53" s="1093"/>
      <c r="AB53" s="1093"/>
      <c r="AC53" s="1093"/>
      <c r="AD53" s="1093"/>
      <c r="AE53" s="1093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5">
        <f t="shared" si="12"/>
        <v>11838.672441383738</v>
      </c>
      <c r="D54" s="895" t="e">
        <f t="shared" si="12"/>
        <v>#VALUE!</v>
      </c>
      <c r="E54" s="895" t="e">
        <f t="shared" si="12"/>
        <v>#DIV/0!</v>
      </c>
      <c r="F54" s="895" t="e">
        <f t="shared" si="12"/>
        <v>#DIV/0!</v>
      </c>
      <c r="G54" s="895" t="e">
        <f t="shared" si="12"/>
        <v>#DIV/0!</v>
      </c>
      <c r="H54" s="895" t="e">
        <f t="shared" si="12"/>
        <v>#DIV/0!</v>
      </c>
      <c r="I54" s="895" t="e">
        <f t="shared" si="12"/>
        <v>#DIV/0!</v>
      </c>
      <c r="J54" s="895" t="e">
        <f t="shared" si="12"/>
        <v>#DIV/0!</v>
      </c>
      <c r="K54" s="895" t="e">
        <f t="shared" si="12"/>
        <v>#DIV/0!</v>
      </c>
      <c r="L54" s="895" t="e">
        <f t="shared" si="12"/>
        <v>#DIV/0!</v>
      </c>
      <c r="M54" s="895" t="e">
        <f t="shared" si="12"/>
        <v>#DIV/0!</v>
      </c>
      <c r="N54" s="895" t="e">
        <f t="shared" si="12"/>
        <v>#DIV/0!</v>
      </c>
      <c r="O54" s="895" t="e">
        <f t="shared" si="12"/>
        <v>#VALUE!</v>
      </c>
      <c r="P54" s="895" t="e">
        <f t="shared" si="12"/>
        <v>#DIV/0!</v>
      </c>
      <c r="Q54" s="895" t="e">
        <f t="shared" si="12"/>
        <v>#DIV/0!</v>
      </c>
      <c r="R54" s="895" t="e">
        <f t="shared" si="12"/>
        <v>#DIV/0!</v>
      </c>
      <c r="S54" s="1129" t="e">
        <f t="shared" si="12"/>
        <v>#DIV/0!</v>
      </c>
      <c r="T54" s="1093"/>
      <c r="U54" s="1093"/>
      <c r="V54" s="1093"/>
      <c r="W54" s="1093"/>
      <c r="X54" s="1093"/>
      <c r="Y54" s="1093"/>
      <c r="Z54" s="1093"/>
      <c r="AA54" s="1093"/>
      <c r="AB54" s="1093"/>
      <c r="AC54" s="1093"/>
      <c r="AD54" s="1093"/>
      <c r="AE54" s="1093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5">
        <f>(C14*7.3-109.5)*0.5*0.4*C20+C24</f>
        <v>9089.8318378610111</v>
      </c>
      <c r="D55" s="895">
        <f t="shared" ref="D55:N55" si="13">(D14*7.3-109.5)*0.5*0.4*D20+D24</f>
        <v>220.55369999999999</v>
      </c>
      <c r="E55" s="895">
        <f t="shared" si="13"/>
        <v>220.55369999999999</v>
      </c>
      <c r="F55" s="895">
        <f t="shared" si="13"/>
        <v>110.55369999999999</v>
      </c>
      <c r="G55" s="895">
        <f t="shared" si="13"/>
        <v>23.553699999999999</v>
      </c>
      <c r="H55" s="895">
        <f t="shared" si="13"/>
        <v>23.553699999999999</v>
      </c>
      <c r="I55" s="895">
        <f t="shared" si="13"/>
        <v>23.553699999999999</v>
      </c>
      <c r="J55" s="895">
        <f t="shared" si="13"/>
        <v>23.553699999999999</v>
      </c>
      <c r="K55" s="895">
        <f t="shared" si="13"/>
        <v>23.553699999999999</v>
      </c>
      <c r="L55" s="895">
        <f t="shared" si="13"/>
        <v>23.553699999999999</v>
      </c>
      <c r="M55" s="895">
        <f t="shared" si="13"/>
        <v>23.553699999999999</v>
      </c>
      <c r="N55" s="895">
        <f t="shared" si="13"/>
        <v>23.553699999999999</v>
      </c>
      <c r="O55" s="895">
        <f t="shared" ref="O55" si="14">AVERAGE(C55:E55)</f>
        <v>3176.9797459536708</v>
      </c>
      <c r="P55" s="895">
        <f t="shared" ref="P55" si="15">AVERAGE(F55:H55)</f>
        <v>52.553699999999992</v>
      </c>
      <c r="Q55" s="895">
        <f t="shared" ref="Q55" si="16">AVERAGE(I55:K55)</f>
        <v>23.553700000000003</v>
      </c>
      <c r="R55" s="895">
        <f t="shared" ref="R55" si="17">AVERAGE(L55:N55)</f>
        <v>23.553700000000003</v>
      </c>
      <c r="S55" s="1129">
        <f t="shared" ref="S55" si="18">AVERAGE(C55:N55)</f>
        <v>819.16021148841799</v>
      </c>
      <c r="T55" s="1093"/>
      <c r="U55" s="1093"/>
      <c r="V55" s="1093"/>
      <c r="W55" s="1093"/>
      <c r="X55" s="1093"/>
      <c r="Y55" s="1093"/>
      <c r="Z55" s="1093"/>
      <c r="AA55" s="1093"/>
      <c r="AB55" s="1093"/>
      <c r="AC55" s="1093"/>
      <c r="AD55" s="1093"/>
      <c r="AE55" s="1093"/>
    </row>
    <row r="56" spans="1:34" s="899" customFormat="1" x14ac:dyDescent="0.25">
      <c r="A56" s="897" t="s">
        <v>193</v>
      </c>
      <c r="B56" s="859" t="s">
        <v>194</v>
      </c>
      <c r="C56" s="898" t="s">
        <v>195</v>
      </c>
      <c r="D56" s="898" t="s">
        <v>196</v>
      </c>
      <c r="E56" s="898" t="s">
        <v>197</v>
      </c>
      <c r="F56" s="898" t="s">
        <v>198</v>
      </c>
      <c r="G56" s="898" t="s">
        <v>21</v>
      </c>
      <c r="H56" s="898" t="s">
        <v>199</v>
      </c>
      <c r="I56" s="898" t="s">
        <v>200</v>
      </c>
      <c r="J56" s="898" t="s">
        <v>201</v>
      </c>
      <c r="K56" s="898" t="s">
        <v>202</v>
      </c>
      <c r="L56" s="898" t="s">
        <v>203</v>
      </c>
      <c r="M56" s="898" t="s">
        <v>204</v>
      </c>
      <c r="N56" s="898" t="s">
        <v>205</v>
      </c>
      <c r="O56" s="898" t="s">
        <v>147</v>
      </c>
      <c r="P56" s="898" t="s">
        <v>148</v>
      </c>
      <c r="Q56" s="898" t="s">
        <v>149</v>
      </c>
      <c r="R56" s="898" t="s">
        <v>150</v>
      </c>
      <c r="S56" s="1130">
        <f>$S$11</f>
        <v>2022</v>
      </c>
      <c r="T56" s="1084"/>
      <c r="U56" s="1084"/>
      <c r="V56" s="1084"/>
      <c r="W56" s="1084"/>
      <c r="X56" s="1094"/>
      <c r="Y56" s="1094"/>
      <c r="Z56" s="1094"/>
      <c r="AA56" s="1094"/>
      <c r="AB56" s="1094"/>
      <c r="AC56" s="1094"/>
      <c r="AD56" s="1094"/>
      <c r="AE56" s="1094"/>
      <c r="AH56" s="865"/>
    </row>
    <row r="57" spans="1:34" s="865" customFormat="1" x14ac:dyDescent="0.25">
      <c r="A57" s="870" t="s">
        <v>364</v>
      </c>
      <c r="B57" s="870" t="s">
        <v>364</v>
      </c>
      <c r="C57" s="900">
        <v>55.427579999999999</v>
      </c>
      <c r="D57" s="900"/>
      <c r="E57" s="900"/>
      <c r="F57" s="900"/>
      <c r="G57" s="900"/>
      <c r="H57" s="900"/>
      <c r="I57" s="900"/>
      <c r="J57" s="900"/>
      <c r="K57" s="900"/>
      <c r="L57" s="900"/>
      <c r="M57" s="900"/>
      <c r="N57" s="900"/>
      <c r="O57" s="901"/>
      <c r="P57" s="901"/>
      <c r="Q57" s="901"/>
      <c r="R57" s="901"/>
      <c r="S57" s="1124"/>
      <c r="T57" s="1095"/>
      <c r="U57" s="1095"/>
      <c r="V57" s="1095"/>
      <c r="W57" s="1095"/>
      <c r="X57" s="1089"/>
      <c r="Y57" s="1095"/>
      <c r="Z57" s="1095"/>
      <c r="AA57" s="1095"/>
      <c r="AB57" s="1095"/>
      <c r="AC57" s="906"/>
      <c r="AD57" s="1095"/>
      <c r="AE57" s="1095"/>
    </row>
    <row r="58" spans="1:34" s="865" customFormat="1" x14ac:dyDescent="0.25">
      <c r="A58" s="870" t="s">
        <v>365</v>
      </c>
      <c r="B58" s="870" t="s">
        <v>365</v>
      </c>
      <c r="C58" s="900">
        <v>16.023150000000001</v>
      </c>
      <c r="D58" s="900"/>
      <c r="E58" s="900"/>
      <c r="F58" s="900"/>
      <c r="G58" s="900"/>
      <c r="H58" s="900"/>
      <c r="I58" s="900"/>
      <c r="J58" s="900"/>
      <c r="K58" s="900"/>
      <c r="L58" s="900"/>
      <c r="M58" s="900"/>
      <c r="N58" s="900"/>
      <c r="O58" s="901"/>
      <c r="P58" s="901"/>
      <c r="Q58" s="901"/>
      <c r="R58" s="901"/>
      <c r="S58" s="1124"/>
      <c r="T58" s="1095"/>
      <c r="U58" s="1095"/>
      <c r="V58" s="1095"/>
      <c r="W58" s="1095"/>
      <c r="X58" s="1089"/>
      <c r="Y58" s="1095"/>
      <c r="Z58" s="1095"/>
      <c r="AA58" s="1095"/>
      <c r="AB58" s="1095"/>
      <c r="AC58" s="906"/>
      <c r="AD58" s="1095"/>
      <c r="AE58" s="1095"/>
    </row>
    <row r="59" spans="1:34" s="865" customFormat="1" x14ac:dyDescent="0.25">
      <c r="A59" s="870" t="s">
        <v>366</v>
      </c>
      <c r="B59" s="870" t="s">
        <v>366</v>
      </c>
      <c r="C59" s="900">
        <v>143.38818000000001</v>
      </c>
      <c r="D59" s="900"/>
      <c r="E59" s="900"/>
      <c r="F59" s="900"/>
      <c r="G59" s="900"/>
      <c r="H59" s="900"/>
      <c r="I59" s="900"/>
      <c r="J59" s="900"/>
      <c r="K59" s="900"/>
      <c r="L59" s="900"/>
      <c r="M59" s="900"/>
      <c r="N59" s="900"/>
      <c r="O59" s="901"/>
      <c r="P59" s="901"/>
      <c r="Q59" s="901"/>
      <c r="R59" s="901"/>
      <c r="S59" s="1124"/>
      <c r="T59" s="1095"/>
      <c r="U59" s="1095"/>
      <c r="V59" s="1095"/>
      <c r="W59" s="1095"/>
      <c r="X59" s="1089"/>
      <c r="Y59" s="1095"/>
      <c r="Z59" s="1095"/>
      <c r="AA59" s="1095"/>
      <c r="AB59" s="1095"/>
      <c r="AC59" s="906"/>
      <c r="AD59" s="1095"/>
      <c r="AE59" s="1095"/>
    </row>
    <row r="60" spans="1:34" s="865" customFormat="1" x14ac:dyDescent="0.25">
      <c r="A60" s="870" t="s">
        <v>368</v>
      </c>
      <c r="B60" s="870" t="s">
        <v>366</v>
      </c>
      <c r="C60" s="900">
        <v>13.313429999999999</v>
      </c>
      <c r="D60" s="900"/>
      <c r="E60" s="900"/>
      <c r="F60" s="900"/>
      <c r="G60" s="900"/>
      <c r="H60" s="900"/>
      <c r="I60" s="900"/>
      <c r="J60" s="900"/>
      <c r="K60" s="900"/>
      <c r="L60" s="900"/>
      <c r="M60" s="900"/>
      <c r="N60" s="900"/>
      <c r="O60" s="901"/>
      <c r="P60" s="901"/>
      <c r="Q60" s="901"/>
      <c r="R60" s="901"/>
      <c r="S60" s="1124"/>
      <c r="T60" s="1095"/>
      <c r="U60" s="1095"/>
      <c r="V60" s="1095"/>
      <c r="W60" s="1095"/>
      <c r="X60" s="1089"/>
      <c r="Y60" s="1095"/>
      <c r="Z60" s="1095"/>
      <c r="AA60" s="1095"/>
      <c r="AB60" s="1095"/>
      <c r="AC60" s="906"/>
      <c r="AD60" s="1095"/>
      <c r="AE60" s="1095"/>
    </row>
    <row r="61" spans="1:34" s="865" customFormat="1" x14ac:dyDescent="0.25">
      <c r="A61" s="870" t="s">
        <v>369</v>
      </c>
      <c r="B61" s="870" t="s">
        <v>368</v>
      </c>
      <c r="C61" s="900">
        <v>1.6286399999999999</v>
      </c>
      <c r="D61" s="900"/>
      <c r="E61" s="900"/>
      <c r="F61" s="900"/>
      <c r="G61" s="900"/>
      <c r="H61" s="900"/>
      <c r="I61" s="900"/>
      <c r="J61" s="900"/>
      <c r="K61" s="900"/>
      <c r="L61" s="900"/>
      <c r="M61" s="900"/>
      <c r="N61" s="900"/>
      <c r="O61" s="901"/>
      <c r="P61" s="901"/>
      <c r="Q61" s="901"/>
      <c r="R61" s="901"/>
      <c r="S61" s="1124"/>
      <c r="T61" s="1095"/>
      <c r="U61" s="1095"/>
      <c r="V61" s="1095"/>
      <c r="W61" s="1095"/>
      <c r="X61" s="1089"/>
      <c r="Y61" s="1095"/>
      <c r="Z61" s="1095"/>
      <c r="AA61" s="1095"/>
      <c r="AB61" s="1095"/>
      <c r="AC61" s="906"/>
      <c r="AD61" s="1095"/>
      <c r="AE61" s="1095"/>
    </row>
    <row r="62" spans="1:34" s="865" customFormat="1" x14ac:dyDescent="0.25">
      <c r="A62" s="870" t="s">
        <v>370</v>
      </c>
      <c r="B62" s="870" t="s">
        <v>368</v>
      </c>
      <c r="C62" s="900">
        <v>14.723279999999999</v>
      </c>
      <c r="D62" s="900"/>
      <c r="E62" s="900"/>
      <c r="F62" s="900"/>
      <c r="G62" s="900"/>
      <c r="H62" s="900"/>
      <c r="I62" s="900"/>
      <c r="J62" s="900"/>
      <c r="K62" s="900"/>
      <c r="L62" s="900"/>
      <c r="M62" s="900"/>
      <c r="N62" s="900"/>
      <c r="O62" s="901"/>
      <c r="P62" s="901"/>
      <c r="Q62" s="901"/>
      <c r="R62" s="901"/>
      <c r="S62" s="1124"/>
      <c r="T62" s="1095"/>
      <c r="U62" s="1095"/>
      <c r="V62" s="1095"/>
      <c r="W62" s="1095"/>
      <c r="X62" s="1089"/>
      <c r="Y62" s="1095"/>
      <c r="Z62" s="1095"/>
      <c r="AA62" s="1095"/>
      <c r="AB62" s="1095"/>
      <c r="AC62" s="906"/>
      <c r="AD62" s="1095"/>
      <c r="AE62" s="1095"/>
    </row>
    <row r="63" spans="1:34" s="865" customFormat="1" x14ac:dyDescent="0.25">
      <c r="A63" s="870" t="s">
        <v>371</v>
      </c>
      <c r="B63" s="870" t="s">
        <v>368</v>
      </c>
      <c r="C63" s="900">
        <v>16.94745</v>
      </c>
      <c r="D63" s="900"/>
      <c r="E63" s="900"/>
      <c r="F63" s="900"/>
      <c r="G63" s="900"/>
      <c r="H63" s="900"/>
      <c r="I63" s="900"/>
      <c r="J63" s="900"/>
      <c r="K63" s="900"/>
      <c r="L63" s="900"/>
      <c r="M63" s="900"/>
      <c r="N63" s="900"/>
      <c r="O63" s="901"/>
      <c r="P63" s="901"/>
      <c r="Q63" s="901"/>
      <c r="R63" s="901"/>
      <c r="S63" s="1124"/>
      <c r="T63" s="1095"/>
      <c r="U63" s="1095"/>
      <c r="V63" s="1095"/>
      <c r="W63" s="1095"/>
      <c r="X63" s="1089"/>
      <c r="Y63" s="1095"/>
      <c r="Z63" s="1095"/>
      <c r="AA63" s="1095"/>
      <c r="AB63" s="1095"/>
      <c r="AC63" s="906"/>
      <c r="AD63" s="1095"/>
      <c r="AE63" s="1095"/>
    </row>
    <row r="64" spans="1:34" s="865" customFormat="1" x14ac:dyDescent="0.25">
      <c r="A64" s="870" t="s">
        <v>372</v>
      </c>
      <c r="B64" s="870" t="s">
        <v>368</v>
      </c>
      <c r="C64" s="900">
        <v>25.252109999999998</v>
      </c>
      <c r="D64" s="900"/>
      <c r="E64" s="900"/>
      <c r="F64" s="900"/>
      <c r="G64" s="900"/>
      <c r="H64" s="900"/>
      <c r="I64" s="900"/>
      <c r="J64" s="900"/>
      <c r="K64" s="900"/>
      <c r="L64" s="900"/>
      <c r="M64" s="900"/>
      <c r="N64" s="900"/>
      <c r="O64" s="901"/>
      <c r="P64" s="901"/>
      <c r="Q64" s="901"/>
      <c r="R64" s="901"/>
      <c r="S64" s="1124"/>
      <c r="T64" s="1095"/>
      <c r="U64" s="1095"/>
      <c r="V64" s="1095"/>
      <c r="W64" s="1095"/>
      <c r="X64" s="1089"/>
      <c r="Y64" s="1095"/>
      <c r="Z64" s="1095"/>
      <c r="AA64" s="1095"/>
      <c r="AB64" s="1095"/>
      <c r="AC64" s="906"/>
      <c r="AD64" s="1095"/>
      <c r="AE64" s="1095"/>
    </row>
    <row r="65" spans="1:31" s="865" customFormat="1" x14ac:dyDescent="0.25">
      <c r="A65" s="870" t="s">
        <v>373</v>
      </c>
      <c r="B65" s="870" t="s">
        <v>366</v>
      </c>
      <c r="C65" s="900">
        <v>10.196549999999998</v>
      </c>
      <c r="D65" s="900"/>
      <c r="E65" s="900"/>
      <c r="F65" s="900"/>
      <c r="G65" s="900"/>
      <c r="H65" s="900"/>
      <c r="I65" s="900"/>
      <c r="J65" s="900"/>
      <c r="K65" s="900"/>
      <c r="L65" s="900"/>
      <c r="M65" s="900"/>
      <c r="N65" s="900"/>
      <c r="O65" s="901"/>
      <c r="P65" s="901"/>
      <c r="Q65" s="901"/>
      <c r="R65" s="901"/>
      <c r="S65" s="1124"/>
      <c r="T65" s="1095"/>
      <c r="U65" s="1095"/>
      <c r="V65" s="1095"/>
      <c r="W65" s="1095"/>
      <c r="X65" s="1089"/>
      <c r="Y65" s="1095"/>
      <c r="Z65" s="1095"/>
      <c r="AA65" s="1095"/>
      <c r="AB65" s="1095"/>
      <c r="AC65" s="906"/>
      <c r="AD65" s="1095"/>
      <c r="AE65" s="1095"/>
    </row>
    <row r="66" spans="1:31" s="865" customFormat="1" x14ac:dyDescent="0.25">
      <c r="A66" s="870" t="s">
        <v>374</v>
      </c>
      <c r="B66" s="870" t="s">
        <v>368</v>
      </c>
      <c r="C66" s="900">
        <v>17.724329999999998</v>
      </c>
      <c r="D66" s="900"/>
      <c r="E66" s="900"/>
      <c r="F66" s="900"/>
      <c r="G66" s="900"/>
      <c r="H66" s="900"/>
      <c r="I66" s="900"/>
      <c r="J66" s="900"/>
      <c r="K66" s="900"/>
      <c r="L66" s="900"/>
      <c r="M66" s="900"/>
      <c r="N66" s="900"/>
      <c r="O66" s="901"/>
      <c r="P66" s="901"/>
      <c r="Q66" s="901"/>
      <c r="R66" s="901"/>
      <c r="S66" s="1124"/>
      <c r="T66" s="1095"/>
      <c r="U66" s="1095"/>
      <c r="V66" s="1095"/>
      <c r="W66" s="1095"/>
      <c r="X66" s="1089"/>
      <c r="Y66" s="1095"/>
      <c r="Z66" s="1095"/>
      <c r="AA66" s="1095"/>
      <c r="AB66" s="1095"/>
      <c r="AC66" s="906"/>
      <c r="AD66" s="1095"/>
      <c r="AE66" s="1095"/>
    </row>
    <row r="67" spans="1:31" s="865" customFormat="1" x14ac:dyDescent="0.25">
      <c r="A67" s="870" t="s">
        <v>375</v>
      </c>
      <c r="B67" s="870" t="s">
        <v>366</v>
      </c>
      <c r="C67" s="900">
        <v>0.83069999999999988</v>
      </c>
      <c r="D67" s="900"/>
      <c r="E67" s="900"/>
      <c r="F67" s="900"/>
      <c r="G67" s="900"/>
      <c r="H67" s="900"/>
      <c r="I67" s="900"/>
      <c r="J67" s="900"/>
      <c r="K67" s="900"/>
      <c r="L67" s="900"/>
      <c r="M67" s="900"/>
      <c r="N67" s="900"/>
      <c r="O67" s="901"/>
      <c r="P67" s="901"/>
      <c r="Q67" s="901"/>
      <c r="R67" s="901"/>
      <c r="S67" s="1124"/>
      <c r="T67" s="1095"/>
      <c r="U67" s="1095"/>
      <c r="V67" s="1095"/>
      <c r="W67" s="1095"/>
      <c r="X67" s="1089"/>
      <c r="Y67" s="1095"/>
      <c r="Z67" s="1095"/>
      <c r="AA67" s="1095"/>
      <c r="AB67" s="1095"/>
      <c r="AC67" s="906"/>
      <c r="AD67" s="1095"/>
      <c r="AE67" s="1095"/>
    </row>
    <row r="68" spans="1:31" s="865" customFormat="1" x14ac:dyDescent="0.25">
      <c r="A68" s="870" t="s">
        <v>376</v>
      </c>
      <c r="B68" s="870" t="s">
        <v>368</v>
      </c>
      <c r="C68" s="900">
        <v>1.0483199999999999</v>
      </c>
      <c r="D68" s="900"/>
      <c r="E68" s="900"/>
      <c r="F68" s="900"/>
      <c r="G68" s="900"/>
      <c r="H68" s="900"/>
      <c r="I68" s="900"/>
      <c r="J68" s="900"/>
      <c r="K68" s="900"/>
      <c r="L68" s="900"/>
      <c r="M68" s="900"/>
      <c r="N68" s="900"/>
      <c r="O68" s="901"/>
      <c r="P68" s="901"/>
      <c r="Q68" s="901"/>
      <c r="R68" s="901"/>
      <c r="S68" s="1124"/>
      <c r="T68" s="1095"/>
      <c r="U68" s="1095"/>
      <c r="V68" s="1095"/>
      <c r="W68" s="1095"/>
      <c r="X68" s="1089"/>
      <c r="Y68" s="1095"/>
      <c r="Z68" s="1095"/>
      <c r="AA68" s="1095"/>
      <c r="AB68" s="1095"/>
      <c r="AC68" s="906"/>
      <c r="AD68" s="1095"/>
      <c r="AE68" s="1095"/>
    </row>
    <row r="69" spans="1:31" s="865" customFormat="1" x14ac:dyDescent="0.25">
      <c r="A69" s="870" t="s">
        <v>377</v>
      </c>
      <c r="B69" s="870" t="s">
        <v>365</v>
      </c>
      <c r="C69" s="900">
        <v>0</v>
      </c>
      <c r="D69" s="900"/>
      <c r="E69" s="900"/>
      <c r="F69" s="900"/>
      <c r="G69" s="900"/>
      <c r="H69" s="900"/>
      <c r="I69" s="900"/>
      <c r="J69" s="900"/>
      <c r="K69" s="900"/>
      <c r="L69" s="900"/>
      <c r="M69" s="900"/>
      <c r="N69" s="900"/>
      <c r="O69" s="901"/>
      <c r="P69" s="901"/>
      <c r="Q69" s="901"/>
      <c r="R69" s="901"/>
      <c r="S69" s="1124"/>
      <c r="T69" s="1095"/>
      <c r="U69" s="1095"/>
      <c r="V69" s="1095"/>
      <c r="W69" s="1095"/>
      <c r="X69" s="1089"/>
      <c r="Y69" s="1095"/>
      <c r="Z69" s="1095"/>
      <c r="AA69" s="1095"/>
      <c r="AB69" s="1095"/>
      <c r="AC69" s="906"/>
      <c r="AD69" s="1095"/>
      <c r="AE69" s="1095"/>
    </row>
    <row r="70" spans="1:31" s="865" customFormat="1" x14ac:dyDescent="0.25">
      <c r="A70" s="870" t="s">
        <v>367</v>
      </c>
      <c r="B70" s="870"/>
      <c r="C70" s="900"/>
      <c r="D70" s="900"/>
      <c r="E70" s="900"/>
      <c r="F70" s="900"/>
      <c r="G70" s="900"/>
      <c r="H70" s="900"/>
      <c r="I70" s="900"/>
      <c r="J70" s="900"/>
      <c r="K70" s="900"/>
      <c r="L70" s="900"/>
      <c r="M70" s="900"/>
      <c r="N70" s="900"/>
      <c r="O70" s="901"/>
      <c r="P70" s="901"/>
      <c r="Q70" s="901"/>
      <c r="R70" s="901"/>
      <c r="S70" s="1124"/>
      <c r="T70" s="1095"/>
      <c r="U70" s="1095"/>
      <c r="V70" s="1095"/>
      <c r="W70" s="1095"/>
      <c r="X70" s="1089"/>
      <c r="Y70" s="1095"/>
      <c r="Z70" s="1095"/>
      <c r="AA70" s="1095"/>
      <c r="AB70" s="1095"/>
      <c r="AC70" s="906"/>
      <c r="AD70" s="1095"/>
      <c r="AE70" s="1095"/>
    </row>
    <row r="71" spans="1:31" s="865" customFormat="1" x14ac:dyDescent="0.25">
      <c r="A71" s="884" t="s">
        <v>77</v>
      </c>
      <c r="B71" s="885" t="s">
        <v>206</v>
      </c>
      <c r="C71" s="902">
        <f>SUM(C57:C70)</f>
        <v>316.50371999999999</v>
      </c>
      <c r="D71" s="902">
        <f t="shared" ref="D71:S71" si="19">SUM(D57:D70)</f>
        <v>0</v>
      </c>
      <c r="E71" s="902">
        <f t="shared" si="19"/>
        <v>0</v>
      </c>
      <c r="F71" s="902">
        <f t="shared" si="19"/>
        <v>0</v>
      </c>
      <c r="G71" s="902">
        <f t="shared" si="19"/>
        <v>0</v>
      </c>
      <c r="H71" s="902">
        <f t="shared" si="19"/>
        <v>0</v>
      </c>
      <c r="I71" s="902">
        <f t="shared" si="19"/>
        <v>0</v>
      </c>
      <c r="J71" s="902">
        <f t="shared" si="19"/>
        <v>0</v>
      </c>
      <c r="K71" s="902">
        <f t="shared" si="19"/>
        <v>0</v>
      </c>
      <c r="L71" s="902">
        <f t="shared" si="19"/>
        <v>0</v>
      </c>
      <c r="M71" s="902">
        <f t="shared" si="19"/>
        <v>0</v>
      </c>
      <c r="N71" s="902">
        <f t="shared" si="19"/>
        <v>0</v>
      </c>
      <c r="O71" s="902">
        <f t="shared" si="19"/>
        <v>0</v>
      </c>
      <c r="P71" s="902">
        <f t="shared" si="19"/>
        <v>0</v>
      </c>
      <c r="Q71" s="902">
        <f t="shared" si="19"/>
        <v>0</v>
      </c>
      <c r="R71" s="902">
        <f t="shared" si="19"/>
        <v>0</v>
      </c>
      <c r="S71" s="1131">
        <f t="shared" si="19"/>
        <v>0</v>
      </c>
      <c r="T71" s="1096"/>
      <c r="U71" s="1096"/>
      <c r="V71" s="1096"/>
      <c r="W71" s="1096"/>
      <c r="X71" s="1096"/>
      <c r="Y71" s="1096"/>
      <c r="Z71" s="1096"/>
      <c r="AA71" s="1096"/>
      <c r="AB71" s="1096"/>
      <c r="AC71" s="1096"/>
      <c r="AD71" s="1096"/>
      <c r="AE71" s="1096"/>
    </row>
    <row r="72" spans="1:31" s="899" customFormat="1" ht="12.75" customHeight="1" outlineLevel="1" x14ac:dyDescent="0.25">
      <c r="A72" s="904"/>
      <c r="B72" s="904"/>
      <c r="C72" s="905"/>
      <c r="D72" s="906"/>
      <c r="E72" s="906"/>
      <c r="F72" s="906"/>
      <c r="G72" s="906"/>
      <c r="H72" s="906"/>
      <c r="I72" s="906"/>
      <c r="J72" s="906"/>
      <c r="K72" s="906"/>
      <c r="L72" s="906"/>
      <c r="M72" s="906"/>
      <c r="N72" s="906"/>
      <c r="O72" s="907"/>
      <c r="P72" s="907"/>
      <c r="Q72" s="907"/>
      <c r="R72" s="907"/>
      <c r="S72" s="908" t="e">
        <f>S71*S25</f>
        <v>#DIV/0!</v>
      </c>
      <c r="T72" s="907"/>
      <c r="U72" s="907"/>
      <c r="V72" s="907"/>
      <c r="W72" s="907"/>
      <c r="X72" s="907"/>
      <c r="Y72" s="907"/>
      <c r="Z72" s="907"/>
      <c r="AA72" s="909"/>
      <c r="AB72" s="909"/>
      <c r="AC72" s="909"/>
      <c r="AD72" s="909"/>
      <c r="AE72" s="910"/>
    </row>
    <row r="73" spans="1:31" s="899" customFormat="1" ht="12.75" customHeight="1" outlineLevel="1" x14ac:dyDescent="0.25">
      <c r="A73" s="897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32">
        <f>$S$11</f>
        <v>2022</v>
      </c>
      <c r="T73" s="1084"/>
      <c r="U73" s="1084"/>
      <c r="V73" s="1084"/>
      <c r="W73" s="1084"/>
      <c r="X73" s="1094"/>
      <c r="Y73" s="1094"/>
      <c r="Z73" s="1094"/>
      <c r="AA73" s="1094"/>
      <c r="AB73" s="1094"/>
      <c r="AC73" s="1094"/>
      <c r="AD73" s="1094"/>
      <c r="AE73" s="1094"/>
    </row>
    <row r="74" spans="1:31" s="865" customFormat="1" ht="12.75" customHeight="1" outlineLevel="1" x14ac:dyDescent="0.25">
      <c r="A74" s="870" t="s">
        <v>364</v>
      </c>
      <c r="B74" s="870" t="s">
        <v>364</v>
      </c>
      <c r="C74" s="911"/>
      <c r="D74" s="911"/>
      <c r="E74" s="911"/>
      <c r="F74" s="911"/>
      <c r="G74" s="911"/>
      <c r="H74" s="911"/>
      <c r="I74" s="911"/>
      <c r="J74" s="911"/>
      <c r="K74" s="911"/>
      <c r="L74" s="911"/>
      <c r="M74" s="911"/>
      <c r="N74" s="911"/>
      <c r="O74" s="912"/>
      <c r="P74" s="912"/>
      <c r="Q74" s="912"/>
      <c r="R74" s="912"/>
      <c r="S74" s="1133"/>
      <c r="T74" s="1097"/>
      <c r="U74" s="1097"/>
      <c r="V74" s="1097"/>
      <c r="W74" s="1097"/>
      <c r="X74" s="1097"/>
      <c r="Y74" s="1097"/>
      <c r="Z74" s="1097"/>
      <c r="AA74" s="1097"/>
      <c r="AB74" s="1097"/>
      <c r="AC74" s="1097"/>
      <c r="AD74" s="1097"/>
      <c r="AE74" s="1097"/>
    </row>
    <row r="75" spans="1:31" s="865" customFormat="1" ht="12.75" customHeight="1" outlineLevel="1" x14ac:dyDescent="0.25">
      <c r="A75" s="870" t="s">
        <v>365</v>
      </c>
      <c r="B75" s="870" t="s">
        <v>365</v>
      </c>
      <c r="C75" s="911"/>
      <c r="D75" s="911"/>
      <c r="E75" s="911"/>
      <c r="F75" s="911"/>
      <c r="G75" s="911"/>
      <c r="H75" s="911"/>
      <c r="I75" s="911"/>
      <c r="J75" s="911"/>
      <c r="K75" s="911"/>
      <c r="L75" s="911"/>
      <c r="M75" s="911"/>
      <c r="N75" s="911"/>
      <c r="O75" s="912"/>
      <c r="P75" s="912"/>
      <c r="Q75" s="912"/>
      <c r="R75" s="912"/>
      <c r="S75" s="1133"/>
      <c r="T75" s="1097"/>
      <c r="U75" s="1097"/>
      <c r="V75" s="1097"/>
      <c r="W75" s="1097"/>
      <c r="X75" s="1097"/>
      <c r="Y75" s="1097"/>
      <c r="Z75" s="1097"/>
      <c r="AA75" s="1097"/>
      <c r="AB75" s="1097"/>
      <c r="AC75" s="1097"/>
      <c r="AD75" s="1097"/>
      <c r="AE75" s="1097"/>
    </row>
    <row r="76" spans="1:31" s="865" customFormat="1" ht="12.75" customHeight="1" outlineLevel="1" x14ac:dyDescent="0.25">
      <c r="A76" s="870" t="s">
        <v>366</v>
      </c>
      <c r="B76" s="870" t="s">
        <v>366</v>
      </c>
      <c r="C76" s="911"/>
      <c r="D76" s="911"/>
      <c r="E76" s="911"/>
      <c r="F76" s="911"/>
      <c r="G76" s="911"/>
      <c r="H76" s="911"/>
      <c r="I76" s="911"/>
      <c r="J76" s="911"/>
      <c r="K76" s="911"/>
      <c r="L76" s="911"/>
      <c r="M76" s="911"/>
      <c r="N76" s="911"/>
      <c r="O76" s="912"/>
      <c r="P76" s="912"/>
      <c r="Q76" s="912"/>
      <c r="R76" s="912"/>
      <c r="S76" s="1133"/>
      <c r="T76" s="1097"/>
      <c r="U76" s="1097"/>
      <c r="V76" s="1097"/>
      <c r="W76" s="1097"/>
      <c r="X76" s="1097"/>
      <c r="Y76" s="1097"/>
      <c r="Z76" s="1097"/>
      <c r="AA76" s="1097"/>
      <c r="AB76" s="1097"/>
      <c r="AC76" s="1097"/>
      <c r="AD76" s="1097"/>
      <c r="AE76" s="1097"/>
    </row>
    <row r="77" spans="1:31" s="865" customFormat="1" ht="12.75" customHeight="1" outlineLevel="1" x14ac:dyDescent="0.25">
      <c r="A77" s="870" t="s">
        <v>368</v>
      </c>
      <c r="B77" s="870" t="s">
        <v>366</v>
      </c>
      <c r="C77" s="911"/>
      <c r="D77" s="911"/>
      <c r="E77" s="911"/>
      <c r="F77" s="911"/>
      <c r="G77" s="911"/>
      <c r="H77" s="911"/>
      <c r="I77" s="911"/>
      <c r="J77" s="911"/>
      <c r="K77" s="911"/>
      <c r="L77" s="911"/>
      <c r="M77" s="911"/>
      <c r="N77" s="911"/>
      <c r="O77" s="912"/>
      <c r="P77" s="912"/>
      <c r="Q77" s="912"/>
      <c r="R77" s="912"/>
      <c r="S77" s="1133"/>
      <c r="T77" s="1097"/>
      <c r="U77" s="1097"/>
      <c r="V77" s="1097"/>
      <c r="W77" s="1097"/>
      <c r="X77" s="1097"/>
      <c r="Y77" s="1097"/>
      <c r="Z77" s="1097"/>
      <c r="AA77" s="1097"/>
      <c r="AB77" s="1097"/>
      <c r="AC77" s="1097"/>
      <c r="AD77" s="1097"/>
      <c r="AE77" s="1097"/>
    </row>
    <row r="78" spans="1:31" s="865" customFormat="1" ht="12.75" customHeight="1" outlineLevel="1" x14ac:dyDescent="0.25">
      <c r="A78" s="870" t="s">
        <v>369</v>
      </c>
      <c r="B78" s="870" t="s">
        <v>368</v>
      </c>
      <c r="C78" s="911"/>
      <c r="D78" s="911"/>
      <c r="E78" s="911"/>
      <c r="F78" s="911"/>
      <c r="G78" s="911"/>
      <c r="H78" s="911"/>
      <c r="I78" s="911"/>
      <c r="J78" s="911"/>
      <c r="K78" s="911"/>
      <c r="L78" s="911"/>
      <c r="M78" s="911"/>
      <c r="N78" s="911"/>
      <c r="O78" s="912"/>
      <c r="P78" s="912"/>
      <c r="Q78" s="912"/>
      <c r="R78" s="912"/>
      <c r="S78" s="1133"/>
      <c r="T78" s="1097"/>
      <c r="U78" s="1097"/>
      <c r="V78" s="1097"/>
      <c r="W78" s="1097"/>
      <c r="X78" s="1097"/>
      <c r="Y78" s="1097"/>
      <c r="Z78" s="1097"/>
      <c r="AA78" s="1097"/>
      <c r="AB78" s="1097"/>
      <c r="AC78" s="1097"/>
      <c r="AD78" s="1097"/>
      <c r="AE78" s="1097"/>
    </row>
    <row r="79" spans="1:31" s="865" customFormat="1" ht="12.75" customHeight="1" outlineLevel="1" x14ac:dyDescent="0.25">
      <c r="A79" s="870" t="s">
        <v>370</v>
      </c>
      <c r="B79" s="870" t="s">
        <v>368</v>
      </c>
      <c r="C79" s="911"/>
      <c r="D79" s="911"/>
      <c r="E79" s="911"/>
      <c r="F79" s="911"/>
      <c r="G79" s="911"/>
      <c r="H79" s="911"/>
      <c r="I79" s="911"/>
      <c r="J79" s="911"/>
      <c r="K79" s="911"/>
      <c r="L79" s="911"/>
      <c r="M79" s="911"/>
      <c r="N79" s="911"/>
      <c r="O79" s="912"/>
      <c r="P79" s="912"/>
      <c r="Q79" s="912"/>
      <c r="R79" s="912"/>
      <c r="S79" s="1133"/>
      <c r="T79" s="1097"/>
      <c r="U79" s="1097"/>
      <c r="V79" s="1097"/>
      <c r="W79" s="1097"/>
      <c r="X79" s="1097"/>
      <c r="Y79" s="1097"/>
      <c r="Z79" s="1097"/>
      <c r="AA79" s="1097"/>
      <c r="AB79" s="1097"/>
      <c r="AC79" s="1097"/>
      <c r="AD79" s="1097"/>
      <c r="AE79" s="1097"/>
    </row>
    <row r="80" spans="1:31" s="865" customFormat="1" ht="12.75" customHeight="1" outlineLevel="1" x14ac:dyDescent="0.25">
      <c r="A80" s="870" t="s">
        <v>371</v>
      </c>
      <c r="B80" s="870" t="s">
        <v>368</v>
      </c>
      <c r="C80" s="911"/>
      <c r="D80" s="911"/>
      <c r="E80" s="911"/>
      <c r="F80" s="911"/>
      <c r="G80" s="911"/>
      <c r="H80" s="911"/>
      <c r="I80" s="911"/>
      <c r="J80" s="911"/>
      <c r="K80" s="911"/>
      <c r="L80" s="911"/>
      <c r="M80" s="911"/>
      <c r="N80" s="911"/>
      <c r="O80" s="912"/>
      <c r="P80" s="912"/>
      <c r="Q80" s="912"/>
      <c r="R80" s="912"/>
      <c r="S80" s="1133"/>
      <c r="T80" s="1097"/>
      <c r="U80" s="1097"/>
      <c r="V80" s="1097"/>
      <c r="W80" s="1097"/>
      <c r="X80" s="1097"/>
      <c r="Y80" s="1097"/>
      <c r="Z80" s="1097"/>
      <c r="AA80" s="1097"/>
      <c r="AB80" s="1097"/>
      <c r="AC80" s="1097"/>
      <c r="AD80" s="1097"/>
      <c r="AE80" s="1097"/>
    </row>
    <row r="81" spans="1:36" s="865" customFormat="1" ht="12.75" customHeight="1" outlineLevel="1" x14ac:dyDescent="0.25">
      <c r="A81" s="870" t="s">
        <v>372</v>
      </c>
      <c r="B81" s="870" t="s">
        <v>368</v>
      </c>
      <c r="C81" s="911"/>
      <c r="D81" s="911"/>
      <c r="E81" s="911"/>
      <c r="F81" s="911"/>
      <c r="G81" s="911"/>
      <c r="H81" s="911"/>
      <c r="I81" s="911"/>
      <c r="J81" s="911"/>
      <c r="K81" s="911"/>
      <c r="L81" s="911"/>
      <c r="M81" s="911"/>
      <c r="N81" s="911"/>
      <c r="O81" s="912"/>
      <c r="P81" s="912"/>
      <c r="Q81" s="912"/>
      <c r="R81" s="912"/>
      <c r="S81" s="1133"/>
      <c r="T81" s="1097"/>
      <c r="U81" s="1097"/>
      <c r="V81" s="1097"/>
      <c r="W81" s="1097"/>
      <c r="X81" s="1097"/>
      <c r="Y81" s="1097"/>
      <c r="Z81" s="1097"/>
      <c r="AA81" s="1097"/>
      <c r="AB81" s="1097"/>
      <c r="AC81" s="1097"/>
      <c r="AD81" s="1097"/>
      <c r="AE81" s="1097"/>
    </row>
    <row r="82" spans="1:36" s="865" customFormat="1" ht="12.75" customHeight="1" outlineLevel="1" x14ac:dyDescent="0.25">
      <c r="A82" s="870" t="s">
        <v>373</v>
      </c>
      <c r="B82" s="870" t="s">
        <v>366</v>
      </c>
      <c r="C82" s="911"/>
      <c r="D82" s="911"/>
      <c r="E82" s="911"/>
      <c r="F82" s="911"/>
      <c r="G82" s="911"/>
      <c r="H82" s="911"/>
      <c r="I82" s="911"/>
      <c r="J82" s="911"/>
      <c r="K82" s="911"/>
      <c r="L82" s="911"/>
      <c r="M82" s="911"/>
      <c r="N82" s="911"/>
      <c r="O82" s="912"/>
      <c r="P82" s="912"/>
      <c r="Q82" s="912"/>
      <c r="R82" s="912"/>
      <c r="S82" s="1133"/>
      <c r="T82" s="1097"/>
      <c r="U82" s="1097"/>
      <c r="V82" s="1097"/>
      <c r="W82" s="1097"/>
      <c r="X82" s="1097"/>
      <c r="Y82" s="1097"/>
      <c r="Z82" s="1097"/>
      <c r="AA82" s="1097"/>
      <c r="AB82" s="1097"/>
      <c r="AC82" s="1097"/>
      <c r="AD82" s="1097"/>
      <c r="AE82" s="1097"/>
    </row>
    <row r="83" spans="1:36" s="865" customFormat="1" ht="12.75" customHeight="1" outlineLevel="1" x14ac:dyDescent="0.25">
      <c r="A83" s="870" t="s">
        <v>374</v>
      </c>
      <c r="B83" s="870" t="s">
        <v>368</v>
      </c>
      <c r="C83" s="911"/>
      <c r="D83" s="911"/>
      <c r="E83" s="911"/>
      <c r="F83" s="911"/>
      <c r="G83" s="911"/>
      <c r="H83" s="911"/>
      <c r="I83" s="911"/>
      <c r="J83" s="911"/>
      <c r="K83" s="911"/>
      <c r="L83" s="911"/>
      <c r="M83" s="911"/>
      <c r="N83" s="911"/>
      <c r="O83" s="912"/>
      <c r="P83" s="912"/>
      <c r="Q83" s="912"/>
      <c r="R83" s="912"/>
      <c r="S83" s="1133"/>
      <c r="T83" s="1097"/>
      <c r="U83" s="1097"/>
      <c r="V83" s="1097"/>
      <c r="W83" s="1097"/>
      <c r="X83" s="1097"/>
      <c r="Y83" s="1097"/>
      <c r="Z83" s="1097"/>
      <c r="AA83" s="1097"/>
      <c r="AB83" s="1097"/>
      <c r="AC83" s="1097"/>
      <c r="AD83" s="1097"/>
      <c r="AE83" s="1097"/>
    </row>
    <row r="84" spans="1:36" s="865" customFormat="1" ht="12.75" customHeight="1" outlineLevel="1" x14ac:dyDescent="0.25">
      <c r="A84" s="870" t="s">
        <v>375</v>
      </c>
      <c r="B84" s="870" t="s">
        <v>366</v>
      </c>
      <c r="C84" s="911"/>
      <c r="D84" s="911"/>
      <c r="E84" s="911"/>
      <c r="F84" s="911"/>
      <c r="G84" s="911"/>
      <c r="H84" s="911"/>
      <c r="I84" s="911"/>
      <c r="J84" s="911"/>
      <c r="K84" s="911"/>
      <c r="L84" s="911"/>
      <c r="M84" s="911"/>
      <c r="N84" s="911"/>
      <c r="O84" s="912"/>
      <c r="P84" s="912"/>
      <c r="Q84" s="912"/>
      <c r="R84" s="912"/>
      <c r="S84" s="1133"/>
      <c r="T84" s="1097"/>
      <c r="U84" s="1097"/>
      <c r="V84" s="1097"/>
      <c r="W84" s="1097"/>
      <c r="X84" s="1097"/>
      <c r="Y84" s="1097"/>
      <c r="Z84" s="1097"/>
      <c r="AA84" s="1097"/>
      <c r="AB84" s="1097"/>
      <c r="AC84" s="1097"/>
      <c r="AD84" s="1097"/>
      <c r="AE84" s="1097"/>
    </row>
    <row r="85" spans="1:36" s="865" customFormat="1" ht="12.75" customHeight="1" outlineLevel="1" x14ac:dyDescent="0.25">
      <c r="A85" s="870" t="s">
        <v>376</v>
      </c>
      <c r="B85" s="870" t="s">
        <v>368</v>
      </c>
      <c r="C85" s="1197">
        <v>2.4400000000000002E-4</v>
      </c>
      <c r="D85" s="911"/>
      <c r="E85" s="911"/>
      <c r="F85" s="911"/>
      <c r="G85" s="911"/>
      <c r="H85" s="911"/>
      <c r="I85" s="911"/>
      <c r="J85" s="911"/>
      <c r="K85" s="911"/>
      <c r="L85" s="911"/>
      <c r="M85" s="911"/>
      <c r="N85" s="911"/>
      <c r="O85" s="912"/>
      <c r="P85" s="912"/>
      <c r="Q85" s="912"/>
      <c r="R85" s="912"/>
      <c r="S85" s="1133"/>
      <c r="T85" s="1097"/>
      <c r="U85" s="1097"/>
      <c r="V85" s="1097"/>
      <c r="W85" s="1097"/>
      <c r="X85" s="1097"/>
      <c r="Y85" s="1097"/>
      <c r="Z85" s="1097"/>
      <c r="AA85" s="1097"/>
      <c r="AB85" s="1097"/>
      <c r="AC85" s="1097"/>
      <c r="AD85" s="1097"/>
      <c r="AE85" s="1097"/>
    </row>
    <row r="86" spans="1:36" s="865" customFormat="1" ht="12.75" customHeight="1" outlineLevel="1" x14ac:dyDescent="0.25">
      <c r="A86" s="870" t="s">
        <v>377</v>
      </c>
      <c r="B86" s="870" t="s">
        <v>365</v>
      </c>
      <c r="C86" s="1197">
        <v>2.4400000000000002E-4</v>
      </c>
      <c r="D86" s="911"/>
      <c r="E86" s="911"/>
      <c r="F86" s="911"/>
      <c r="G86" s="911"/>
      <c r="H86" s="911"/>
      <c r="I86" s="911"/>
      <c r="J86" s="911"/>
      <c r="K86" s="911"/>
      <c r="L86" s="911"/>
      <c r="M86" s="911"/>
      <c r="N86" s="911"/>
      <c r="O86" s="912"/>
      <c r="P86" s="912"/>
      <c r="Q86" s="912"/>
      <c r="R86" s="912"/>
      <c r="S86" s="1133"/>
      <c r="T86" s="1097"/>
      <c r="U86" s="1097"/>
      <c r="V86" s="1097"/>
      <c r="W86" s="1097"/>
      <c r="X86" s="1097"/>
      <c r="Y86" s="1097"/>
      <c r="Z86" s="1097"/>
      <c r="AA86" s="1097"/>
      <c r="AB86" s="1097"/>
      <c r="AC86" s="1097"/>
      <c r="AD86" s="1097"/>
      <c r="AE86" s="1097"/>
    </row>
    <row r="87" spans="1:36" s="914" customFormat="1" ht="12.75" customHeight="1" outlineLevel="1" x14ac:dyDescent="0.25">
      <c r="A87" s="870" t="s">
        <v>367</v>
      </c>
      <c r="B87" s="870"/>
      <c r="C87" s="911"/>
      <c r="D87" s="911"/>
      <c r="E87" s="911"/>
      <c r="F87" s="911"/>
      <c r="G87" s="911"/>
      <c r="H87" s="911"/>
      <c r="I87" s="911"/>
      <c r="J87" s="911"/>
      <c r="K87" s="911"/>
      <c r="L87" s="911"/>
      <c r="M87" s="911"/>
      <c r="N87" s="911"/>
      <c r="O87" s="912"/>
      <c r="P87" s="912"/>
      <c r="Q87" s="912"/>
      <c r="R87" s="912"/>
      <c r="S87" s="1133"/>
      <c r="T87" s="909"/>
      <c r="U87" s="909"/>
      <c r="V87" s="909"/>
      <c r="W87" s="909"/>
      <c r="X87" s="1097"/>
      <c r="Y87" s="909"/>
      <c r="Z87" s="909"/>
      <c r="AA87" s="909"/>
      <c r="AB87" s="909"/>
      <c r="AC87" s="1097"/>
      <c r="AD87" s="1097"/>
      <c r="AE87" s="1097"/>
    </row>
    <row r="88" spans="1:36" s="865" customFormat="1" ht="12.75" customHeight="1" outlineLevel="1" x14ac:dyDescent="0.25">
      <c r="A88" s="884" t="s">
        <v>77</v>
      </c>
      <c r="B88" s="915" t="s">
        <v>208</v>
      </c>
      <c r="C88" s="915">
        <f>+AVERAGE(C74:C87)</f>
        <v>2.4400000000000002E-4</v>
      </c>
      <c r="D88" s="916" t="e">
        <f t="shared" ref="D88:S88" si="20">+AVERAGE(D74:D87)</f>
        <v>#DIV/0!</v>
      </c>
      <c r="E88" s="916" t="e">
        <f t="shared" si="20"/>
        <v>#DIV/0!</v>
      </c>
      <c r="F88" s="916" t="e">
        <f t="shared" si="20"/>
        <v>#DIV/0!</v>
      </c>
      <c r="G88" s="916" t="e">
        <f t="shared" si="20"/>
        <v>#DIV/0!</v>
      </c>
      <c r="H88" s="916" t="e">
        <f t="shared" si="20"/>
        <v>#DIV/0!</v>
      </c>
      <c r="I88" s="916" t="e">
        <f t="shared" si="20"/>
        <v>#DIV/0!</v>
      </c>
      <c r="J88" s="916" t="e">
        <f t="shared" si="20"/>
        <v>#DIV/0!</v>
      </c>
      <c r="K88" s="916" t="e">
        <f t="shared" si="20"/>
        <v>#DIV/0!</v>
      </c>
      <c r="L88" s="916" t="e">
        <f t="shared" si="20"/>
        <v>#DIV/0!</v>
      </c>
      <c r="M88" s="916" t="e">
        <f t="shared" si="20"/>
        <v>#DIV/0!</v>
      </c>
      <c r="N88" s="916" t="e">
        <f t="shared" si="20"/>
        <v>#DIV/0!</v>
      </c>
      <c r="O88" s="916" t="e">
        <f t="shared" si="20"/>
        <v>#DIV/0!</v>
      </c>
      <c r="P88" s="916" t="e">
        <f t="shared" si="20"/>
        <v>#DIV/0!</v>
      </c>
      <c r="Q88" s="916" t="e">
        <f t="shared" si="20"/>
        <v>#DIV/0!</v>
      </c>
      <c r="R88" s="916" t="e">
        <f t="shared" si="20"/>
        <v>#DIV/0!</v>
      </c>
      <c r="S88" s="1134" t="e">
        <f t="shared" si="20"/>
        <v>#DIV/0!</v>
      </c>
      <c r="T88" s="1098"/>
      <c r="U88" s="1098"/>
      <c r="V88" s="1098"/>
      <c r="W88" s="1098"/>
      <c r="X88" s="1098"/>
      <c r="Y88" s="1098"/>
      <c r="Z88" s="1098"/>
      <c r="AA88" s="1098"/>
      <c r="AB88" s="1098"/>
      <c r="AC88" s="1098"/>
      <c r="AD88" s="1098"/>
      <c r="AE88" s="1098"/>
    </row>
    <row r="89" spans="1:36" ht="12.75" customHeight="1" outlineLevel="1" x14ac:dyDescent="0.25">
      <c r="T89" s="914"/>
      <c r="U89" s="914"/>
      <c r="V89" s="914"/>
      <c r="W89" s="914"/>
      <c r="X89" s="914"/>
      <c r="Y89" s="914"/>
      <c r="Z89" s="914"/>
      <c r="AA89" s="914"/>
      <c r="AB89" s="914"/>
      <c r="AC89" s="914"/>
      <c r="AD89" s="914"/>
      <c r="AE89" s="914"/>
      <c r="AF89" s="914"/>
      <c r="AG89" s="914"/>
      <c r="AH89" s="914"/>
      <c r="AI89" s="914"/>
      <c r="AJ89" s="914"/>
    </row>
    <row r="90" spans="1:36" s="899" customFormat="1" ht="12.75" customHeight="1" outlineLevel="1" x14ac:dyDescent="0.25">
      <c r="A90" s="897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32">
        <f>$S$11</f>
        <v>2022</v>
      </c>
      <c r="T90" s="1084"/>
      <c r="U90" s="1084"/>
      <c r="V90" s="1084"/>
      <c r="W90" s="1084"/>
      <c r="X90" s="1094"/>
      <c r="Y90" s="1094"/>
      <c r="Z90" s="1094"/>
      <c r="AA90" s="1094"/>
      <c r="AB90" s="1094"/>
      <c r="AC90" s="1094"/>
      <c r="AD90" s="1094"/>
      <c r="AE90" s="1094"/>
    </row>
    <row r="91" spans="1:36" s="865" customFormat="1" ht="12.75" customHeight="1" outlineLevel="1" x14ac:dyDescent="0.25">
      <c r="A91" s="870" t="s">
        <v>364</v>
      </c>
      <c r="B91" s="870" t="s">
        <v>364</v>
      </c>
      <c r="C91" s="1198">
        <f t="shared" ref="C91:C104" si="21">C57*C74</f>
        <v>0</v>
      </c>
      <c r="D91" s="917"/>
      <c r="E91" s="917"/>
      <c r="F91" s="917"/>
      <c r="G91" s="917"/>
      <c r="H91" s="917"/>
      <c r="I91" s="917"/>
      <c r="J91" s="917"/>
      <c r="K91" s="917"/>
      <c r="L91" s="917"/>
      <c r="M91" s="917"/>
      <c r="N91" s="917"/>
      <c r="O91" s="918"/>
      <c r="P91" s="918"/>
      <c r="Q91" s="918"/>
      <c r="R91" s="918"/>
      <c r="S91" s="1135"/>
      <c r="T91" s="1099"/>
      <c r="U91" s="1099"/>
      <c r="V91" s="1099"/>
      <c r="W91" s="1099"/>
      <c r="X91" s="1099"/>
      <c r="Y91" s="1099"/>
      <c r="Z91" s="1099"/>
      <c r="AA91" s="1099"/>
      <c r="AB91" s="1099"/>
      <c r="AC91" s="1099"/>
      <c r="AD91" s="1099"/>
      <c r="AE91" s="1099"/>
    </row>
    <row r="92" spans="1:36" s="865" customFormat="1" ht="12.75" customHeight="1" outlineLevel="1" x14ac:dyDescent="0.25">
      <c r="A92" s="870" t="s">
        <v>365</v>
      </c>
      <c r="B92" s="870" t="s">
        <v>365</v>
      </c>
      <c r="C92" s="1198">
        <f t="shared" si="21"/>
        <v>0</v>
      </c>
      <c r="D92" s="917"/>
      <c r="E92" s="917"/>
      <c r="F92" s="917"/>
      <c r="G92" s="917"/>
      <c r="H92" s="917"/>
      <c r="I92" s="917"/>
      <c r="J92" s="917"/>
      <c r="K92" s="917"/>
      <c r="L92" s="917"/>
      <c r="M92" s="917"/>
      <c r="N92" s="917"/>
      <c r="O92" s="918"/>
      <c r="P92" s="918"/>
      <c r="Q92" s="918"/>
      <c r="R92" s="918"/>
      <c r="S92" s="1135"/>
      <c r="T92" s="1099"/>
      <c r="U92" s="1099"/>
      <c r="V92" s="1099"/>
      <c r="W92" s="1099"/>
      <c r="X92" s="1099"/>
      <c r="Y92" s="1099"/>
      <c r="Z92" s="1099"/>
      <c r="AA92" s="1099"/>
      <c r="AB92" s="1099"/>
      <c r="AC92" s="1099"/>
      <c r="AD92" s="1099"/>
      <c r="AE92" s="1099"/>
    </row>
    <row r="93" spans="1:36" s="865" customFormat="1" ht="12.75" customHeight="1" outlineLevel="1" x14ac:dyDescent="0.25">
      <c r="A93" s="870" t="s">
        <v>366</v>
      </c>
      <c r="B93" s="870" t="s">
        <v>366</v>
      </c>
      <c r="C93" s="1198">
        <f t="shared" si="21"/>
        <v>0</v>
      </c>
      <c r="D93" s="917"/>
      <c r="E93" s="917"/>
      <c r="F93" s="917"/>
      <c r="G93" s="917"/>
      <c r="H93" s="917"/>
      <c r="I93" s="917"/>
      <c r="J93" s="917"/>
      <c r="K93" s="917"/>
      <c r="L93" s="917"/>
      <c r="M93" s="917"/>
      <c r="N93" s="917"/>
      <c r="O93" s="918"/>
      <c r="P93" s="918"/>
      <c r="Q93" s="918"/>
      <c r="R93" s="918"/>
      <c r="S93" s="1135"/>
      <c r="T93" s="1099"/>
      <c r="U93" s="1099"/>
      <c r="V93" s="1099"/>
      <c r="W93" s="1099"/>
      <c r="X93" s="1099"/>
      <c r="Y93" s="1099"/>
      <c r="Z93" s="1099"/>
      <c r="AA93" s="1099"/>
      <c r="AB93" s="1099"/>
      <c r="AC93" s="1099"/>
      <c r="AD93" s="1099"/>
      <c r="AE93" s="1099"/>
    </row>
    <row r="94" spans="1:36" s="865" customFormat="1" ht="12.75" customHeight="1" outlineLevel="1" x14ac:dyDescent="0.25">
      <c r="A94" s="870" t="s">
        <v>368</v>
      </c>
      <c r="B94" s="870" t="s">
        <v>366</v>
      </c>
      <c r="C94" s="1198">
        <f t="shared" si="21"/>
        <v>0</v>
      </c>
      <c r="D94" s="917"/>
      <c r="E94" s="917"/>
      <c r="F94" s="917"/>
      <c r="G94" s="917"/>
      <c r="H94" s="917"/>
      <c r="I94" s="917"/>
      <c r="J94" s="917"/>
      <c r="K94" s="917"/>
      <c r="L94" s="917"/>
      <c r="M94" s="917"/>
      <c r="N94" s="917"/>
      <c r="O94" s="918"/>
      <c r="P94" s="918"/>
      <c r="Q94" s="918"/>
      <c r="R94" s="918"/>
      <c r="S94" s="1135"/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</row>
    <row r="95" spans="1:36" s="865" customFormat="1" ht="12.75" customHeight="1" outlineLevel="1" x14ac:dyDescent="0.25">
      <c r="A95" s="870" t="s">
        <v>369</v>
      </c>
      <c r="B95" s="870" t="s">
        <v>368</v>
      </c>
      <c r="C95" s="1198">
        <f t="shared" si="21"/>
        <v>0</v>
      </c>
      <c r="D95" s="917"/>
      <c r="E95" s="917"/>
      <c r="F95" s="917"/>
      <c r="G95" s="917"/>
      <c r="H95" s="917"/>
      <c r="I95" s="917"/>
      <c r="J95" s="917"/>
      <c r="K95" s="917"/>
      <c r="L95" s="917"/>
      <c r="M95" s="917"/>
      <c r="N95" s="917"/>
      <c r="O95" s="918"/>
      <c r="P95" s="918"/>
      <c r="Q95" s="918"/>
      <c r="R95" s="918"/>
      <c r="S95" s="1135"/>
      <c r="T95" s="1099"/>
      <c r="U95" s="1099"/>
      <c r="V95" s="1099"/>
      <c r="W95" s="1099"/>
      <c r="X95" s="1099"/>
      <c r="Y95" s="1099"/>
      <c r="Z95" s="1099"/>
      <c r="AA95" s="1099"/>
      <c r="AB95" s="1099"/>
      <c r="AC95" s="1099"/>
      <c r="AD95" s="1099"/>
      <c r="AE95" s="1099"/>
    </row>
    <row r="96" spans="1:36" s="865" customFormat="1" ht="12.75" customHeight="1" outlineLevel="1" x14ac:dyDescent="0.25">
      <c r="A96" s="870" t="s">
        <v>370</v>
      </c>
      <c r="B96" s="870" t="s">
        <v>368</v>
      </c>
      <c r="C96" s="1198">
        <f t="shared" si="21"/>
        <v>0</v>
      </c>
      <c r="D96" s="917"/>
      <c r="E96" s="917"/>
      <c r="F96" s="917"/>
      <c r="G96" s="917"/>
      <c r="H96" s="917"/>
      <c r="I96" s="917"/>
      <c r="J96" s="917"/>
      <c r="K96" s="917"/>
      <c r="L96" s="917"/>
      <c r="M96" s="917"/>
      <c r="N96" s="917"/>
      <c r="O96" s="918"/>
      <c r="P96" s="918"/>
      <c r="Q96" s="918"/>
      <c r="R96" s="918"/>
      <c r="S96" s="1135"/>
      <c r="T96" s="1099"/>
      <c r="U96" s="1099"/>
      <c r="V96" s="1099"/>
      <c r="W96" s="1099"/>
      <c r="X96" s="1099"/>
      <c r="Y96" s="1099"/>
      <c r="Z96" s="1099"/>
      <c r="AA96" s="1099"/>
      <c r="AB96" s="1099"/>
      <c r="AC96" s="1099"/>
      <c r="AD96" s="1099"/>
      <c r="AE96" s="1099"/>
    </row>
    <row r="97" spans="1:36" s="865" customFormat="1" ht="12.75" customHeight="1" outlineLevel="1" x14ac:dyDescent="0.25">
      <c r="A97" s="870" t="s">
        <v>371</v>
      </c>
      <c r="B97" s="870" t="s">
        <v>368</v>
      </c>
      <c r="C97" s="1198">
        <f t="shared" si="21"/>
        <v>0</v>
      </c>
      <c r="D97" s="917"/>
      <c r="E97" s="917"/>
      <c r="F97" s="917"/>
      <c r="G97" s="917"/>
      <c r="H97" s="917"/>
      <c r="I97" s="917"/>
      <c r="J97" s="917"/>
      <c r="K97" s="917"/>
      <c r="L97" s="917"/>
      <c r="M97" s="917"/>
      <c r="N97" s="917"/>
      <c r="O97" s="918"/>
      <c r="P97" s="918"/>
      <c r="Q97" s="918"/>
      <c r="R97" s="918"/>
      <c r="S97" s="1135"/>
      <c r="T97" s="1099"/>
      <c r="U97" s="1099"/>
      <c r="V97" s="1099"/>
      <c r="W97" s="1099"/>
      <c r="X97" s="1099"/>
      <c r="Y97" s="1099"/>
      <c r="Z97" s="1099"/>
      <c r="AA97" s="1099"/>
      <c r="AB97" s="1099"/>
      <c r="AC97" s="1099"/>
      <c r="AD97" s="1099"/>
      <c r="AE97" s="1099"/>
    </row>
    <row r="98" spans="1:36" s="865" customFormat="1" ht="12.75" customHeight="1" outlineLevel="1" x14ac:dyDescent="0.25">
      <c r="A98" s="870" t="s">
        <v>372</v>
      </c>
      <c r="B98" s="870" t="s">
        <v>368</v>
      </c>
      <c r="C98" s="1198">
        <f t="shared" si="21"/>
        <v>0</v>
      </c>
      <c r="D98" s="917"/>
      <c r="E98" s="917"/>
      <c r="F98" s="917"/>
      <c r="G98" s="917"/>
      <c r="H98" s="917"/>
      <c r="I98" s="917"/>
      <c r="J98" s="917"/>
      <c r="K98" s="917"/>
      <c r="L98" s="917"/>
      <c r="M98" s="917"/>
      <c r="N98" s="917"/>
      <c r="O98" s="918"/>
      <c r="P98" s="918"/>
      <c r="Q98" s="918"/>
      <c r="R98" s="918"/>
      <c r="S98" s="1135"/>
      <c r="T98" s="1099"/>
      <c r="U98" s="1099"/>
      <c r="V98" s="1099"/>
      <c r="W98" s="1099"/>
      <c r="X98" s="1099"/>
      <c r="Y98" s="1099"/>
      <c r="Z98" s="1099"/>
      <c r="AA98" s="1099"/>
      <c r="AB98" s="1099"/>
      <c r="AC98" s="1099"/>
      <c r="AD98" s="1099"/>
      <c r="AE98" s="1099"/>
    </row>
    <row r="99" spans="1:36" s="865" customFormat="1" ht="12.75" customHeight="1" outlineLevel="1" x14ac:dyDescent="0.25">
      <c r="A99" s="870" t="s">
        <v>373</v>
      </c>
      <c r="B99" s="870" t="s">
        <v>366</v>
      </c>
      <c r="C99" s="1198">
        <f t="shared" si="21"/>
        <v>0</v>
      </c>
      <c r="D99" s="917"/>
      <c r="E99" s="917"/>
      <c r="F99" s="917"/>
      <c r="G99" s="917"/>
      <c r="H99" s="917"/>
      <c r="I99" s="917"/>
      <c r="J99" s="917"/>
      <c r="K99" s="917"/>
      <c r="L99" s="917"/>
      <c r="M99" s="917"/>
      <c r="N99" s="917"/>
      <c r="O99" s="918"/>
      <c r="P99" s="918"/>
      <c r="Q99" s="918"/>
      <c r="R99" s="918"/>
      <c r="S99" s="1135"/>
      <c r="T99" s="1099"/>
      <c r="U99" s="1099"/>
      <c r="V99" s="1099"/>
      <c r="W99" s="1099"/>
      <c r="X99" s="1099"/>
      <c r="Y99" s="1099"/>
      <c r="Z99" s="1099"/>
      <c r="AA99" s="1099"/>
      <c r="AB99" s="1099"/>
      <c r="AC99" s="1099"/>
      <c r="AD99" s="1099"/>
      <c r="AE99" s="1099"/>
    </row>
    <row r="100" spans="1:36" s="865" customFormat="1" ht="12.75" customHeight="1" outlineLevel="1" x14ac:dyDescent="0.25">
      <c r="A100" s="870" t="s">
        <v>374</v>
      </c>
      <c r="B100" s="870" t="s">
        <v>368</v>
      </c>
      <c r="C100" s="1198">
        <f t="shared" si="21"/>
        <v>0</v>
      </c>
      <c r="D100" s="917"/>
      <c r="E100" s="917"/>
      <c r="F100" s="917"/>
      <c r="G100" s="917"/>
      <c r="H100" s="917"/>
      <c r="I100" s="917"/>
      <c r="J100" s="917"/>
      <c r="K100" s="917"/>
      <c r="L100" s="917"/>
      <c r="M100" s="917"/>
      <c r="N100" s="917"/>
      <c r="O100" s="918"/>
      <c r="P100" s="918"/>
      <c r="Q100" s="918"/>
      <c r="R100" s="918"/>
      <c r="S100" s="1135"/>
      <c r="T100" s="1099"/>
      <c r="U100" s="1099"/>
      <c r="V100" s="1099"/>
      <c r="W100" s="1099"/>
      <c r="X100" s="1099"/>
      <c r="Y100" s="1099"/>
      <c r="Z100" s="1099"/>
      <c r="AA100" s="1099"/>
      <c r="AB100" s="1099"/>
      <c r="AC100" s="1099"/>
      <c r="AD100" s="1099"/>
      <c r="AE100" s="1099"/>
    </row>
    <row r="101" spans="1:36" s="865" customFormat="1" ht="12.75" customHeight="1" outlineLevel="1" x14ac:dyDescent="0.25">
      <c r="A101" s="870" t="s">
        <v>375</v>
      </c>
      <c r="B101" s="870" t="s">
        <v>366</v>
      </c>
      <c r="C101" s="1198">
        <f t="shared" si="21"/>
        <v>0</v>
      </c>
      <c r="D101" s="917"/>
      <c r="E101" s="917"/>
      <c r="F101" s="917"/>
      <c r="G101" s="917"/>
      <c r="H101" s="917"/>
      <c r="I101" s="917"/>
      <c r="J101" s="917"/>
      <c r="K101" s="917"/>
      <c r="L101" s="917"/>
      <c r="M101" s="917"/>
      <c r="N101" s="917"/>
      <c r="O101" s="918"/>
      <c r="P101" s="918"/>
      <c r="Q101" s="918"/>
      <c r="R101" s="918"/>
      <c r="S101" s="1135"/>
      <c r="T101" s="1099"/>
      <c r="U101" s="1099"/>
      <c r="V101" s="1099"/>
      <c r="W101" s="1099"/>
      <c r="X101" s="1099"/>
      <c r="Y101" s="1099"/>
      <c r="Z101" s="1099"/>
      <c r="AA101" s="1099"/>
      <c r="AB101" s="1099"/>
      <c r="AC101" s="1099"/>
      <c r="AD101" s="1099"/>
      <c r="AE101" s="1099"/>
    </row>
    <row r="102" spans="1:36" s="865" customFormat="1" ht="12.75" customHeight="1" outlineLevel="1" x14ac:dyDescent="0.25">
      <c r="A102" s="870" t="s">
        <v>376</v>
      </c>
      <c r="B102" s="870" t="s">
        <v>368</v>
      </c>
      <c r="C102" s="1198">
        <f t="shared" si="21"/>
        <v>2.5579007999999999E-4</v>
      </c>
      <c r="D102" s="917"/>
      <c r="E102" s="917"/>
      <c r="F102" s="917"/>
      <c r="G102" s="917"/>
      <c r="H102" s="917"/>
      <c r="I102" s="917"/>
      <c r="J102" s="917"/>
      <c r="K102" s="917"/>
      <c r="L102" s="917"/>
      <c r="M102" s="917"/>
      <c r="N102" s="917"/>
      <c r="O102" s="918"/>
      <c r="P102" s="918"/>
      <c r="Q102" s="918"/>
      <c r="R102" s="918"/>
      <c r="S102" s="1135"/>
      <c r="T102" s="1099"/>
      <c r="U102" s="1099"/>
      <c r="V102" s="1099"/>
      <c r="W102" s="1099"/>
      <c r="X102" s="1099"/>
      <c r="Y102" s="1099"/>
      <c r="Z102" s="1099"/>
      <c r="AA102" s="1099"/>
      <c r="AB102" s="1099"/>
      <c r="AC102" s="1099"/>
      <c r="AD102" s="1099"/>
      <c r="AE102" s="1099"/>
    </row>
    <row r="103" spans="1:36" s="865" customFormat="1" ht="12.75" customHeight="1" outlineLevel="1" x14ac:dyDescent="0.25">
      <c r="A103" s="870" t="s">
        <v>377</v>
      </c>
      <c r="B103" s="870" t="s">
        <v>365</v>
      </c>
      <c r="C103" s="1198">
        <f t="shared" si="21"/>
        <v>0</v>
      </c>
      <c r="D103" s="917"/>
      <c r="E103" s="917"/>
      <c r="F103" s="917"/>
      <c r="G103" s="917"/>
      <c r="H103" s="917"/>
      <c r="I103" s="917"/>
      <c r="J103" s="917"/>
      <c r="K103" s="917"/>
      <c r="L103" s="917"/>
      <c r="M103" s="917"/>
      <c r="N103" s="917"/>
      <c r="O103" s="918"/>
      <c r="P103" s="918"/>
      <c r="Q103" s="918"/>
      <c r="R103" s="918"/>
      <c r="S103" s="1135"/>
      <c r="T103" s="1099"/>
      <c r="U103" s="1099"/>
      <c r="V103" s="1099"/>
      <c r="W103" s="1099"/>
      <c r="X103" s="1099"/>
      <c r="Y103" s="1099"/>
      <c r="Z103" s="1099"/>
      <c r="AA103" s="1099"/>
      <c r="AB103" s="1099"/>
      <c r="AC103" s="1099"/>
      <c r="AD103" s="1099"/>
      <c r="AE103" s="1099"/>
    </row>
    <row r="104" spans="1:36" s="914" customFormat="1" ht="12.75" customHeight="1" outlineLevel="1" x14ac:dyDescent="0.25">
      <c r="A104" s="870" t="s">
        <v>367</v>
      </c>
      <c r="B104" s="870"/>
      <c r="C104" s="1198">
        <f t="shared" si="21"/>
        <v>0</v>
      </c>
      <c r="D104" s="917"/>
      <c r="E104" s="917"/>
      <c r="F104" s="917"/>
      <c r="G104" s="917"/>
      <c r="H104" s="917"/>
      <c r="I104" s="917"/>
      <c r="J104" s="917"/>
      <c r="K104" s="917"/>
      <c r="L104" s="917"/>
      <c r="M104" s="917"/>
      <c r="N104" s="917"/>
      <c r="O104" s="918"/>
      <c r="P104" s="918"/>
      <c r="Q104" s="918"/>
      <c r="R104" s="918"/>
      <c r="S104" s="1135"/>
      <c r="T104" s="1099"/>
      <c r="U104" s="1099"/>
      <c r="V104" s="1099"/>
      <c r="W104" s="1099"/>
      <c r="X104" s="1099"/>
      <c r="Y104" s="1099"/>
      <c r="Z104" s="1099"/>
      <c r="AA104" s="1099"/>
      <c r="AB104" s="1099"/>
      <c r="AC104" s="1099"/>
      <c r="AD104" s="1099"/>
      <c r="AE104" s="1099"/>
    </row>
    <row r="105" spans="1:36" s="865" customFormat="1" ht="12.75" customHeight="1" outlineLevel="1" x14ac:dyDescent="0.25">
      <c r="A105" s="884" t="s">
        <v>77</v>
      </c>
      <c r="B105" s="885" t="s">
        <v>206</v>
      </c>
      <c r="C105" s="903">
        <f t="shared" ref="C105:N105" si="22">SUM(C91:C103)</f>
        <v>2.5579007999999999E-4</v>
      </c>
      <c r="D105" s="919">
        <f t="shared" si="22"/>
        <v>0</v>
      </c>
      <c r="E105" s="919">
        <f t="shared" si="22"/>
        <v>0</v>
      </c>
      <c r="F105" s="919">
        <f t="shared" si="22"/>
        <v>0</v>
      </c>
      <c r="G105" s="919">
        <f t="shared" si="22"/>
        <v>0</v>
      </c>
      <c r="H105" s="919">
        <f t="shared" si="22"/>
        <v>0</v>
      </c>
      <c r="I105" s="919">
        <f t="shared" si="22"/>
        <v>0</v>
      </c>
      <c r="J105" s="919">
        <f t="shared" si="22"/>
        <v>0</v>
      </c>
      <c r="K105" s="919">
        <f t="shared" si="22"/>
        <v>0</v>
      </c>
      <c r="L105" s="919">
        <f t="shared" si="22"/>
        <v>0</v>
      </c>
      <c r="M105" s="919">
        <f t="shared" si="22"/>
        <v>0</v>
      </c>
      <c r="N105" s="919">
        <f t="shared" si="22"/>
        <v>0</v>
      </c>
      <c r="O105" s="919">
        <f t="shared" ref="O105" si="23">SUM(C105:E105)</f>
        <v>2.5579007999999999E-4</v>
      </c>
      <c r="P105" s="919">
        <f t="shared" ref="P105" si="24">SUM(F105:H105)</f>
        <v>0</v>
      </c>
      <c r="Q105" s="919">
        <f t="shared" ref="Q105" si="25">SUM(I105:K105)</f>
        <v>0</v>
      </c>
      <c r="R105" s="919">
        <f t="shared" ref="R105" si="26">SUM(L105:N105)</f>
        <v>0</v>
      </c>
      <c r="S105" s="1136">
        <f t="shared" ref="S105" si="27">SUM(O105:R105)</f>
        <v>2.5579007999999999E-4</v>
      </c>
      <c r="T105" s="1100"/>
      <c r="U105" s="1100"/>
      <c r="V105" s="1100"/>
      <c r="W105" s="1100"/>
      <c r="X105" s="1100"/>
      <c r="Y105" s="1100"/>
      <c r="Z105" s="1100"/>
      <c r="AA105" s="1100"/>
      <c r="AB105" s="1100"/>
      <c r="AC105" s="1100"/>
      <c r="AD105" s="1100"/>
      <c r="AE105" s="1101"/>
    </row>
    <row r="106" spans="1:36" ht="12.75" customHeight="1" outlineLevel="1" x14ac:dyDescent="0.25">
      <c r="T106" s="914"/>
      <c r="U106" s="914"/>
      <c r="V106" s="914"/>
      <c r="W106" s="914"/>
      <c r="X106" s="914"/>
      <c r="Y106" s="914"/>
      <c r="Z106" s="914"/>
      <c r="AA106" s="914"/>
      <c r="AB106" s="914"/>
      <c r="AC106" s="914"/>
      <c r="AD106" s="914"/>
      <c r="AE106" s="914"/>
      <c r="AF106" s="914"/>
      <c r="AG106" s="914"/>
      <c r="AH106" s="914"/>
      <c r="AI106" s="914"/>
      <c r="AJ106" s="914"/>
    </row>
    <row r="107" spans="1:36" x14ac:dyDescent="0.25">
      <c r="A107" s="1460" t="s">
        <v>210</v>
      </c>
      <c r="B107" s="1460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2">
        <f t="shared" ref="S107" si="28">S11</f>
        <v>2022</v>
      </c>
      <c r="T107" s="1084"/>
      <c r="U107" s="1084"/>
      <c r="V107" s="1084"/>
      <c r="W107" s="1084"/>
      <c r="X107" s="1121"/>
      <c r="Y107" s="1084"/>
      <c r="Z107" s="1084"/>
      <c r="AA107" s="1084"/>
      <c r="AB107" s="1084"/>
      <c r="AC107" s="1121"/>
      <c r="AD107" s="1121"/>
      <c r="AE107" s="1121"/>
      <c r="AF107" s="914"/>
      <c r="AG107" s="914"/>
      <c r="AH107" s="914"/>
      <c r="AI107" s="914"/>
      <c r="AJ107" s="914"/>
    </row>
    <row r="108" spans="1:36" s="860" customFormat="1" x14ac:dyDescent="0.25">
      <c r="A108" s="1461"/>
      <c r="B108" s="1461"/>
      <c r="C108" s="859" t="str">
        <f t="shared" ref="C108:R108" si="29">C12</f>
        <v>факт</v>
      </c>
      <c r="D108" s="859" t="str">
        <f t="shared" si="29"/>
        <v>факт</v>
      </c>
      <c r="E108" s="859" t="str">
        <f t="shared" si="29"/>
        <v>факт</v>
      </c>
      <c r="F108" s="859" t="str">
        <f t="shared" si="29"/>
        <v>факт</v>
      </c>
      <c r="G108" s="859" t="str">
        <f t="shared" si="29"/>
        <v>факт</v>
      </c>
      <c r="H108" s="859" t="str">
        <f t="shared" si="29"/>
        <v>факт</v>
      </c>
      <c r="I108" s="859" t="str">
        <f t="shared" si="29"/>
        <v>факт</v>
      </c>
      <c r="J108" s="859" t="str">
        <f t="shared" si="29"/>
        <v>факт</v>
      </c>
      <c r="K108" s="859" t="str">
        <f t="shared" si="29"/>
        <v>факт</v>
      </c>
      <c r="L108" s="859" t="str">
        <f t="shared" si="29"/>
        <v>факт</v>
      </c>
      <c r="M108" s="859" t="str">
        <f t="shared" si="29"/>
        <v>факт</v>
      </c>
      <c r="N108" s="859" t="str">
        <f t="shared" si="29"/>
        <v>факт</v>
      </c>
      <c r="O108" s="859" t="str">
        <f t="shared" si="29"/>
        <v>план</v>
      </c>
      <c r="P108" s="859" t="str">
        <f t="shared" si="29"/>
        <v>план</v>
      </c>
      <c r="Q108" s="859" t="str">
        <f t="shared" si="29"/>
        <v>план</v>
      </c>
      <c r="R108" s="859" t="str">
        <f t="shared" si="29"/>
        <v>план</v>
      </c>
      <c r="S108" s="1463"/>
      <c r="T108" s="1084"/>
      <c r="U108" s="1084"/>
      <c r="V108" s="1084"/>
      <c r="W108" s="1084"/>
      <c r="X108" s="1121"/>
      <c r="Y108" s="1084"/>
      <c r="Z108" s="1084"/>
      <c r="AA108" s="1084"/>
      <c r="AB108" s="1084"/>
      <c r="AC108" s="1121"/>
      <c r="AD108" s="1121"/>
      <c r="AE108" s="1121"/>
      <c r="AF108" s="899"/>
      <c r="AG108" s="899"/>
      <c r="AH108" s="899"/>
      <c r="AI108" s="899"/>
      <c r="AJ108" s="899"/>
    </row>
    <row r="109" spans="1:36" ht="12.75" customHeight="1" outlineLevel="1" x14ac:dyDescent="0.25">
      <c r="A109" s="870" t="s">
        <v>364</v>
      </c>
      <c r="B109" s="870" t="s">
        <v>364</v>
      </c>
      <c r="C109" s="882">
        <f t="shared" ref="C109:N111" si="30">(C57-C91)*C42</f>
        <v>656188.9638385924</v>
      </c>
      <c r="D109" s="882" t="e">
        <f t="shared" si="30"/>
        <v>#VALUE!</v>
      </c>
      <c r="E109" s="882" t="e">
        <f t="shared" si="30"/>
        <v>#DIV/0!</v>
      </c>
      <c r="F109" s="882" t="e">
        <f t="shared" si="30"/>
        <v>#DIV/0!</v>
      </c>
      <c r="G109" s="882" t="e">
        <f t="shared" si="30"/>
        <v>#DIV/0!</v>
      </c>
      <c r="H109" s="882" t="e">
        <f t="shared" si="30"/>
        <v>#DIV/0!</v>
      </c>
      <c r="I109" s="882" t="e">
        <f t="shared" si="30"/>
        <v>#DIV/0!</v>
      </c>
      <c r="J109" s="882" t="e">
        <f t="shared" si="30"/>
        <v>#DIV/0!</v>
      </c>
      <c r="K109" s="882" t="e">
        <f t="shared" si="30"/>
        <v>#DIV/0!</v>
      </c>
      <c r="L109" s="882" t="e">
        <f t="shared" si="30"/>
        <v>#DIV/0!</v>
      </c>
      <c r="M109" s="882" t="e">
        <f t="shared" si="30"/>
        <v>#DIV/0!</v>
      </c>
      <c r="N109" s="882" t="e">
        <f t="shared" si="30"/>
        <v>#DIV/0!</v>
      </c>
      <c r="O109" s="896" t="e">
        <f>SUM(C109:E109)</f>
        <v>#VALUE!</v>
      </c>
      <c r="P109" s="896" t="e">
        <f>SUM(F109:H109)</f>
        <v>#DIV/0!</v>
      </c>
      <c r="Q109" s="896" t="e">
        <f>SUM(I109:K109)</f>
        <v>#DIV/0!</v>
      </c>
      <c r="R109" s="896" t="e">
        <f>SUM(L109:N109)</f>
        <v>#DIV/0!</v>
      </c>
      <c r="S109" s="1137" t="e">
        <f>SUM(O109:R109)</f>
        <v>#VALUE!</v>
      </c>
      <c r="T109" s="1089"/>
      <c r="U109" s="1089"/>
      <c r="V109" s="1089"/>
      <c r="W109" s="1089"/>
      <c r="X109" s="1089"/>
      <c r="Y109" s="1089"/>
      <c r="Z109" s="1089"/>
      <c r="AA109" s="1089"/>
      <c r="AB109" s="1089"/>
      <c r="AC109" s="1089"/>
      <c r="AD109" s="1089"/>
      <c r="AE109" s="1089"/>
      <c r="AF109" s="865"/>
      <c r="AG109" s="865"/>
      <c r="AH109" s="914"/>
      <c r="AI109" s="914"/>
      <c r="AJ109" s="914"/>
    </row>
    <row r="110" spans="1:36" ht="12.75" customHeight="1" outlineLevel="1" x14ac:dyDescent="0.25">
      <c r="A110" s="870" t="s">
        <v>365</v>
      </c>
      <c r="B110" s="870" t="s">
        <v>365</v>
      </c>
      <c r="C110" s="882">
        <f t="shared" si="30"/>
        <v>189692.82432915785</v>
      </c>
      <c r="D110" s="882" t="e">
        <f t="shared" si="30"/>
        <v>#VALUE!</v>
      </c>
      <c r="E110" s="882" t="e">
        <f t="shared" si="30"/>
        <v>#DIV/0!</v>
      </c>
      <c r="F110" s="882" t="e">
        <f t="shared" si="30"/>
        <v>#DIV/0!</v>
      </c>
      <c r="G110" s="882" t="e">
        <f t="shared" si="30"/>
        <v>#DIV/0!</v>
      </c>
      <c r="H110" s="882" t="e">
        <f t="shared" si="30"/>
        <v>#DIV/0!</v>
      </c>
      <c r="I110" s="882" t="e">
        <f t="shared" si="30"/>
        <v>#DIV/0!</v>
      </c>
      <c r="J110" s="882" t="e">
        <f t="shared" si="30"/>
        <v>#DIV/0!</v>
      </c>
      <c r="K110" s="882" t="e">
        <f t="shared" si="30"/>
        <v>#DIV/0!</v>
      </c>
      <c r="L110" s="882" t="e">
        <f t="shared" si="30"/>
        <v>#DIV/0!</v>
      </c>
      <c r="M110" s="882" t="e">
        <f t="shared" si="30"/>
        <v>#DIV/0!</v>
      </c>
      <c r="N110" s="882" t="e">
        <f t="shared" si="30"/>
        <v>#DIV/0!</v>
      </c>
      <c r="O110" s="896" t="e">
        <f t="shared" ref="O110:O122" si="31">SUM(C110:E110)</f>
        <v>#VALUE!</v>
      </c>
      <c r="P110" s="896" t="e">
        <f t="shared" ref="P110:P122" si="32">SUM(F110:H110)</f>
        <v>#DIV/0!</v>
      </c>
      <c r="Q110" s="896" t="e">
        <f t="shared" ref="Q110:Q122" si="33">SUM(I110:K110)</f>
        <v>#DIV/0!</v>
      </c>
      <c r="R110" s="896" t="e">
        <f t="shared" ref="R110:R122" si="34">SUM(L110:N110)</f>
        <v>#DIV/0!</v>
      </c>
      <c r="S110" s="1137" t="e">
        <f t="shared" ref="S110:S122" si="35">SUM(O110:R110)</f>
        <v>#VALUE!</v>
      </c>
      <c r="T110" s="1089"/>
      <c r="U110" s="1089"/>
      <c r="V110" s="1089"/>
      <c r="W110" s="1089"/>
      <c r="X110" s="1089"/>
      <c r="Y110" s="1089"/>
      <c r="Z110" s="1089"/>
      <c r="AA110" s="1089"/>
      <c r="AB110" s="1089"/>
      <c r="AC110" s="1089"/>
      <c r="AD110" s="1089"/>
      <c r="AE110" s="1089"/>
      <c r="AF110" s="865"/>
      <c r="AG110" s="865"/>
      <c r="AH110" s="914"/>
      <c r="AI110" s="914"/>
      <c r="AJ110" s="914"/>
    </row>
    <row r="111" spans="1:36" ht="12.75" customHeight="1" outlineLevel="1" x14ac:dyDescent="0.25">
      <c r="A111" s="870" t="s">
        <v>366</v>
      </c>
      <c r="B111" s="870" t="s">
        <v>366</v>
      </c>
      <c r="C111" s="882">
        <f>(C59-C93)*C44</f>
        <v>4243814.2374654273</v>
      </c>
      <c r="D111" s="882" t="e">
        <f t="shared" si="30"/>
        <v>#VALUE!</v>
      </c>
      <c r="E111" s="882" t="e">
        <f>(E59-E93)*E44</f>
        <v>#DIV/0!</v>
      </c>
      <c r="F111" s="882" t="e">
        <f t="shared" si="30"/>
        <v>#DIV/0!</v>
      </c>
      <c r="G111" s="882" t="e">
        <f t="shared" si="30"/>
        <v>#DIV/0!</v>
      </c>
      <c r="H111" s="882" t="e">
        <f t="shared" si="30"/>
        <v>#DIV/0!</v>
      </c>
      <c r="I111" s="882" t="e">
        <f t="shared" si="30"/>
        <v>#DIV/0!</v>
      </c>
      <c r="J111" s="882" t="e">
        <f t="shared" si="30"/>
        <v>#DIV/0!</v>
      </c>
      <c r="K111" s="882" t="e">
        <f t="shared" si="30"/>
        <v>#DIV/0!</v>
      </c>
      <c r="L111" s="882" t="e">
        <f t="shared" si="30"/>
        <v>#DIV/0!</v>
      </c>
      <c r="M111" s="882" t="e">
        <f t="shared" si="30"/>
        <v>#DIV/0!</v>
      </c>
      <c r="N111" s="882" t="e">
        <f>(N59-N93)*N44</f>
        <v>#DIV/0!</v>
      </c>
      <c r="O111" s="896" t="e">
        <f t="shared" si="31"/>
        <v>#VALUE!</v>
      </c>
      <c r="P111" s="896" t="e">
        <f t="shared" si="32"/>
        <v>#DIV/0!</v>
      </c>
      <c r="Q111" s="896" t="e">
        <f t="shared" si="33"/>
        <v>#DIV/0!</v>
      </c>
      <c r="R111" s="896" t="e">
        <f t="shared" si="34"/>
        <v>#DIV/0!</v>
      </c>
      <c r="S111" s="1137" t="e">
        <f t="shared" si="35"/>
        <v>#VALUE!</v>
      </c>
      <c r="T111" s="1089"/>
      <c r="U111" s="1089"/>
      <c r="V111" s="1089"/>
      <c r="W111" s="1089"/>
      <c r="X111" s="1089"/>
      <c r="Y111" s="1089"/>
      <c r="Z111" s="1089"/>
      <c r="AA111" s="1089"/>
      <c r="AB111" s="1089"/>
      <c r="AC111" s="1089"/>
      <c r="AD111" s="1089"/>
      <c r="AE111" s="1089"/>
      <c r="AF111" s="865"/>
      <c r="AG111" s="865"/>
      <c r="AH111" s="914"/>
      <c r="AI111" s="914"/>
      <c r="AJ111" s="914"/>
    </row>
    <row r="112" spans="1:36" ht="12.75" customHeight="1" outlineLevel="1" x14ac:dyDescent="0.25">
      <c r="A112" s="870" t="s">
        <v>368</v>
      </c>
      <c r="B112" s="870" t="s">
        <v>366</v>
      </c>
      <c r="C112" s="882">
        <f t="shared" ref="C112:N122" si="36">(C60-C94)*C45</f>
        <v>394033.34210322873</v>
      </c>
      <c r="D112" s="882" t="e">
        <f t="shared" si="36"/>
        <v>#VALUE!</v>
      </c>
      <c r="E112" s="882" t="e">
        <f t="shared" si="36"/>
        <v>#DIV/0!</v>
      </c>
      <c r="F112" s="882" t="e">
        <f t="shared" si="36"/>
        <v>#DIV/0!</v>
      </c>
      <c r="G112" s="882" t="e">
        <f t="shared" si="36"/>
        <v>#DIV/0!</v>
      </c>
      <c r="H112" s="882" t="e">
        <f t="shared" si="36"/>
        <v>#DIV/0!</v>
      </c>
      <c r="I112" s="882" t="e">
        <f t="shared" si="36"/>
        <v>#DIV/0!</v>
      </c>
      <c r="J112" s="882" t="e">
        <f t="shared" si="36"/>
        <v>#DIV/0!</v>
      </c>
      <c r="K112" s="882" t="e">
        <f t="shared" si="36"/>
        <v>#DIV/0!</v>
      </c>
      <c r="L112" s="882" t="e">
        <f t="shared" si="36"/>
        <v>#DIV/0!</v>
      </c>
      <c r="M112" s="882" t="e">
        <f t="shared" si="36"/>
        <v>#DIV/0!</v>
      </c>
      <c r="N112" s="882" t="e">
        <f t="shared" si="36"/>
        <v>#DIV/0!</v>
      </c>
      <c r="O112" s="896" t="e">
        <f t="shared" si="31"/>
        <v>#VALUE!</v>
      </c>
      <c r="P112" s="896" t="e">
        <f t="shared" si="32"/>
        <v>#DIV/0!</v>
      </c>
      <c r="Q112" s="896" t="e">
        <f t="shared" si="33"/>
        <v>#DIV/0!</v>
      </c>
      <c r="R112" s="896" t="e">
        <f t="shared" si="34"/>
        <v>#DIV/0!</v>
      </c>
      <c r="S112" s="1137" t="e">
        <f t="shared" si="35"/>
        <v>#VALUE!</v>
      </c>
      <c r="T112" s="1089"/>
      <c r="U112" s="1089"/>
      <c r="V112" s="1089"/>
      <c r="W112" s="1089"/>
      <c r="X112" s="1089"/>
      <c r="Y112" s="1089"/>
      <c r="Z112" s="1089"/>
      <c r="AA112" s="1089"/>
      <c r="AB112" s="1089"/>
      <c r="AC112" s="1089"/>
      <c r="AD112" s="1089"/>
      <c r="AE112" s="1089"/>
      <c r="AF112" s="865"/>
      <c r="AG112" s="865"/>
      <c r="AH112" s="914"/>
      <c r="AI112" s="914"/>
      <c r="AJ112" s="914"/>
    </row>
    <row r="113" spans="1:36" ht="12.75" customHeight="1" outlineLevel="1" x14ac:dyDescent="0.25">
      <c r="A113" s="870" t="s">
        <v>369</v>
      </c>
      <c r="B113" s="870" t="s">
        <v>368</v>
      </c>
      <c r="C113" s="882">
        <f t="shared" si="36"/>
        <v>48202.338712338023</v>
      </c>
      <c r="D113" s="882" t="e">
        <f t="shared" si="36"/>
        <v>#VALUE!</v>
      </c>
      <c r="E113" s="882" t="e">
        <f t="shared" si="36"/>
        <v>#DIV/0!</v>
      </c>
      <c r="F113" s="882" t="e">
        <f t="shared" si="36"/>
        <v>#DIV/0!</v>
      </c>
      <c r="G113" s="882" t="e">
        <f t="shared" si="36"/>
        <v>#DIV/0!</v>
      </c>
      <c r="H113" s="882" t="e">
        <f t="shared" si="36"/>
        <v>#DIV/0!</v>
      </c>
      <c r="I113" s="882" t="e">
        <f t="shared" si="36"/>
        <v>#DIV/0!</v>
      </c>
      <c r="J113" s="882" t="e">
        <f t="shared" si="36"/>
        <v>#DIV/0!</v>
      </c>
      <c r="K113" s="882" t="e">
        <f t="shared" si="36"/>
        <v>#DIV/0!</v>
      </c>
      <c r="L113" s="882" t="e">
        <f t="shared" si="36"/>
        <v>#DIV/0!</v>
      </c>
      <c r="M113" s="882" t="e">
        <f t="shared" si="36"/>
        <v>#DIV/0!</v>
      </c>
      <c r="N113" s="882" t="e">
        <f t="shared" si="36"/>
        <v>#DIV/0!</v>
      </c>
      <c r="O113" s="896" t="e">
        <f t="shared" si="31"/>
        <v>#VALUE!</v>
      </c>
      <c r="P113" s="896" t="e">
        <f t="shared" si="32"/>
        <v>#DIV/0!</v>
      </c>
      <c r="Q113" s="896" t="e">
        <f t="shared" si="33"/>
        <v>#DIV/0!</v>
      </c>
      <c r="R113" s="896" t="e">
        <f t="shared" si="34"/>
        <v>#DIV/0!</v>
      </c>
      <c r="S113" s="1137" t="e">
        <f t="shared" si="35"/>
        <v>#VALUE!</v>
      </c>
      <c r="T113" s="1089"/>
      <c r="U113" s="1089"/>
      <c r="V113" s="1089"/>
      <c r="W113" s="1089"/>
      <c r="X113" s="1089"/>
      <c r="Y113" s="1089"/>
      <c r="Z113" s="1089"/>
      <c r="AA113" s="1089"/>
      <c r="AB113" s="1089"/>
      <c r="AC113" s="1089"/>
      <c r="AD113" s="1089"/>
      <c r="AE113" s="1089"/>
      <c r="AF113" s="865"/>
      <c r="AG113" s="865"/>
      <c r="AH113" s="914"/>
      <c r="AI113" s="914"/>
      <c r="AJ113" s="914"/>
    </row>
    <row r="114" spans="1:36" ht="12.75" customHeight="1" outlineLevel="1" x14ac:dyDescent="0.25">
      <c r="A114" s="870" t="s">
        <v>370</v>
      </c>
      <c r="B114" s="870" t="s">
        <v>368</v>
      </c>
      <c r="C114" s="882">
        <f t="shared" si="36"/>
        <v>435760.22295694088</v>
      </c>
      <c r="D114" s="882" t="e">
        <f t="shared" si="36"/>
        <v>#VALUE!</v>
      </c>
      <c r="E114" s="882" t="e">
        <f t="shared" si="36"/>
        <v>#DIV/0!</v>
      </c>
      <c r="F114" s="882" t="e">
        <f t="shared" si="36"/>
        <v>#DIV/0!</v>
      </c>
      <c r="G114" s="882" t="e">
        <f t="shared" si="36"/>
        <v>#DIV/0!</v>
      </c>
      <c r="H114" s="882" t="e">
        <f t="shared" si="36"/>
        <v>#DIV/0!</v>
      </c>
      <c r="I114" s="882" t="e">
        <f t="shared" si="36"/>
        <v>#DIV/0!</v>
      </c>
      <c r="J114" s="882" t="e">
        <f t="shared" si="36"/>
        <v>#DIV/0!</v>
      </c>
      <c r="K114" s="882" t="e">
        <f t="shared" si="36"/>
        <v>#DIV/0!</v>
      </c>
      <c r="L114" s="882" t="e">
        <f t="shared" si="36"/>
        <v>#DIV/0!</v>
      </c>
      <c r="M114" s="882" t="e">
        <f t="shared" si="36"/>
        <v>#DIV/0!</v>
      </c>
      <c r="N114" s="882" t="e">
        <f t="shared" si="36"/>
        <v>#DIV/0!</v>
      </c>
      <c r="O114" s="896" t="e">
        <f t="shared" si="31"/>
        <v>#VALUE!</v>
      </c>
      <c r="P114" s="896" t="e">
        <f t="shared" si="32"/>
        <v>#DIV/0!</v>
      </c>
      <c r="Q114" s="896" t="e">
        <f t="shared" si="33"/>
        <v>#DIV/0!</v>
      </c>
      <c r="R114" s="896" t="e">
        <f t="shared" si="34"/>
        <v>#DIV/0!</v>
      </c>
      <c r="S114" s="1137" t="e">
        <f t="shared" si="35"/>
        <v>#VALUE!</v>
      </c>
      <c r="T114" s="1089"/>
      <c r="U114" s="1089"/>
      <c r="V114" s="1089"/>
      <c r="W114" s="1089"/>
      <c r="X114" s="1089"/>
      <c r="Y114" s="1089"/>
      <c r="Z114" s="1089"/>
      <c r="AA114" s="1089"/>
      <c r="AB114" s="1089"/>
      <c r="AC114" s="1089"/>
      <c r="AD114" s="1089"/>
      <c r="AE114" s="1089"/>
      <c r="AF114" s="865"/>
      <c r="AG114" s="865"/>
      <c r="AH114" s="914"/>
      <c r="AI114" s="914"/>
      <c r="AJ114" s="914"/>
    </row>
    <row r="115" spans="1:36" ht="12.75" customHeight="1" outlineLevel="1" x14ac:dyDescent="0.25">
      <c r="A115" s="870" t="s">
        <v>371</v>
      </c>
      <c r="B115" s="870" t="s">
        <v>368</v>
      </c>
      <c r="C115" s="882">
        <f t="shared" si="36"/>
        <v>501588.27316682209</v>
      </c>
      <c r="D115" s="882" t="e">
        <f t="shared" si="36"/>
        <v>#VALUE!</v>
      </c>
      <c r="E115" s="882" t="e">
        <f t="shared" si="36"/>
        <v>#DIV/0!</v>
      </c>
      <c r="F115" s="882" t="e">
        <f t="shared" si="36"/>
        <v>#DIV/0!</v>
      </c>
      <c r="G115" s="882" t="e">
        <f t="shared" si="36"/>
        <v>#DIV/0!</v>
      </c>
      <c r="H115" s="882" t="e">
        <f t="shared" si="36"/>
        <v>#DIV/0!</v>
      </c>
      <c r="I115" s="882" t="e">
        <f t="shared" si="36"/>
        <v>#DIV/0!</v>
      </c>
      <c r="J115" s="882" t="e">
        <f t="shared" si="36"/>
        <v>#DIV/0!</v>
      </c>
      <c r="K115" s="882" t="e">
        <f t="shared" si="36"/>
        <v>#DIV/0!</v>
      </c>
      <c r="L115" s="882" t="e">
        <f t="shared" si="36"/>
        <v>#DIV/0!</v>
      </c>
      <c r="M115" s="882" t="e">
        <f t="shared" si="36"/>
        <v>#DIV/0!</v>
      </c>
      <c r="N115" s="882" t="e">
        <f t="shared" si="36"/>
        <v>#DIV/0!</v>
      </c>
      <c r="O115" s="896" t="e">
        <f t="shared" si="31"/>
        <v>#VALUE!</v>
      </c>
      <c r="P115" s="896" t="e">
        <f t="shared" si="32"/>
        <v>#DIV/0!</v>
      </c>
      <c r="Q115" s="896" t="e">
        <f t="shared" si="33"/>
        <v>#DIV/0!</v>
      </c>
      <c r="R115" s="896" t="e">
        <f t="shared" si="34"/>
        <v>#DIV/0!</v>
      </c>
      <c r="S115" s="1137" t="e">
        <f t="shared" si="35"/>
        <v>#VALUE!</v>
      </c>
      <c r="T115" s="1089"/>
      <c r="U115" s="1089"/>
      <c r="V115" s="1089"/>
      <c r="W115" s="1089"/>
      <c r="X115" s="1089"/>
      <c r="Y115" s="1089"/>
      <c r="Z115" s="1089"/>
      <c r="AA115" s="1089"/>
      <c r="AB115" s="1089"/>
      <c r="AC115" s="1089"/>
      <c r="AD115" s="1089"/>
      <c r="AE115" s="1089"/>
      <c r="AF115" s="865"/>
      <c r="AG115" s="865"/>
      <c r="AH115" s="914"/>
      <c r="AI115" s="914"/>
      <c r="AJ115" s="914"/>
    </row>
    <row r="116" spans="1:36" ht="12.75" customHeight="1" outlineLevel="1" x14ac:dyDescent="0.25">
      <c r="A116" s="870" t="s">
        <v>372</v>
      </c>
      <c r="B116" s="870" t="s">
        <v>368</v>
      </c>
      <c r="C116" s="882">
        <f t="shared" si="36"/>
        <v>747378.64685947669</v>
      </c>
      <c r="D116" s="882" t="e">
        <f t="shared" si="36"/>
        <v>#VALUE!</v>
      </c>
      <c r="E116" s="882" t="e">
        <f t="shared" si="36"/>
        <v>#DIV/0!</v>
      </c>
      <c r="F116" s="882" t="e">
        <f t="shared" si="36"/>
        <v>#DIV/0!</v>
      </c>
      <c r="G116" s="882" t="e">
        <f t="shared" si="36"/>
        <v>#DIV/0!</v>
      </c>
      <c r="H116" s="882" t="e">
        <f t="shared" si="36"/>
        <v>#DIV/0!</v>
      </c>
      <c r="I116" s="882" t="e">
        <f t="shared" si="36"/>
        <v>#DIV/0!</v>
      </c>
      <c r="J116" s="882" t="e">
        <f t="shared" si="36"/>
        <v>#DIV/0!</v>
      </c>
      <c r="K116" s="882" t="e">
        <f t="shared" si="36"/>
        <v>#DIV/0!</v>
      </c>
      <c r="L116" s="882" t="e">
        <f t="shared" si="36"/>
        <v>#DIV/0!</v>
      </c>
      <c r="M116" s="882" t="e">
        <f t="shared" si="36"/>
        <v>#DIV/0!</v>
      </c>
      <c r="N116" s="882" t="e">
        <f t="shared" si="36"/>
        <v>#DIV/0!</v>
      </c>
      <c r="O116" s="896" t="e">
        <f t="shared" si="31"/>
        <v>#VALUE!</v>
      </c>
      <c r="P116" s="896" t="e">
        <f t="shared" si="32"/>
        <v>#DIV/0!</v>
      </c>
      <c r="Q116" s="896" t="e">
        <f t="shared" si="33"/>
        <v>#DIV/0!</v>
      </c>
      <c r="R116" s="896" t="e">
        <f t="shared" si="34"/>
        <v>#DIV/0!</v>
      </c>
      <c r="S116" s="1137" t="e">
        <f t="shared" si="35"/>
        <v>#VALUE!</v>
      </c>
      <c r="T116" s="1089"/>
      <c r="U116" s="1089"/>
      <c r="V116" s="1089"/>
      <c r="W116" s="1089"/>
      <c r="X116" s="1089"/>
      <c r="Y116" s="1089"/>
      <c r="Z116" s="1089"/>
      <c r="AA116" s="1089"/>
      <c r="AB116" s="1089"/>
      <c r="AC116" s="1089"/>
      <c r="AD116" s="1089"/>
      <c r="AE116" s="1089"/>
      <c r="AF116" s="865"/>
      <c r="AG116" s="865"/>
      <c r="AH116" s="914"/>
      <c r="AI116" s="914"/>
      <c r="AJ116" s="914"/>
    </row>
    <row r="117" spans="1:36" ht="12.75" customHeight="1" outlineLevel="1" x14ac:dyDescent="0.25">
      <c r="A117" s="870" t="s">
        <v>373</v>
      </c>
      <c r="B117" s="870" t="s">
        <v>366</v>
      </c>
      <c r="C117" s="882">
        <f t="shared" si="36"/>
        <v>301784.03870547836</v>
      </c>
      <c r="D117" s="882" t="e">
        <f t="shared" si="36"/>
        <v>#VALUE!</v>
      </c>
      <c r="E117" s="882" t="e">
        <f t="shared" si="36"/>
        <v>#DIV/0!</v>
      </c>
      <c r="F117" s="882" t="e">
        <f t="shared" si="36"/>
        <v>#DIV/0!</v>
      </c>
      <c r="G117" s="882" t="e">
        <f t="shared" si="36"/>
        <v>#DIV/0!</v>
      </c>
      <c r="H117" s="882" t="e">
        <f t="shared" si="36"/>
        <v>#DIV/0!</v>
      </c>
      <c r="I117" s="882" t="e">
        <f t="shared" si="36"/>
        <v>#DIV/0!</v>
      </c>
      <c r="J117" s="882" t="e">
        <f t="shared" si="36"/>
        <v>#DIV/0!</v>
      </c>
      <c r="K117" s="882" t="e">
        <f t="shared" si="36"/>
        <v>#DIV/0!</v>
      </c>
      <c r="L117" s="882" t="e">
        <f t="shared" si="36"/>
        <v>#DIV/0!</v>
      </c>
      <c r="M117" s="882" t="e">
        <f t="shared" si="36"/>
        <v>#DIV/0!</v>
      </c>
      <c r="N117" s="882" t="e">
        <f t="shared" si="36"/>
        <v>#DIV/0!</v>
      </c>
      <c r="O117" s="896" t="e">
        <f t="shared" si="31"/>
        <v>#VALUE!</v>
      </c>
      <c r="P117" s="896" t="e">
        <f t="shared" si="32"/>
        <v>#DIV/0!</v>
      </c>
      <c r="Q117" s="896" t="e">
        <f t="shared" si="33"/>
        <v>#DIV/0!</v>
      </c>
      <c r="R117" s="896" t="e">
        <f t="shared" si="34"/>
        <v>#DIV/0!</v>
      </c>
      <c r="S117" s="1137" t="e">
        <f t="shared" si="35"/>
        <v>#VALUE!</v>
      </c>
      <c r="T117" s="1089"/>
      <c r="U117" s="1089"/>
      <c r="V117" s="1089"/>
      <c r="W117" s="1089"/>
      <c r="X117" s="1089"/>
      <c r="Y117" s="1089"/>
      <c r="Z117" s="1089"/>
      <c r="AA117" s="1089"/>
      <c r="AB117" s="1089"/>
      <c r="AC117" s="1089"/>
      <c r="AD117" s="1089"/>
      <c r="AE117" s="1089"/>
      <c r="AF117" s="865"/>
      <c r="AG117" s="865"/>
      <c r="AH117" s="914"/>
      <c r="AI117" s="914"/>
      <c r="AJ117" s="914"/>
    </row>
    <row r="118" spans="1:36" ht="12.75" customHeight="1" outlineLevel="1" x14ac:dyDescent="0.25">
      <c r="A118" s="870" t="s">
        <v>374</v>
      </c>
      <c r="B118" s="870" t="s">
        <v>368</v>
      </c>
      <c r="C118" s="882">
        <f t="shared" si="36"/>
        <v>524581.3427824775</v>
      </c>
      <c r="D118" s="882" t="e">
        <f t="shared" si="36"/>
        <v>#VALUE!</v>
      </c>
      <c r="E118" s="882" t="e">
        <f t="shared" si="36"/>
        <v>#DIV/0!</v>
      </c>
      <c r="F118" s="882" t="e">
        <f t="shared" si="36"/>
        <v>#DIV/0!</v>
      </c>
      <c r="G118" s="882" t="e">
        <f t="shared" si="36"/>
        <v>#DIV/0!</v>
      </c>
      <c r="H118" s="882" t="e">
        <f t="shared" si="36"/>
        <v>#DIV/0!</v>
      </c>
      <c r="I118" s="882" t="e">
        <f t="shared" si="36"/>
        <v>#DIV/0!</v>
      </c>
      <c r="J118" s="882" t="e">
        <f t="shared" si="36"/>
        <v>#DIV/0!</v>
      </c>
      <c r="K118" s="882" t="e">
        <f t="shared" si="36"/>
        <v>#DIV/0!</v>
      </c>
      <c r="L118" s="882" t="e">
        <f t="shared" si="36"/>
        <v>#DIV/0!</v>
      </c>
      <c r="M118" s="882" t="e">
        <f t="shared" si="36"/>
        <v>#DIV/0!</v>
      </c>
      <c r="N118" s="882" t="e">
        <f t="shared" si="36"/>
        <v>#DIV/0!</v>
      </c>
      <c r="O118" s="896" t="e">
        <f t="shared" si="31"/>
        <v>#VALUE!</v>
      </c>
      <c r="P118" s="896" t="e">
        <f t="shared" si="32"/>
        <v>#DIV/0!</v>
      </c>
      <c r="Q118" s="896" t="e">
        <f t="shared" si="33"/>
        <v>#DIV/0!</v>
      </c>
      <c r="R118" s="896" t="e">
        <f t="shared" si="34"/>
        <v>#DIV/0!</v>
      </c>
      <c r="S118" s="1137" t="e">
        <f t="shared" si="35"/>
        <v>#VALUE!</v>
      </c>
      <c r="T118" s="1089"/>
      <c r="U118" s="1089"/>
      <c r="V118" s="1089"/>
      <c r="W118" s="1089"/>
      <c r="X118" s="1089"/>
      <c r="Y118" s="1089"/>
      <c r="Z118" s="1089"/>
      <c r="AA118" s="1089"/>
      <c r="AB118" s="1089"/>
      <c r="AC118" s="1089"/>
      <c r="AD118" s="1089"/>
      <c r="AE118" s="1089"/>
      <c r="AF118" s="865"/>
      <c r="AG118" s="865"/>
      <c r="AH118" s="914"/>
      <c r="AI118" s="914"/>
      <c r="AJ118" s="914"/>
    </row>
    <row r="119" spans="1:36" ht="12.75" customHeight="1" outlineLevel="1" x14ac:dyDescent="0.25">
      <c r="A119" s="870" t="s">
        <v>375</v>
      </c>
      <c r="B119" s="870" t="s">
        <v>366</v>
      </c>
      <c r="C119" s="882">
        <f t="shared" si="36"/>
        <v>24585.962992643676</v>
      </c>
      <c r="D119" s="882" t="e">
        <f t="shared" si="36"/>
        <v>#VALUE!</v>
      </c>
      <c r="E119" s="882" t="e">
        <f t="shared" si="36"/>
        <v>#DIV/0!</v>
      </c>
      <c r="F119" s="882" t="e">
        <f t="shared" si="36"/>
        <v>#DIV/0!</v>
      </c>
      <c r="G119" s="882" t="e">
        <f t="shared" si="36"/>
        <v>#DIV/0!</v>
      </c>
      <c r="H119" s="882" t="e">
        <f t="shared" si="36"/>
        <v>#DIV/0!</v>
      </c>
      <c r="I119" s="882" t="e">
        <f t="shared" si="36"/>
        <v>#DIV/0!</v>
      </c>
      <c r="J119" s="882" t="e">
        <f t="shared" si="36"/>
        <v>#DIV/0!</v>
      </c>
      <c r="K119" s="882" t="e">
        <f t="shared" si="36"/>
        <v>#DIV/0!</v>
      </c>
      <c r="L119" s="882" t="e">
        <f t="shared" si="36"/>
        <v>#DIV/0!</v>
      </c>
      <c r="M119" s="882" t="e">
        <f t="shared" si="36"/>
        <v>#DIV/0!</v>
      </c>
      <c r="N119" s="882" t="e">
        <f t="shared" si="36"/>
        <v>#DIV/0!</v>
      </c>
      <c r="O119" s="896" t="e">
        <f t="shared" si="31"/>
        <v>#VALUE!</v>
      </c>
      <c r="P119" s="896" t="e">
        <f t="shared" si="32"/>
        <v>#DIV/0!</v>
      </c>
      <c r="Q119" s="896" t="e">
        <f t="shared" si="33"/>
        <v>#DIV/0!</v>
      </c>
      <c r="R119" s="896" t="e">
        <f t="shared" si="34"/>
        <v>#DIV/0!</v>
      </c>
      <c r="S119" s="1137" t="e">
        <f t="shared" si="35"/>
        <v>#VALUE!</v>
      </c>
      <c r="T119" s="1089"/>
      <c r="U119" s="1089"/>
      <c r="V119" s="1089"/>
      <c r="W119" s="1089"/>
      <c r="X119" s="1089"/>
      <c r="Y119" s="1089"/>
      <c r="Z119" s="1089"/>
      <c r="AA119" s="1089"/>
      <c r="AB119" s="1089"/>
      <c r="AC119" s="1089"/>
      <c r="AD119" s="1089"/>
      <c r="AE119" s="1089"/>
      <c r="AF119" s="865"/>
      <c r="AG119" s="865"/>
      <c r="AH119" s="914"/>
      <c r="AI119" s="914"/>
      <c r="AJ119" s="914"/>
    </row>
    <row r="120" spans="1:36" ht="12.75" customHeight="1" outlineLevel="1" x14ac:dyDescent="0.25">
      <c r="A120" s="870" t="s">
        <v>376</v>
      </c>
      <c r="B120" s="870" t="s">
        <v>368</v>
      </c>
      <c r="C120" s="882">
        <f t="shared" si="36"/>
        <v>31019.222196951308</v>
      </c>
      <c r="D120" s="882" t="e">
        <f t="shared" si="36"/>
        <v>#VALUE!</v>
      </c>
      <c r="E120" s="882" t="e">
        <f t="shared" si="36"/>
        <v>#DIV/0!</v>
      </c>
      <c r="F120" s="882" t="e">
        <f t="shared" si="36"/>
        <v>#DIV/0!</v>
      </c>
      <c r="G120" s="882" t="e">
        <f t="shared" si="36"/>
        <v>#DIV/0!</v>
      </c>
      <c r="H120" s="882" t="e">
        <f t="shared" si="36"/>
        <v>#DIV/0!</v>
      </c>
      <c r="I120" s="882" t="e">
        <f t="shared" si="36"/>
        <v>#DIV/0!</v>
      </c>
      <c r="J120" s="882" t="e">
        <f t="shared" si="36"/>
        <v>#DIV/0!</v>
      </c>
      <c r="K120" s="882" t="e">
        <f t="shared" si="36"/>
        <v>#DIV/0!</v>
      </c>
      <c r="L120" s="882" t="e">
        <f t="shared" si="36"/>
        <v>#DIV/0!</v>
      </c>
      <c r="M120" s="882" t="e">
        <f t="shared" si="36"/>
        <v>#DIV/0!</v>
      </c>
      <c r="N120" s="882" t="e">
        <f t="shared" si="36"/>
        <v>#DIV/0!</v>
      </c>
      <c r="O120" s="896" t="e">
        <f t="shared" si="31"/>
        <v>#VALUE!</v>
      </c>
      <c r="P120" s="896" t="e">
        <f t="shared" si="32"/>
        <v>#DIV/0!</v>
      </c>
      <c r="Q120" s="896" t="e">
        <f t="shared" si="33"/>
        <v>#DIV/0!</v>
      </c>
      <c r="R120" s="896" t="e">
        <f t="shared" si="34"/>
        <v>#DIV/0!</v>
      </c>
      <c r="S120" s="1137" t="e">
        <f t="shared" si="35"/>
        <v>#VALUE!</v>
      </c>
      <c r="T120" s="1089"/>
      <c r="U120" s="1089"/>
      <c r="V120" s="1089"/>
      <c r="W120" s="1089"/>
      <c r="X120" s="1089"/>
      <c r="Y120" s="1089"/>
      <c r="Z120" s="1089"/>
      <c r="AA120" s="1089"/>
      <c r="AB120" s="1089"/>
      <c r="AC120" s="1089"/>
      <c r="AD120" s="1089"/>
      <c r="AE120" s="1089"/>
      <c r="AF120" s="865"/>
      <c r="AG120" s="865"/>
      <c r="AH120" s="914"/>
      <c r="AI120" s="914"/>
      <c r="AJ120" s="914"/>
    </row>
    <row r="121" spans="1:36" ht="12.75" customHeight="1" outlineLevel="1" x14ac:dyDescent="0.25">
      <c r="A121" s="870" t="s">
        <v>377</v>
      </c>
      <c r="B121" s="870" t="s">
        <v>365</v>
      </c>
      <c r="C121" s="882">
        <f t="shared" si="36"/>
        <v>0</v>
      </c>
      <c r="D121" s="882" t="e">
        <f t="shared" si="36"/>
        <v>#VALUE!</v>
      </c>
      <c r="E121" s="882" t="e">
        <f t="shared" si="36"/>
        <v>#DIV/0!</v>
      </c>
      <c r="F121" s="882" t="e">
        <f t="shared" si="36"/>
        <v>#DIV/0!</v>
      </c>
      <c r="G121" s="882" t="e">
        <f t="shared" si="36"/>
        <v>#DIV/0!</v>
      </c>
      <c r="H121" s="882" t="e">
        <f t="shared" si="36"/>
        <v>#DIV/0!</v>
      </c>
      <c r="I121" s="882" t="e">
        <f t="shared" si="36"/>
        <v>#DIV/0!</v>
      </c>
      <c r="J121" s="882" t="e">
        <f t="shared" si="36"/>
        <v>#DIV/0!</v>
      </c>
      <c r="K121" s="882" t="e">
        <f t="shared" si="36"/>
        <v>#DIV/0!</v>
      </c>
      <c r="L121" s="882" t="e">
        <f t="shared" si="36"/>
        <v>#DIV/0!</v>
      </c>
      <c r="M121" s="882" t="e">
        <f t="shared" si="36"/>
        <v>#DIV/0!</v>
      </c>
      <c r="N121" s="882" t="e">
        <f t="shared" si="36"/>
        <v>#DIV/0!</v>
      </c>
      <c r="O121" s="896" t="e">
        <f t="shared" si="31"/>
        <v>#VALUE!</v>
      </c>
      <c r="P121" s="896" t="e">
        <f t="shared" si="32"/>
        <v>#DIV/0!</v>
      </c>
      <c r="Q121" s="896" t="e">
        <f t="shared" si="33"/>
        <v>#DIV/0!</v>
      </c>
      <c r="R121" s="896" t="e">
        <f t="shared" si="34"/>
        <v>#DIV/0!</v>
      </c>
      <c r="S121" s="1137" t="e">
        <f t="shared" si="35"/>
        <v>#VALUE!</v>
      </c>
      <c r="T121" s="1089"/>
      <c r="U121" s="1089"/>
      <c r="V121" s="1089"/>
      <c r="W121" s="1089"/>
      <c r="X121" s="1089"/>
      <c r="Y121" s="1089"/>
      <c r="Z121" s="1089"/>
      <c r="AA121" s="1089"/>
      <c r="AB121" s="1089"/>
      <c r="AC121" s="1089"/>
      <c r="AD121" s="1089"/>
      <c r="AE121" s="1089"/>
      <c r="AF121" s="865"/>
      <c r="AG121" s="865"/>
      <c r="AH121" s="914"/>
      <c r="AI121" s="914"/>
      <c r="AJ121" s="914"/>
    </row>
    <row r="122" spans="1:36" s="914" customFormat="1" ht="12.75" customHeight="1" outlineLevel="1" x14ac:dyDescent="0.25">
      <c r="A122" s="870" t="s">
        <v>367</v>
      </c>
      <c r="B122" s="870"/>
      <c r="C122" s="882">
        <f>(C70-C104)*C55</f>
        <v>0</v>
      </c>
      <c r="D122" s="882">
        <f t="shared" si="36"/>
        <v>0</v>
      </c>
      <c r="E122" s="882">
        <f t="shared" si="36"/>
        <v>0</v>
      </c>
      <c r="F122" s="882">
        <f t="shared" si="36"/>
        <v>0</v>
      </c>
      <c r="G122" s="882">
        <f t="shared" si="36"/>
        <v>0</v>
      </c>
      <c r="H122" s="882">
        <f t="shared" si="36"/>
        <v>0</v>
      </c>
      <c r="I122" s="882">
        <f t="shared" si="36"/>
        <v>0</v>
      </c>
      <c r="J122" s="882">
        <f t="shared" si="36"/>
        <v>0</v>
      </c>
      <c r="K122" s="882">
        <f t="shared" si="36"/>
        <v>0</v>
      </c>
      <c r="L122" s="882">
        <f t="shared" si="36"/>
        <v>0</v>
      </c>
      <c r="M122" s="882">
        <f t="shared" si="36"/>
        <v>0</v>
      </c>
      <c r="N122" s="882">
        <f t="shared" si="36"/>
        <v>0</v>
      </c>
      <c r="O122" s="896">
        <f t="shared" si="31"/>
        <v>0</v>
      </c>
      <c r="P122" s="896">
        <f t="shared" si="32"/>
        <v>0</v>
      </c>
      <c r="Q122" s="896">
        <f t="shared" si="33"/>
        <v>0</v>
      </c>
      <c r="R122" s="896">
        <f t="shared" si="34"/>
        <v>0</v>
      </c>
      <c r="S122" s="1137">
        <f t="shared" si="35"/>
        <v>0</v>
      </c>
      <c r="T122" s="1089"/>
      <c r="U122" s="1089"/>
      <c r="V122" s="1089"/>
      <c r="W122" s="1089"/>
      <c r="X122" s="1089"/>
      <c r="Y122" s="1089"/>
      <c r="Z122" s="1089"/>
      <c r="AA122" s="1089"/>
      <c r="AB122" s="1089"/>
      <c r="AC122" s="1089"/>
      <c r="AD122" s="1089"/>
      <c r="AE122" s="1089"/>
      <c r="AF122" s="865"/>
      <c r="AG122" s="865"/>
    </row>
    <row r="123" spans="1:36" x14ac:dyDescent="0.25">
      <c r="A123" s="884" t="s">
        <v>77</v>
      </c>
      <c r="B123" s="885" t="s">
        <v>211</v>
      </c>
      <c r="C123" s="887">
        <f>SUM(C109:C122)</f>
        <v>8098629.4161095358</v>
      </c>
      <c r="D123" s="887" t="e">
        <f t="shared" ref="D123:S123" si="37">SUM(D109:D122)</f>
        <v>#VALUE!</v>
      </c>
      <c r="E123" s="887" t="e">
        <f t="shared" si="37"/>
        <v>#DIV/0!</v>
      </c>
      <c r="F123" s="887" t="e">
        <f t="shared" si="37"/>
        <v>#DIV/0!</v>
      </c>
      <c r="G123" s="887" t="e">
        <f t="shared" si="37"/>
        <v>#DIV/0!</v>
      </c>
      <c r="H123" s="887" t="e">
        <f t="shared" si="37"/>
        <v>#DIV/0!</v>
      </c>
      <c r="I123" s="887" t="e">
        <f t="shared" si="37"/>
        <v>#DIV/0!</v>
      </c>
      <c r="J123" s="887" t="e">
        <f t="shared" si="37"/>
        <v>#DIV/0!</v>
      </c>
      <c r="K123" s="887" t="e">
        <f t="shared" si="37"/>
        <v>#DIV/0!</v>
      </c>
      <c r="L123" s="887" t="e">
        <f t="shared" si="37"/>
        <v>#DIV/0!</v>
      </c>
      <c r="M123" s="887" t="e">
        <f t="shared" si="37"/>
        <v>#DIV/0!</v>
      </c>
      <c r="N123" s="887" t="e">
        <f t="shared" si="37"/>
        <v>#DIV/0!</v>
      </c>
      <c r="O123" s="887" t="e">
        <f t="shared" si="37"/>
        <v>#VALUE!</v>
      </c>
      <c r="P123" s="887" t="e">
        <f t="shared" si="37"/>
        <v>#DIV/0!</v>
      </c>
      <c r="Q123" s="887" t="e">
        <f t="shared" si="37"/>
        <v>#DIV/0!</v>
      </c>
      <c r="R123" s="887" t="e">
        <f t="shared" si="37"/>
        <v>#DIV/0!</v>
      </c>
      <c r="S123" s="1138" t="e">
        <f t="shared" si="37"/>
        <v>#VALUE!</v>
      </c>
      <c r="T123" s="1091"/>
      <c r="U123" s="1091"/>
      <c r="V123" s="1091"/>
      <c r="W123" s="1091"/>
      <c r="X123" s="1091"/>
      <c r="Y123" s="1091"/>
      <c r="Z123" s="1091"/>
      <c r="AA123" s="1091"/>
      <c r="AB123" s="1091"/>
      <c r="AC123" s="1091"/>
      <c r="AD123" s="1091"/>
      <c r="AE123" s="1091"/>
      <c r="AF123" s="865"/>
      <c r="AG123" s="865"/>
      <c r="AH123" s="914"/>
      <c r="AI123" s="1103"/>
      <c r="AJ123" s="914"/>
    </row>
    <row r="124" spans="1:36" ht="12.75" customHeight="1" outlineLevel="1" x14ac:dyDescent="0.25">
      <c r="H124" s="921"/>
      <c r="Q124" s="921"/>
      <c r="R124" s="922"/>
      <c r="S124" s="922"/>
      <c r="T124" s="914"/>
      <c r="U124" s="914"/>
      <c r="V124" s="914"/>
      <c r="W124" s="914"/>
      <c r="X124" s="914"/>
      <c r="Y124" s="914"/>
      <c r="Z124" s="914"/>
      <c r="AA124" s="914"/>
      <c r="AB124" s="914"/>
      <c r="AC124" s="914"/>
      <c r="AD124" s="914"/>
      <c r="AE124" s="914"/>
      <c r="AF124" s="914"/>
      <c r="AG124" s="914"/>
      <c r="AH124" s="914"/>
      <c r="AI124" s="914"/>
      <c r="AJ124" s="914"/>
    </row>
    <row r="125" spans="1:36" ht="12.75" customHeight="1" outlineLevel="1" x14ac:dyDescent="0.25">
      <c r="A125" s="1457" t="s">
        <v>212</v>
      </c>
      <c r="B125" s="1458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9">
        <f t="shared" ref="S125" si="38">S11</f>
        <v>2022</v>
      </c>
      <c r="T125" s="1084"/>
      <c r="U125" s="1084"/>
      <c r="V125" s="1084"/>
      <c r="W125" s="1084"/>
      <c r="X125" s="1122"/>
      <c r="Y125" s="1084"/>
      <c r="Z125" s="1084"/>
      <c r="AA125" s="1084"/>
      <c r="AB125" s="1084"/>
      <c r="AC125" s="1122"/>
      <c r="AD125" s="1121"/>
      <c r="AE125" s="1121"/>
      <c r="AF125" s="914"/>
      <c r="AG125" s="914"/>
      <c r="AH125" s="914"/>
      <c r="AI125" s="914"/>
      <c r="AJ125" s="914"/>
    </row>
    <row r="126" spans="1:36" s="860" customFormat="1" ht="12.75" customHeight="1" outlineLevel="1" x14ac:dyDescent="0.25">
      <c r="A126" s="1457"/>
      <c r="B126" s="1458"/>
      <c r="C126" s="859" t="str">
        <f t="shared" ref="C126:R126" si="39">C12</f>
        <v>факт</v>
      </c>
      <c r="D126" s="859" t="str">
        <f t="shared" si="39"/>
        <v>факт</v>
      </c>
      <c r="E126" s="859" t="str">
        <f t="shared" si="39"/>
        <v>факт</v>
      </c>
      <c r="F126" s="859" t="str">
        <f t="shared" si="39"/>
        <v>факт</v>
      </c>
      <c r="G126" s="859" t="str">
        <f t="shared" si="39"/>
        <v>факт</v>
      </c>
      <c r="H126" s="859" t="str">
        <f t="shared" si="39"/>
        <v>факт</v>
      </c>
      <c r="I126" s="859" t="str">
        <f t="shared" si="39"/>
        <v>факт</v>
      </c>
      <c r="J126" s="859" t="str">
        <f t="shared" si="39"/>
        <v>факт</v>
      </c>
      <c r="K126" s="859" t="str">
        <f t="shared" si="39"/>
        <v>факт</v>
      </c>
      <c r="L126" s="859" t="str">
        <f t="shared" si="39"/>
        <v>факт</v>
      </c>
      <c r="M126" s="859" t="str">
        <f t="shared" si="39"/>
        <v>факт</v>
      </c>
      <c r="N126" s="859" t="str">
        <f t="shared" si="39"/>
        <v>факт</v>
      </c>
      <c r="O126" s="859" t="str">
        <f t="shared" si="39"/>
        <v>план</v>
      </c>
      <c r="P126" s="859" t="str">
        <f t="shared" si="39"/>
        <v>план</v>
      </c>
      <c r="Q126" s="859" t="str">
        <f t="shared" si="39"/>
        <v>план</v>
      </c>
      <c r="R126" s="859" t="str">
        <f t="shared" si="39"/>
        <v>план</v>
      </c>
      <c r="S126" s="1459"/>
      <c r="T126" s="1084"/>
      <c r="U126" s="1084"/>
      <c r="V126" s="1084"/>
      <c r="W126" s="1084"/>
      <c r="X126" s="1122"/>
      <c r="Y126" s="1084"/>
      <c r="Z126" s="1084"/>
      <c r="AA126" s="1084"/>
      <c r="AB126" s="1084"/>
      <c r="AC126" s="1122"/>
      <c r="AD126" s="1121"/>
      <c r="AE126" s="1121"/>
      <c r="AF126" s="899"/>
      <c r="AG126" s="899"/>
      <c r="AH126" s="899"/>
      <c r="AI126" s="899"/>
      <c r="AJ126" s="899"/>
    </row>
    <row r="127" spans="1:36" ht="12.75" customHeight="1" outlineLevel="1" x14ac:dyDescent="0.25">
      <c r="A127" s="870" t="s">
        <v>364</v>
      </c>
      <c r="B127" s="870" t="s">
        <v>364</v>
      </c>
      <c r="C127" s="882">
        <f t="shared" ref="C127:N140" si="40">(C57-C91)*C$25-C109</f>
        <v>984283.44575788872</v>
      </c>
      <c r="D127" s="882" t="e">
        <f t="shared" si="40"/>
        <v>#VALUE!</v>
      </c>
      <c r="E127" s="882" t="e">
        <f t="shared" si="40"/>
        <v>#DIV/0!</v>
      </c>
      <c r="F127" s="882" t="e">
        <f t="shared" si="40"/>
        <v>#DIV/0!</v>
      </c>
      <c r="G127" s="882" t="e">
        <f t="shared" si="40"/>
        <v>#DIV/0!</v>
      </c>
      <c r="H127" s="882" t="e">
        <f t="shared" si="40"/>
        <v>#DIV/0!</v>
      </c>
      <c r="I127" s="882" t="e">
        <f t="shared" si="40"/>
        <v>#DIV/0!</v>
      </c>
      <c r="J127" s="882" t="e">
        <f t="shared" si="40"/>
        <v>#DIV/0!</v>
      </c>
      <c r="K127" s="882" t="e">
        <f t="shared" si="40"/>
        <v>#DIV/0!</v>
      </c>
      <c r="L127" s="882" t="e">
        <f t="shared" si="40"/>
        <v>#DIV/0!</v>
      </c>
      <c r="M127" s="882" t="e">
        <f t="shared" si="40"/>
        <v>#DIV/0!</v>
      </c>
      <c r="N127" s="882" t="e">
        <f t="shared" si="40"/>
        <v>#DIV/0!</v>
      </c>
      <c r="O127" s="896" t="e">
        <f>SUM(C127:E127)</f>
        <v>#VALUE!</v>
      </c>
      <c r="P127" s="896" t="e">
        <f>SUM(F127:H127)</f>
        <v>#DIV/0!</v>
      </c>
      <c r="Q127" s="896" t="e">
        <f>SUM(I127:K127)</f>
        <v>#DIV/0!</v>
      </c>
      <c r="R127" s="896" t="e">
        <f>SUM(L127:N127)</f>
        <v>#DIV/0!</v>
      </c>
      <c r="S127" s="1137" t="e">
        <f>SUM(O127:R127)</f>
        <v>#VALUE!</v>
      </c>
      <c r="T127" s="1089"/>
      <c r="U127" s="1089"/>
      <c r="V127" s="1089"/>
      <c r="W127" s="1089"/>
      <c r="X127" s="1089"/>
      <c r="Y127" s="1089"/>
      <c r="Z127" s="1089"/>
      <c r="AA127" s="1089"/>
      <c r="AB127" s="1089"/>
      <c r="AC127" s="1089"/>
      <c r="AD127" s="1089"/>
      <c r="AE127" s="1089"/>
      <c r="AF127" s="865"/>
      <c r="AG127" s="865"/>
      <c r="AH127" s="914"/>
      <c r="AI127" s="914"/>
      <c r="AJ127" s="914"/>
    </row>
    <row r="128" spans="1:36" ht="12.75" customHeight="1" outlineLevel="1" x14ac:dyDescent="0.25">
      <c r="A128" s="870" t="s">
        <v>365</v>
      </c>
      <c r="B128" s="870" t="s">
        <v>365</v>
      </c>
      <c r="C128" s="882">
        <f t="shared" si="40"/>
        <v>284539.23649373674</v>
      </c>
      <c r="D128" s="882" t="e">
        <f t="shared" si="40"/>
        <v>#VALUE!</v>
      </c>
      <c r="E128" s="882" t="e">
        <f t="shared" si="40"/>
        <v>#DIV/0!</v>
      </c>
      <c r="F128" s="882" t="e">
        <f t="shared" si="40"/>
        <v>#DIV/0!</v>
      </c>
      <c r="G128" s="882" t="e">
        <f t="shared" si="40"/>
        <v>#DIV/0!</v>
      </c>
      <c r="H128" s="882" t="e">
        <f t="shared" si="40"/>
        <v>#DIV/0!</v>
      </c>
      <c r="I128" s="882" t="e">
        <f t="shared" si="40"/>
        <v>#DIV/0!</v>
      </c>
      <c r="J128" s="882" t="e">
        <f t="shared" si="40"/>
        <v>#DIV/0!</v>
      </c>
      <c r="K128" s="882" t="e">
        <f t="shared" si="40"/>
        <v>#DIV/0!</v>
      </c>
      <c r="L128" s="882" t="e">
        <f t="shared" si="40"/>
        <v>#DIV/0!</v>
      </c>
      <c r="M128" s="882" t="e">
        <f t="shared" si="40"/>
        <v>#DIV/0!</v>
      </c>
      <c r="N128" s="882" t="e">
        <f t="shared" si="40"/>
        <v>#DIV/0!</v>
      </c>
      <c r="O128" s="896" t="e">
        <f t="shared" ref="O128:O140" si="41">SUM(C128:E128)</f>
        <v>#VALUE!</v>
      </c>
      <c r="P128" s="896" t="e">
        <f t="shared" ref="P128:P140" si="42">SUM(F128:H128)</f>
        <v>#DIV/0!</v>
      </c>
      <c r="Q128" s="896" t="e">
        <f t="shared" ref="Q128:Q140" si="43">SUM(I128:K128)</f>
        <v>#DIV/0!</v>
      </c>
      <c r="R128" s="896" t="e">
        <f t="shared" ref="R128:R140" si="44">SUM(L128:N128)</f>
        <v>#DIV/0!</v>
      </c>
      <c r="S128" s="1137" t="e">
        <f t="shared" ref="S128:S140" si="45">SUM(O128:R128)</f>
        <v>#VALUE!</v>
      </c>
      <c r="T128" s="1089"/>
      <c r="U128" s="1089"/>
      <c r="V128" s="1089"/>
      <c r="W128" s="1089"/>
      <c r="X128" s="1089"/>
      <c r="Y128" s="1089"/>
      <c r="Z128" s="1089"/>
      <c r="AA128" s="1089"/>
      <c r="AB128" s="1089"/>
      <c r="AC128" s="1089"/>
      <c r="AD128" s="1089"/>
      <c r="AE128" s="1089"/>
      <c r="AF128" s="865"/>
      <c r="AG128" s="865"/>
      <c r="AH128" s="914"/>
      <c r="AI128" s="914"/>
      <c r="AJ128" s="914"/>
    </row>
    <row r="129" spans="1:36" ht="12.75" customHeight="1" outlineLevel="1" x14ac:dyDescent="0.25">
      <c r="A129" s="870" t="s">
        <v>366</v>
      </c>
      <c r="B129" s="870" t="s">
        <v>366</v>
      </c>
      <c r="C129" s="882">
        <f t="shared" si="40"/>
        <v>0</v>
      </c>
      <c r="D129" s="882" t="e">
        <f t="shared" si="40"/>
        <v>#VALUE!</v>
      </c>
      <c r="E129" s="882" t="e">
        <f t="shared" si="40"/>
        <v>#DIV/0!</v>
      </c>
      <c r="F129" s="882" t="e">
        <f t="shared" si="40"/>
        <v>#DIV/0!</v>
      </c>
      <c r="G129" s="882" t="e">
        <f t="shared" si="40"/>
        <v>#DIV/0!</v>
      </c>
      <c r="H129" s="882" t="e">
        <f t="shared" si="40"/>
        <v>#DIV/0!</v>
      </c>
      <c r="I129" s="882" t="e">
        <f t="shared" si="40"/>
        <v>#DIV/0!</v>
      </c>
      <c r="J129" s="882" t="e">
        <f t="shared" si="40"/>
        <v>#DIV/0!</v>
      </c>
      <c r="K129" s="882" t="e">
        <f t="shared" si="40"/>
        <v>#DIV/0!</v>
      </c>
      <c r="L129" s="882" t="e">
        <f t="shared" si="40"/>
        <v>#DIV/0!</v>
      </c>
      <c r="M129" s="882" t="e">
        <f t="shared" si="40"/>
        <v>#DIV/0!</v>
      </c>
      <c r="N129" s="882" t="e">
        <f t="shared" si="40"/>
        <v>#DIV/0!</v>
      </c>
      <c r="O129" s="896" t="e">
        <f t="shared" si="41"/>
        <v>#VALUE!</v>
      </c>
      <c r="P129" s="896" t="e">
        <f t="shared" si="42"/>
        <v>#DIV/0!</v>
      </c>
      <c r="Q129" s="896" t="e">
        <f t="shared" si="43"/>
        <v>#DIV/0!</v>
      </c>
      <c r="R129" s="896" t="e">
        <f t="shared" si="44"/>
        <v>#DIV/0!</v>
      </c>
      <c r="S129" s="1137" t="e">
        <f t="shared" si="45"/>
        <v>#VALUE!</v>
      </c>
      <c r="T129" s="1089"/>
      <c r="U129" s="1089"/>
      <c r="V129" s="1089"/>
      <c r="W129" s="1089"/>
      <c r="X129" s="1089"/>
      <c r="Y129" s="1089"/>
      <c r="Z129" s="1089"/>
      <c r="AA129" s="1089"/>
      <c r="AB129" s="1089"/>
      <c r="AC129" s="1089"/>
      <c r="AD129" s="1089"/>
      <c r="AE129" s="1089"/>
      <c r="AF129" s="865"/>
      <c r="AG129" s="865"/>
      <c r="AH129" s="914"/>
      <c r="AI129" s="914"/>
      <c r="AJ129" s="914"/>
    </row>
    <row r="130" spans="1:36" ht="12.75" customHeight="1" outlineLevel="1" x14ac:dyDescent="0.25">
      <c r="A130" s="870" t="s">
        <v>368</v>
      </c>
      <c r="B130" s="870" t="s">
        <v>366</v>
      </c>
      <c r="C130" s="882">
        <f t="shared" si="40"/>
        <v>0</v>
      </c>
      <c r="D130" s="882" t="e">
        <f>(D60-D94)*D$25-D112</f>
        <v>#VALUE!</v>
      </c>
      <c r="E130" s="882" t="e">
        <f t="shared" si="40"/>
        <v>#DIV/0!</v>
      </c>
      <c r="F130" s="882" t="e">
        <f t="shared" si="40"/>
        <v>#DIV/0!</v>
      </c>
      <c r="G130" s="882" t="e">
        <f t="shared" si="40"/>
        <v>#DIV/0!</v>
      </c>
      <c r="H130" s="882" t="e">
        <f t="shared" si="40"/>
        <v>#DIV/0!</v>
      </c>
      <c r="I130" s="882" t="e">
        <f t="shared" si="40"/>
        <v>#DIV/0!</v>
      </c>
      <c r="J130" s="882" t="e">
        <f t="shared" si="40"/>
        <v>#DIV/0!</v>
      </c>
      <c r="K130" s="882" t="e">
        <f t="shared" si="40"/>
        <v>#DIV/0!</v>
      </c>
      <c r="L130" s="882" t="e">
        <f t="shared" si="40"/>
        <v>#DIV/0!</v>
      </c>
      <c r="M130" s="882" t="e">
        <f t="shared" si="40"/>
        <v>#DIV/0!</v>
      </c>
      <c r="N130" s="882" t="e">
        <f t="shared" si="40"/>
        <v>#DIV/0!</v>
      </c>
      <c r="O130" s="896" t="e">
        <f t="shared" si="41"/>
        <v>#VALUE!</v>
      </c>
      <c r="P130" s="896" t="e">
        <f t="shared" si="42"/>
        <v>#DIV/0!</v>
      </c>
      <c r="Q130" s="896" t="e">
        <f t="shared" si="43"/>
        <v>#DIV/0!</v>
      </c>
      <c r="R130" s="896" t="e">
        <f t="shared" si="44"/>
        <v>#DIV/0!</v>
      </c>
      <c r="S130" s="1137" t="e">
        <f t="shared" si="45"/>
        <v>#VALUE!</v>
      </c>
      <c r="T130" s="1089"/>
      <c r="U130" s="1089"/>
      <c r="V130" s="1089"/>
      <c r="W130" s="1089"/>
      <c r="X130" s="1089"/>
      <c r="Y130" s="1089"/>
      <c r="Z130" s="1089"/>
      <c r="AA130" s="1089"/>
      <c r="AB130" s="1089"/>
      <c r="AC130" s="1089"/>
      <c r="AD130" s="1089"/>
      <c r="AE130" s="1089"/>
      <c r="AF130" s="865"/>
      <c r="AG130" s="865"/>
      <c r="AH130" s="914"/>
      <c r="AI130" s="914"/>
      <c r="AJ130" s="914"/>
    </row>
    <row r="131" spans="1:36" ht="12.75" customHeight="1" outlineLevel="1" x14ac:dyDescent="0.25">
      <c r="A131" s="870" t="s">
        <v>369</v>
      </c>
      <c r="B131" s="870" t="s">
        <v>368</v>
      </c>
      <c r="C131" s="882">
        <f t="shared" si="40"/>
        <v>0</v>
      </c>
      <c r="D131" s="882" t="e">
        <f t="shared" si="40"/>
        <v>#VALUE!</v>
      </c>
      <c r="E131" s="882" t="e">
        <f t="shared" si="40"/>
        <v>#DIV/0!</v>
      </c>
      <c r="F131" s="882" t="e">
        <f t="shared" si="40"/>
        <v>#DIV/0!</v>
      </c>
      <c r="G131" s="882" t="e">
        <f t="shared" si="40"/>
        <v>#DIV/0!</v>
      </c>
      <c r="H131" s="882" t="e">
        <f t="shared" si="40"/>
        <v>#DIV/0!</v>
      </c>
      <c r="I131" s="882" t="e">
        <f t="shared" si="40"/>
        <v>#DIV/0!</v>
      </c>
      <c r="J131" s="882" t="e">
        <f t="shared" si="40"/>
        <v>#DIV/0!</v>
      </c>
      <c r="K131" s="882" t="e">
        <f t="shared" si="40"/>
        <v>#DIV/0!</v>
      </c>
      <c r="L131" s="882" t="e">
        <f t="shared" si="40"/>
        <v>#DIV/0!</v>
      </c>
      <c r="M131" s="882" t="e">
        <f t="shared" si="40"/>
        <v>#DIV/0!</v>
      </c>
      <c r="N131" s="882" t="e">
        <f t="shared" si="40"/>
        <v>#DIV/0!</v>
      </c>
      <c r="O131" s="896" t="e">
        <f t="shared" si="41"/>
        <v>#VALUE!</v>
      </c>
      <c r="P131" s="896" t="e">
        <f t="shared" si="42"/>
        <v>#DIV/0!</v>
      </c>
      <c r="Q131" s="896" t="e">
        <f t="shared" si="43"/>
        <v>#DIV/0!</v>
      </c>
      <c r="R131" s="896" t="e">
        <f t="shared" si="44"/>
        <v>#DIV/0!</v>
      </c>
      <c r="S131" s="1137" t="e">
        <f t="shared" si="45"/>
        <v>#VALUE!</v>
      </c>
      <c r="T131" s="1089"/>
      <c r="U131" s="1089"/>
      <c r="V131" s="1089"/>
      <c r="W131" s="1089"/>
      <c r="X131" s="1089"/>
      <c r="Y131" s="1089"/>
      <c r="Z131" s="1089"/>
      <c r="AA131" s="1089"/>
      <c r="AB131" s="1089"/>
      <c r="AC131" s="1089"/>
      <c r="AD131" s="1089"/>
      <c r="AE131" s="1089"/>
      <c r="AF131" s="865"/>
      <c r="AG131" s="865"/>
      <c r="AH131" s="914"/>
      <c r="AI131" s="914"/>
      <c r="AJ131" s="914"/>
    </row>
    <row r="132" spans="1:36" ht="12.75" customHeight="1" outlineLevel="1" x14ac:dyDescent="0.25">
      <c r="A132" s="870" t="s">
        <v>370</v>
      </c>
      <c r="B132" s="870" t="s">
        <v>368</v>
      </c>
      <c r="C132" s="882">
        <f t="shared" si="40"/>
        <v>0</v>
      </c>
      <c r="D132" s="882" t="e">
        <f t="shared" si="40"/>
        <v>#VALUE!</v>
      </c>
      <c r="E132" s="882" t="e">
        <f t="shared" si="40"/>
        <v>#DIV/0!</v>
      </c>
      <c r="F132" s="882" t="e">
        <f t="shared" si="40"/>
        <v>#DIV/0!</v>
      </c>
      <c r="G132" s="882" t="e">
        <f t="shared" si="40"/>
        <v>#DIV/0!</v>
      </c>
      <c r="H132" s="882" t="e">
        <f t="shared" si="40"/>
        <v>#DIV/0!</v>
      </c>
      <c r="I132" s="882" t="e">
        <f t="shared" si="40"/>
        <v>#DIV/0!</v>
      </c>
      <c r="J132" s="882" t="e">
        <f t="shared" si="40"/>
        <v>#DIV/0!</v>
      </c>
      <c r="K132" s="882" t="e">
        <f t="shared" si="40"/>
        <v>#DIV/0!</v>
      </c>
      <c r="L132" s="882" t="e">
        <f t="shared" si="40"/>
        <v>#DIV/0!</v>
      </c>
      <c r="M132" s="882" t="e">
        <f t="shared" si="40"/>
        <v>#DIV/0!</v>
      </c>
      <c r="N132" s="882" t="e">
        <f t="shared" si="40"/>
        <v>#DIV/0!</v>
      </c>
      <c r="O132" s="896" t="e">
        <f t="shared" si="41"/>
        <v>#VALUE!</v>
      </c>
      <c r="P132" s="896" t="e">
        <f t="shared" si="42"/>
        <v>#DIV/0!</v>
      </c>
      <c r="Q132" s="896" t="e">
        <f t="shared" si="43"/>
        <v>#DIV/0!</v>
      </c>
      <c r="R132" s="896" t="e">
        <f t="shared" si="44"/>
        <v>#DIV/0!</v>
      </c>
      <c r="S132" s="1137" t="e">
        <f t="shared" si="45"/>
        <v>#VALUE!</v>
      </c>
      <c r="T132" s="1089"/>
      <c r="U132" s="1089"/>
      <c r="V132" s="1089"/>
      <c r="W132" s="1089"/>
      <c r="X132" s="1089"/>
      <c r="Y132" s="1089"/>
      <c r="Z132" s="1089"/>
      <c r="AA132" s="1089"/>
      <c r="AB132" s="1089"/>
      <c r="AC132" s="1089"/>
      <c r="AD132" s="1089"/>
      <c r="AE132" s="1089"/>
      <c r="AF132" s="865"/>
      <c r="AG132" s="865"/>
      <c r="AH132" s="914"/>
      <c r="AI132" s="914"/>
      <c r="AJ132" s="914"/>
    </row>
    <row r="133" spans="1:36" ht="12.75" customHeight="1" outlineLevel="1" x14ac:dyDescent="0.25">
      <c r="A133" s="870" t="s">
        <v>371</v>
      </c>
      <c r="B133" s="870" t="s">
        <v>368</v>
      </c>
      <c r="C133" s="882">
        <f t="shared" si="40"/>
        <v>0</v>
      </c>
      <c r="D133" s="882" t="e">
        <f t="shared" si="40"/>
        <v>#VALUE!</v>
      </c>
      <c r="E133" s="882" t="e">
        <f t="shared" si="40"/>
        <v>#DIV/0!</v>
      </c>
      <c r="F133" s="882" t="e">
        <f t="shared" si="40"/>
        <v>#DIV/0!</v>
      </c>
      <c r="G133" s="882" t="e">
        <f t="shared" si="40"/>
        <v>#DIV/0!</v>
      </c>
      <c r="H133" s="882" t="e">
        <f t="shared" si="40"/>
        <v>#DIV/0!</v>
      </c>
      <c r="I133" s="882" t="e">
        <f t="shared" si="40"/>
        <v>#DIV/0!</v>
      </c>
      <c r="J133" s="882" t="e">
        <f t="shared" si="40"/>
        <v>#DIV/0!</v>
      </c>
      <c r="K133" s="882" t="e">
        <f t="shared" si="40"/>
        <v>#DIV/0!</v>
      </c>
      <c r="L133" s="882" t="e">
        <f t="shared" si="40"/>
        <v>#DIV/0!</v>
      </c>
      <c r="M133" s="882" t="e">
        <f t="shared" si="40"/>
        <v>#DIV/0!</v>
      </c>
      <c r="N133" s="882" t="e">
        <f t="shared" si="40"/>
        <v>#DIV/0!</v>
      </c>
      <c r="O133" s="896" t="e">
        <f t="shared" si="41"/>
        <v>#VALUE!</v>
      </c>
      <c r="P133" s="896" t="e">
        <f t="shared" si="42"/>
        <v>#DIV/0!</v>
      </c>
      <c r="Q133" s="896" t="e">
        <f t="shared" si="43"/>
        <v>#DIV/0!</v>
      </c>
      <c r="R133" s="896" t="e">
        <f t="shared" si="44"/>
        <v>#DIV/0!</v>
      </c>
      <c r="S133" s="1137" t="e">
        <f t="shared" si="45"/>
        <v>#VALUE!</v>
      </c>
      <c r="T133" s="1089"/>
      <c r="U133" s="1089"/>
      <c r="V133" s="1089"/>
      <c r="W133" s="1089"/>
      <c r="X133" s="1089"/>
      <c r="Y133" s="1089"/>
      <c r="Z133" s="1089"/>
      <c r="AA133" s="1089"/>
      <c r="AB133" s="1089"/>
      <c r="AC133" s="1089"/>
      <c r="AD133" s="1089"/>
      <c r="AE133" s="1089"/>
      <c r="AF133" s="865"/>
      <c r="AG133" s="865"/>
      <c r="AH133" s="914"/>
      <c r="AI133" s="914"/>
      <c r="AJ133" s="914"/>
    </row>
    <row r="134" spans="1:36" ht="12.75" customHeight="1" outlineLevel="1" x14ac:dyDescent="0.25">
      <c r="A134" s="870" t="s">
        <v>372</v>
      </c>
      <c r="B134" s="870" t="s">
        <v>368</v>
      </c>
      <c r="C134" s="882">
        <f t="shared" si="40"/>
        <v>0</v>
      </c>
      <c r="D134" s="882" t="e">
        <f t="shared" si="40"/>
        <v>#VALUE!</v>
      </c>
      <c r="E134" s="882" t="e">
        <f t="shared" si="40"/>
        <v>#DIV/0!</v>
      </c>
      <c r="F134" s="882" t="e">
        <f t="shared" si="40"/>
        <v>#DIV/0!</v>
      </c>
      <c r="G134" s="882" t="e">
        <f t="shared" si="40"/>
        <v>#DIV/0!</v>
      </c>
      <c r="H134" s="882" t="e">
        <f t="shared" si="40"/>
        <v>#DIV/0!</v>
      </c>
      <c r="I134" s="882" t="e">
        <f t="shared" si="40"/>
        <v>#DIV/0!</v>
      </c>
      <c r="J134" s="882" t="e">
        <f t="shared" si="40"/>
        <v>#DIV/0!</v>
      </c>
      <c r="K134" s="882" t="e">
        <f t="shared" si="40"/>
        <v>#DIV/0!</v>
      </c>
      <c r="L134" s="882" t="e">
        <f t="shared" si="40"/>
        <v>#DIV/0!</v>
      </c>
      <c r="M134" s="882" t="e">
        <f t="shared" si="40"/>
        <v>#DIV/0!</v>
      </c>
      <c r="N134" s="882" t="e">
        <f t="shared" si="40"/>
        <v>#DIV/0!</v>
      </c>
      <c r="O134" s="896" t="e">
        <f t="shared" si="41"/>
        <v>#VALUE!</v>
      </c>
      <c r="P134" s="896" t="e">
        <f t="shared" si="42"/>
        <v>#DIV/0!</v>
      </c>
      <c r="Q134" s="896" t="e">
        <f t="shared" si="43"/>
        <v>#DIV/0!</v>
      </c>
      <c r="R134" s="896" t="e">
        <f t="shared" si="44"/>
        <v>#DIV/0!</v>
      </c>
      <c r="S134" s="1137" t="e">
        <f t="shared" si="45"/>
        <v>#VALUE!</v>
      </c>
      <c r="T134" s="1089"/>
      <c r="U134" s="1089"/>
      <c r="V134" s="1089"/>
      <c r="W134" s="1089"/>
      <c r="X134" s="1089"/>
      <c r="Y134" s="1089"/>
      <c r="Z134" s="1089"/>
      <c r="AA134" s="1089"/>
      <c r="AB134" s="1089"/>
      <c r="AC134" s="1089"/>
      <c r="AD134" s="1089"/>
      <c r="AE134" s="1089"/>
      <c r="AF134" s="865"/>
      <c r="AG134" s="865"/>
      <c r="AH134" s="914"/>
      <c r="AI134" s="914"/>
      <c r="AJ134" s="914"/>
    </row>
    <row r="135" spans="1:36" ht="12.75" customHeight="1" outlineLevel="1" x14ac:dyDescent="0.25">
      <c r="A135" s="870" t="s">
        <v>373</v>
      </c>
      <c r="B135" s="870" t="s">
        <v>366</v>
      </c>
      <c r="C135" s="882">
        <f t="shared" si="40"/>
        <v>0</v>
      </c>
      <c r="D135" s="882" t="e">
        <f t="shared" si="40"/>
        <v>#VALUE!</v>
      </c>
      <c r="E135" s="882" t="e">
        <f t="shared" si="40"/>
        <v>#DIV/0!</v>
      </c>
      <c r="F135" s="882" t="e">
        <f t="shared" si="40"/>
        <v>#DIV/0!</v>
      </c>
      <c r="G135" s="882" t="e">
        <f t="shared" si="40"/>
        <v>#DIV/0!</v>
      </c>
      <c r="H135" s="882" t="e">
        <f t="shared" si="40"/>
        <v>#DIV/0!</v>
      </c>
      <c r="I135" s="882" t="e">
        <f t="shared" si="40"/>
        <v>#DIV/0!</v>
      </c>
      <c r="J135" s="882" t="e">
        <f t="shared" si="40"/>
        <v>#DIV/0!</v>
      </c>
      <c r="K135" s="882" t="e">
        <f t="shared" si="40"/>
        <v>#DIV/0!</v>
      </c>
      <c r="L135" s="882" t="e">
        <f t="shared" si="40"/>
        <v>#DIV/0!</v>
      </c>
      <c r="M135" s="882" t="e">
        <f t="shared" si="40"/>
        <v>#DIV/0!</v>
      </c>
      <c r="N135" s="882" t="e">
        <f t="shared" si="40"/>
        <v>#DIV/0!</v>
      </c>
      <c r="O135" s="896" t="e">
        <f t="shared" si="41"/>
        <v>#VALUE!</v>
      </c>
      <c r="P135" s="896" t="e">
        <f t="shared" si="42"/>
        <v>#DIV/0!</v>
      </c>
      <c r="Q135" s="896" t="e">
        <f t="shared" si="43"/>
        <v>#DIV/0!</v>
      </c>
      <c r="R135" s="896" t="e">
        <f t="shared" si="44"/>
        <v>#DIV/0!</v>
      </c>
      <c r="S135" s="1137" t="e">
        <f t="shared" si="45"/>
        <v>#VALUE!</v>
      </c>
      <c r="T135" s="1089"/>
      <c r="U135" s="1089"/>
      <c r="V135" s="1089"/>
      <c r="W135" s="1089"/>
      <c r="X135" s="1089"/>
      <c r="Y135" s="1089"/>
      <c r="Z135" s="1089"/>
      <c r="AA135" s="1089"/>
      <c r="AB135" s="1089"/>
      <c r="AC135" s="1089"/>
      <c r="AD135" s="1089"/>
      <c r="AE135" s="1089"/>
      <c r="AF135" s="865"/>
      <c r="AG135" s="865"/>
      <c r="AH135" s="914"/>
      <c r="AI135" s="914"/>
      <c r="AJ135" s="914"/>
    </row>
    <row r="136" spans="1:36" ht="12.75" customHeight="1" outlineLevel="1" x14ac:dyDescent="0.25">
      <c r="A136" s="870" t="s">
        <v>374</v>
      </c>
      <c r="B136" s="870" t="s">
        <v>368</v>
      </c>
      <c r="C136" s="882">
        <f t="shared" si="40"/>
        <v>0</v>
      </c>
      <c r="D136" s="882" t="e">
        <f t="shared" si="40"/>
        <v>#VALUE!</v>
      </c>
      <c r="E136" s="882" t="e">
        <f t="shared" si="40"/>
        <v>#DIV/0!</v>
      </c>
      <c r="F136" s="882" t="e">
        <f t="shared" si="40"/>
        <v>#DIV/0!</v>
      </c>
      <c r="G136" s="882" t="e">
        <f t="shared" si="40"/>
        <v>#DIV/0!</v>
      </c>
      <c r="H136" s="882" t="e">
        <f t="shared" si="40"/>
        <v>#DIV/0!</v>
      </c>
      <c r="I136" s="882" t="e">
        <f t="shared" si="40"/>
        <v>#DIV/0!</v>
      </c>
      <c r="J136" s="882" t="e">
        <f t="shared" si="40"/>
        <v>#DIV/0!</v>
      </c>
      <c r="K136" s="882" t="e">
        <f t="shared" si="40"/>
        <v>#DIV/0!</v>
      </c>
      <c r="L136" s="882" t="e">
        <f t="shared" si="40"/>
        <v>#DIV/0!</v>
      </c>
      <c r="M136" s="882" t="e">
        <f t="shared" si="40"/>
        <v>#DIV/0!</v>
      </c>
      <c r="N136" s="882" t="e">
        <f t="shared" si="40"/>
        <v>#DIV/0!</v>
      </c>
      <c r="O136" s="896" t="e">
        <f t="shared" si="41"/>
        <v>#VALUE!</v>
      </c>
      <c r="P136" s="896" t="e">
        <f t="shared" si="42"/>
        <v>#DIV/0!</v>
      </c>
      <c r="Q136" s="896" t="e">
        <f t="shared" si="43"/>
        <v>#DIV/0!</v>
      </c>
      <c r="R136" s="896" t="e">
        <f t="shared" si="44"/>
        <v>#DIV/0!</v>
      </c>
      <c r="S136" s="1137" t="e">
        <f t="shared" si="45"/>
        <v>#VALUE!</v>
      </c>
      <c r="T136" s="1089"/>
      <c r="U136" s="1089"/>
      <c r="V136" s="1089"/>
      <c r="W136" s="1089"/>
      <c r="X136" s="1089"/>
      <c r="Y136" s="1089"/>
      <c r="Z136" s="1089"/>
      <c r="AA136" s="1089"/>
      <c r="AB136" s="1089"/>
      <c r="AC136" s="1089"/>
      <c r="AD136" s="1089"/>
      <c r="AE136" s="1089"/>
      <c r="AF136" s="865"/>
      <c r="AG136" s="865"/>
      <c r="AH136" s="914"/>
      <c r="AI136" s="914"/>
      <c r="AJ136" s="914"/>
    </row>
    <row r="137" spans="1:36" ht="12.75" customHeight="1" outlineLevel="1" x14ac:dyDescent="0.25">
      <c r="A137" s="870" t="s">
        <v>375</v>
      </c>
      <c r="B137" s="870" t="s">
        <v>366</v>
      </c>
      <c r="C137" s="882">
        <f t="shared" si="40"/>
        <v>0</v>
      </c>
      <c r="D137" s="882" t="e">
        <f t="shared" si="40"/>
        <v>#VALUE!</v>
      </c>
      <c r="E137" s="882" t="e">
        <f t="shared" si="40"/>
        <v>#DIV/0!</v>
      </c>
      <c r="F137" s="882" t="e">
        <f t="shared" si="40"/>
        <v>#DIV/0!</v>
      </c>
      <c r="G137" s="882" t="e">
        <f t="shared" si="40"/>
        <v>#DIV/0!</v>
      </c>
      <c r="H137" s="882" t="e">
        <f t="shared" si="40"/>
        <v>#DIV/0!</v>
      </c>
      <c r="I137" s="882" t="e">
        <f t="shared" si="40"/>
        <v>#DIV/0!</v>
      </c>
      <c r="J137" s="882" t="e">
        <f t="shared" si="40"/>
        <v>#DIV/0!</v>
      </c>
      <c r="K137" s="882" t="e">
        <f t="shared" si="40"/>
        <v>#DIV/0!</v>
      </c>
      <c r="L137" s="882" t="e">
        <f t="shared" si="40"/>
        <v>#DIV/0!</v>
      </c>
      <c r="M137" s="882" t="e">
        <f t="shared" si="40"/>
        <v>#DIV/0!</v>
      </c>
      <c r="N137" s="882" t="e">
        <f t="shared" si="40"/>
        <v>#DIV/0!</v>
      </c>
      <c r="O137" s="896" t="e">
        <f t="shared" si="41"/>
        <v>#VALUE!</v>
      </c>
      <c r="P137" s="896" t="e">
        <f t="shared" si="42"/>
        <v>#DIV/0!</v>
      </c>
      <c r="Q137" s="896" t="e">
        <f t="shared" si="43"/>
        <v>#DIV/0!</v>
      </c>
      <c r="R137" s="896" t="e">
        <f t="shared" si="44"/>
        <v>#DIV/0!</v>
      </c>
      <c r="S137" s="1137" t="e">
        <f t="shared" si="45"/>
        <v>#VALUE!</v>
      </c>
      <c r="T137" s="1089"/>
      <c r="U137" s="1089"/>
      <c r="V137" s="1089"/>
      <c r="W137" s="1089"/>
      <c r="X137" s="1089"/>
      <c r="Y137" s="1089"/>
      <c r="Z137" s="1089"/>
      <c r="AA137" s="1089"/>
      <c r="AB137" s="1089"/>
      <c r="AC137" s="1089"/>
      <c r="AD137" s="1089"/>
      <c r="AE137" s="1089"/>
      <c r="AF137" s="865"/>
      <c r="AG137" s="865"/>
      <c r="AH137" s="914"/>
      <c r="AI137" s="914"/>
      <c r="AJ137" s="914"/>
    </row>
    <row r="138" spans="1:36" ht="12.75" customHeight="1" outlineLevel="1" x14ac:dyDescent="0.25">
      <c r="A138" s="870" t="s">
        <v>376</v>
      </c>
      <c r="B138" s="870" t="s">
        <v>368</v>
      </c>
      <c r="C138" s="882">
        <f t="shared" si="40"/>
        <v>0</v>
      </c>
      <c r="D138" s="882" t="e">
        <f t="shared" si="40"/>
        <v>#VALUE!</v>
      </c>
      <c r="E138" s="882" t="e">
        <f t="shared" si="40"/>
        <v>#DIV/0!</v>
      </c>
      <c r="F138" s="882" t="e">
        <f t="shared" si="40"/>
        <v>#DIV/0!</v>
      </c>
      <c r="G138" s="882" t="e">
        <f t="shared" si="40"/>
        <v>#DIV/0!</v>
      </c>
      <c r="H138" s="882" t="e">
        <f t="shared" si="40"/>
        <v>#DIV/0!</v>
      </c>
      <c r="I138" s="882" t="e">
        <f t="shared" si="40"/>
        <v>#DIV/0!</v>
      </c>
      <c r="J138" s="882" t="e">
        <f t="shared" si="40"/>
        <v>#DIV/0!</v>
      </c>
      <c r="K138" s="882" t="e">
        <f t="shared" si="40"/>
        <v>#DIV/0!</v>
      </c>
      <c r="L138" s="882" t="e">
        <f t="shared" si="40"/>
        <v>#DIV/0!</v>
      </c>
      <c r="M138" s="882" t="e">
        <f t="shared" si="40"/>
        <v>#DIV/0!</v>
      </c>
      <c r="N138" s="882" t="e">
        <f t="shared" si="40"/>
        <v>#DIV/0!</v>
      </c>
      <c r="O138" s="896" t="e">
        <f t="shared" si="41"/>
        <v>#VALUE!</v>
      </c>
      <c r="P138" s="896" t="e">
        <f t="shared" si="42"/>
        <v>#DIV/0!</v>
      </c>
      <c r="Q138" s="896" t="e">
        <f t="shared" si="43"/>
        <v>#DIV/0!</v>
      </c>
      <c r="R138" s="896" t="e">
        <f t="shared" si="44"/>
        <v>#DIV/0!</v>
      </c>
      <c r="S138" s="1137" t="e">
        <f t="shared" si="45"/>
        <v>#VALUE!</v>
      </c>
      <c r="T138" s="1089"/>
      <c r="U138" s="1089"/>
      <c r="V138" s="1089"/>
      <c r="W138" s="1089"/>
      <c r="X138" s="1089"/>
      <c r="Y138" s="1089"/>
      <c r="Z138" s="1089"/>
      <c r="AA138" s="1089"/>
      <c r="AB138" s="1089"/>
      <c r="AC138" s="1089"/>
      <c r="AD138" s="1089"/>
      <c r="AE138" s="1089"/>
      <c r="AF138" s="865"/>
      <c r="AG138" s="865"/>
      <c r="AH138" s="914"/>
      <c r="AI138" s="914"/>
      <c r="AJ138" s="914"/>
    </row>
    <row r="139" spans="1:36" ht="12.75" customHeight="1" outlineLevel="1" x14ac:dyDescent="0.25">
      <c r="A139" s="870" t="s">
        <v>377</v>
      </c>
      <c r="B139" s="870" t="s">
        <v>365</v>
      </c>
      <c r="C139" s="882">
        <f t="shared" si="40"/>
        <v>0</v>
      </c>
      <c r="D139" s="882" t="e">
        <f t="shared" si="40"/>
        <v>#VALUE!</v>
      </c>
      <c r="E139" s="882" t="e">
        <f t="shared" si="40"/>
        <v>#DIV/0!</v>
      </c>
      <c r="F139" s="882" t="e">
        <f t="shared" si="40"/>
        <v>#DIV/0!</v>
      </c>
      <c r="G139" s="882" t="e">
        <f t="shared" si="40"/>
        <v>#DIV/0!</v>
      </c>
      <c r="H139" s="882" t="e">
        <f t="shared" si="40"/>
        <v>#DIV/0!</v>
      </c>
      <c r="I139" s="882" t="e">
        <f t="shared" si="40"/>
        <v>#DIV/0!</v>
      </c>
      <c r="J139" s="882" t="e">
        <f t="shared" si="40"/>
        <v>#DIV/0!</v>
      </c>
      <c r="K139" s="882" t="e">
        <f t="shared" si="40"/>
        <v>#DIV/0!</v>
      </c>
      <c r="L139" s="882" t="e">
        <f t="shared" si="40"/>
        <v>#DIV/0!</v>
      </c>
      <c r="M139" s="882" t="e">
        <f t="shared" si="40"/>
        <v>#DIV/0!</v>
      </c>
      <c r="N139" s="882" t="e">
        <f t="shared" si="40"/>
        <v>#DIV/0!</v>
      </c>
      <c r="O139" s="896" t="e">
        <f t="shared" si="41"/>
        <v>#VALUE!</v>
      </c>
      <c r="P139" s="896" t="e">
        <f t="shared" si="42"/>
        <v>#DIV/0!</v>
      </c>
      <c r="Q139" s="896" t="e">
        <f t="shared" si="43"/>
        <v>#DIV/0!</v>
      </c>
      <c r="R139" s="896" t="e">
        <f t="shared" si="44"/>
        <v>#DIV/0!</v>
      </c>
      <c r="S139" s="1137" t="e">
        <f t="shared" si="45"/>
        <v>#VALUE!</v>
      </c>
      <c r="T139" s="1089"/>
      <c r="U139" s="1089"/>
      <c r="V139" s="1089"/>
      <c r="W139" s="1089"/>
      <c r="X139" s="1089"/>
      <c r="Y139" s="1089"/>
      <c r="Z139" s="1089"/>
      <c r="AA139" s="1089"/>
      <c r="AB139" s="1089"/>
      <c r="AC139" s="1089"/>
      <c r="AD139" s="1089"/>
      <c r="AE139" s="1089"/>
      <c r="AF139" s="865"/>
      <c r="AG139" s="865"/>
      <c r="AH139" s="914"/>
      <c r="AI139" s="914"/>
      <c r="AJ139" s="914"/>
    </row>
    <row r="140" spans="1:36" s="914" customFormat="1" ht="12.75" customHeight="1" outlineLevel="1" x14ac:dyDescent="0.25">
      <c r="A140" s="870" t="s">
        <v>367</v>
      </c>
      <c r="B140" s="870"/>
      <c r="C140" s="882">
        <f>(C70-C104)*C$25-C122</f>
        <v>0</v>
      </c>
      <c r="D140" s="882" t="e">
        <f t="shared" si="40"/>
        <v>#VALUE!</v>
      </c>
      <c r="E140" s="882" t="e">
        <f t="shared" si="40"/>
        <v>#DIV/0!</v>
      </c>
      <c r="F140" s="882" t="e">
        <f t="shared" si="40"/>
        <v>#DIV/0!</v>
      </c>
      <c r="G140" s="882" t="e">
        <f t="shared" si="40"/>
        <v>#DIV/0!</v>
      </c>
      <c r="H140" s="882" t="e">
        <f t="shared" si="40"/>
        <v>#DIV/0!</v>
      </c>
      <c r="I140" s="882" t="e">
        <f t="shared" si="40"/>
        <v>#DIV/0!</v>
      </c>
      <c r="J140" s="882" t="e">
        <f t="shared" si="40"/>
        <v>#DIV/0!</v>
      </c>
      <c r="K140" s="882" t="e">
        <f t="shared" si="40"/>
        <v>#DIV/0!</v>
      </c>
      <c r="L140" s="882" t="e">
        <f t="shared" si="40"/>
        <v>#DIV/0!</v>
      </c>
      <c r="M140" s="882" t="e">
        <f t="shared" si="40"/>
        <v>#DIV/0!</v>
      </c>
      <c r="N140" s="882" t="e">
        <f t="shared" si="40"/>
        <v>#DIV/0!</v>
      </c>
      <c r="O140" s="896" t="e">
        <f t="shared" si="41"/>
        <v>#VALUE!</v>
      </c>
      <c r="P140" s="896" t="e">
        <f t="shared" si="42"/>
        <v>#DIV/0!</v>
      </c>
      <c r="Q140" s="896" t="e">
        <f t="shared" si="43"/>
        <v>#DIV/0!</v>
      </c>
      <c r="R140" s="896" t="e">
        <f t="shared" si="44"/>
        <v>#DIV/0!</v>
      </c>
      <c r="S140" s="1137" t="e">
        <f t="shared" si="45"/>
        <v>#VALUE!</v>
      </c>
      <c r="T140" s="1089"/>
      <c r="U140" s="1089"/>
      <c r="V140" s="1089"/>
      <c r="W140" s="1089"/>
      <c r="X140" s="1089"/>
      <c r="Y140" s="1089"/>
      <c r="Z140" s="1089"/>
      <c r="AA140" s="1089"/>
      <c r="AB140" s="1089"/>
      <c r="AC140" s="1089"/>
      <c r="AD140" s="1089"/>
      <c r="AE140" s="1089"/>
      <c r="AF140" s="865"/>
      <c r="AG140" s="865"/>
    </row>
    <row r="141" spans="1:36" ht="12.75" customHeight="1" outlineLevel="1" x14ac:dyDescent="0.25">
      <c r="A141" s="884" t="s">
        <v>77</v>
      </c>
      <c r="B141" s="885"/>
      <c r="C141" s="887">
        <f>SUM(C127:C140)</f>
        <v>1268822.6822516255</v>
      </c>
      <c r="D141" s="887" t="e">
        <f t="shared" ref="D141:S141" si="46">SUM(D127:D140)</f>
        <v>#VALUE!</v>
      </c>
      <c r="E141" s="887" t="e">
        <f t="shared" si="46"/>
        <v>#DIV/0!</v>
      </c>
      <c r="F141" s="887" t="e">
        <f t="shared" si="46"/>
        <v>#DIV/0!</v>
      </c>
      <c r="G141" s="887" t="e">
        <f t="shared" si="46"/>
        <v>#DIV/0!</v>
      </c>
      <c r="H141" s="887" t="e">
        <f t="shared" si="46"/>
        <v>#DIV/0!</v>
      </c>
      <c r="I141" s="887" t="e">
        <f t="shared" si="46"/>
        <v>#DIV/0!</v>
      </c>
      <c r="J141" s="887" t="e">
        <f t="shared" si="46"/>
        <v>#DIV/0!</v>
      </c>
      <c r="K141" s="887" t="e">
        <f t="shared" si="46"/>
        <v>#DIV/0!</v>
      </c>
      <c r="L141" s="887" t="e">
        <f t="shared" si="46"/>
        <v>#DIV/0!</v>
      </c>
      <c r="M141" s="887" t="e">
        <f t="shared" si="46"/>
        <v>#DIV/0!</v>
      </c>
      <c r="N141" s="887" t="e">
        <f t="shared" si="46"/>
        <v>#DIV/0!</v>
      </c>
      <c r="O141" s="887" t="e">
        <f t="shared" si="46"/>
        <v>#VALUE!</v>
      </c>
      <c r="P141" s="887" t="e">
        <f t="shared" si="46"/>
        <v>#DIV/0!</v>
      </c>
      <c r="Q141" s="887" t="e">
        <f t="shared" si="46"/>
        <v>#DIV/0!</v>
      </c>
      <c r="R141" s="887" t="e">
        <f t="shared" si="46"/>
        <v>#DIV/0!</v>
      </c>
      <c r="S141" s="1138" t="e">
        <f t="shared" si="46"/>
        <v>#VALUE!</v>
      </c>
      <c r="T141" s="1091"/>
      <c r="U141" s="1091"/>
      <c r="V141" s="1091"/>
      <c r="W141" s="1091"/>
      <c r="X141" s="1091"/>
      <c r="Y141" s="1091"/>
      <c r="Z141" s="1091"/>
      <c r="AA141" s="1091"/>
      <c r="AB141" s="1091"/>
      <c r="AC141" s="1091"/>
      <c r="AD141" s="1091"/>
      <c r="AE141" s="1091"/>
      <c r="AF141" s="865"/>
      <c r="AG141" s="865"/>
      <c r="AH141" s="914"/>
      <c r="AI141" s="914"/>
      <c r="AJ141" s="914"/>
    </row>
    <row r="142" spans="1:36" ht="12.75" customHeight="1" outlineLevel="1" x14ac:dyDescent="0.25">
      <c r="T142" s="914"/>
      <c r="U142" s="914"/>
      <c r="V142" s="914"/>
      <c r="W142" s="914"/>
      <c r="X142" s="914"/>
      <c r="Y142" s="914"/>
      <c r="Z142" s="914"/>
      <c r="AA142" s="914"/>
      <c r="AB142" s="914"/>
      <c r="AC142" s="914"/>
      <c r="AD142" s="914"/>
      <c r="AE142" s="914"/>
      <c r="AF142" s="914"/>
      <c r="AG142" s="914"/>
      <c r="AH142" s="914"/>
      <c r="AI142" s="914"/>
      <c r="AJ142" s="914"/>
    </row>
    <row r="143" spans="1:36" ht="15" x14ac:dyDescent="0.25">
      <c r="L143"/>
      <c r="M143"/>
      <c r="N143"/>
      <c r="S143" s="920"/>
      <c r="T143" s="1103"/>
      <c r="U143" s="1103"/>
      <c r="V143" s="1103"/>
      <c r="W143" s="1103"/>
      <c r="X143" s="1103"/>
      <c r="Y143" s="1103"/>
      <c r="Z143" s="1103"/>
      <c r="AA143" s="1103"/>
      <c r="AB143" s="1103"/>
      <c r="AC143" s="1103"/>
      <c r="AD143" s="1103"/>
      <c r="AE143" s="1103"/>
      <c r="AF143" s="914"/>
      <c r="AG143" s="914"/>
      <c r="AH143" s="914"/>
      <c r="AI143" s="914"/>
      <c r="AJ143" s="914"/>
    </row>
    <row r="144" spans="1:36" x14ac:dyDescent="0.25">
      <c r="T144" s="914"/>
      <c r="U144" s="914"/>
      <c r="V144" s="914"/>
      <c r="W144" s="914"/>
      <c r="X144" s="914"/>
      <c r="Y144" s="914"/>
      <c r="Z144" s="914"/>
      <c r="AA144" s="914"/>
      <c r="AB144" s="914"/>
      <c r="AC144" s="914"/>
      <c r="AD144" s="914"/>
      <c r="AE144" s="914"/>
      <c r="AF144" s="914"/>
      <c r="AG144" s="914"/>
      <c r="AH144" s="914"/>
      <c r="AI144" s="914"/>
      <c r="AJ144" s="914"/>
    </row>
    <row r="145" spans="1:36" x14ac:dyDescent="0.25">
      <c r="F145" s="921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</row>
    <row r="146" spans="1:36" x14ac:dyDescent="0.25">
      <c r="C146" s="923"/>
      <c r="S146" s="920"/>
      <c r="T146" s="914"/>
      <c r="U146" s="914"/>
      <c r="V146" s="914"/>
      <c r="W146" s="914"/>
      <c r="X146" s="914"/>
      <c r="Y146" s="914"/>
      <c r="Z146" s="914"/>
      <c r="AA146" s="914"/>
      <c r="AB146" s="914"/>
      <c r="AC146" s="914"/>
      <c r="AD146" s="914"/>
      <c r="AE146" s="914"/>
      <c r="AF146" s="914"/>
      <c r="AG146" s="914"/>
      <c r="AH146" s="914"/>
      <c r="AI146" s="914"/>
      <c r="AJ146" s="914"/>
    </row>
    <row r="147" spans="1:36" x14ac:dyDescent="0.25">
      <c r="D147" s="924"/>
      <c r="T147" s="914"/>
      <c r="U147" s="914"/>
      <c r="V147" s="914"/>
      <c r="W147" s="914"/>
      <c r="X147" s="914"/>
      <c r="Y147" s="914"/>
      <c r="Z147" s="914"/>
      <c r="AA147" s="914"/>
      <c r="AB147" s="914"/>
      <c r="AC147" s="914"/>
      <c r="AD147" s="914"/>
      <c r="AE147" s="914"/>
      <c r="AF147" s="914"/>
      <c r="AG147" s="914"/>
      <c r="AH147" s="914"/>
      <c r="AI147" s="914"/>
      <c r="AJ147" s="914"/>
    </row>
    <row r="148" spans="1:36" x14ac:dyDescent="0.25">
      <c r="T148" s="914"/>
      <c r="U148" s="914"/>
      <c r="V148" s="914"/>
      <c r="W148" s="914"/>
      <c r="X148" s="914"/>
      <c r="Y148" s="914"/>
      <c r="Z148" s="914"/>
      <c r="AA148" s="914"/>
      <c r="AB148" s="914"/>
      <c r="AC148" s="914"/>
      <c r="AD148" s="914"/>
      <c r="AE148" s="914"/>
      <c r="AF148" s="914"/>
      <c r="AG148" s="914"/>
      <c r="AH148" s="914"/>
      <c r="AI148" s="914"/>
      <c r="AJ148" s="914"/>
    </row>
    <row r="149" spans="1:36" ht="15" x14ac:dyDescent="0.25">
      <c r="A149" s="925" t="s">
        <v>213</v>
      </c>
      <c r="B149" s="926"/>
      <c r="C149" s="927"/>
      <c r="D149" s="927"/>
      <c r="E149" s="927"/>
      <c r="F149" s="927"/>
      <c r="G149" s="927"/>
      <c r="H149" s="927"/>
      <c r="I149" s="927"/>
      <c r="J149" s="927"/>
      <c r="K149" s="927"/>
      <c r="L149" s="927"/>
      <c r="M149" s="927"/>
      <c r="N149" s="927"/>
      <c r="O149" s="927"/>
      <c r="P149" s="927"/>
      <c r="Q149" s="927"/>
      <c r="R149" s="927"/>
      <c r="S149" s="927"/>
      <c r="T149" s="1104"/>
      <c r="U149" s="1104"/>
      <c r="V149" s="1104"/>
      <c r="W149" s="1104"/>
      <c r="X149" s="1104"/>
      <c r="Y149" s="1104"/>
      <c r="Z149" s="1104"/>
      <c r="AA149" s="1104"/>
      <c r="AB149" s="1104"/>
      <c r="AC149" s="1104"/>
      <c r="AD149" s="1104"/>
      <c r="AE149" s="1104"/>
      <c r="AF149" s="914"/>
      <c r="AG149" s="914"/>
      <c r="AH149" s="914"/>
      <c r="AI149" s="914"/>
      <c r="AJ149" s="914"/>
    </row>
    <row r="150" spans="1:36" ht="15" x14ac:dyDescent="0.25">
      <c r="A150" s="928" t="s">
        <v>214</v>
      </c>
      <c r="B150" s="926"/>
      <c r="C150" s="929"/>
      <c r="D150" s="929"/>
      <c r="E150" s="929"/>
      <c r="F150" s="929"/>
      <c r="G150" s="929"/>
      <c r="H150" s="929"/>
      <c r="I150" s="929"/>
      <c r="J150" s="929"/>
      <c r="K150" s="929"/>
      <c r="L150" s="929"/>
      <c r="M150" s="929"/>
      <c r="N150" s="929"/>
      <c r="O150" s="929"/>
      <c r="P150" s="929"/>
      <c r="Q150" s="929"/>
      <c r="R150" s="929"/>
      <c r="S150" s="1139"/>
      <c r="T150" s="1102"/>
      <c r="U150" s="1102"/>
      <c r="V150" s="1102"/>
      <c r="W150" s="1102"/>
      <c r="X150" s="1102"/>
      <c r="Y150" s="1102"/>
      <c r="Z150" s="1102"/>
      <c r="AA150" s="1102"/>
      <c r="AB150" s="1102"/>
      <c r="AC150" s="1102"/>
      <c r="AD150" s="1102"/>
      <c r="AE150" s="1102"/>
      <c r="AF150" s="914"/>
      <c r="AG150" s="914"/>
      <c r="AH150" s="914"/>
      <c r="AI150" s="914"/>
      <c r="AJ150" s="914"/>
    </row>
    <row r="151" spans="1:36" ht="15" x14ac:dyDescent="0.25">
      <c r="A151" s="930" t="s">
        <v>215</v>
      </c>
      <c r="B151" s="926"/>
      <c r="C151" s="931">
        <f t="shared" ref="C151:S151" si="47">C14</f>
        <v>90.680360000000007</v>
      </c>
      <c r="D151" s="931">
        <f t="shared" si="47"/>
        <v>0</v>
      </c>
      <c r="E151" s="931">
        <f t="shared" si="47"/>
        <v>0</v>
      </c>
      <c r="F151" s="931">
        <f t="shared" si="47"/>
        <v>0</v>
      </c>
      <c r="G151" s="931">
        <f t="shared" si="47"/>
        <v>0</v>
      </c>
      <c r="H151" s="931">
        <f t="shared" si="47"/>
        <v>0</v>
      </c>
      <c r="I151" s="931">
        <f t="shared" si="47"/>
        <v>0</v>
      </c>
      <c r="J151" s="931">
        <f t="shared" si="47"/>
        <v>0</v>
      </c>
      <c r="K151" s="931">
        <f t="shared" si="47"/>
        <v>0</v>
      </c>
      <c r="L151" s="931">
        <f t="shared" si="47"/>
        <v>0</v>
      </c>
      <c r="M151" s="931">
        <f t="shared" si="47"/>
        <v>0</v>
      </c>
      <c r="N151" s="931">
        <f t="shared" si="47"/>
        <v>0</v>
      </c>
      <c r="O151" s="931">
        <f t="shared" si="47"/>
        <v>0</v>
      </c>
      <c r="P151" s="931">
        <f t="shared" si="47"/>
        <v>0</v>
      </c>
      <c r="Q151" s="931">
        <f t="shared" si="47"/>
        <v>0</v>
      </c>
      <c r="R151" s="931">
        <f t="shared" si="47"/>
        <v>0</v>
      </c>
      <c r="S151" s="1140">
        <f t="shared" si="47"/>
        <v>0</v>
      </c>
      <c r="T151" s="1105"/>
      <c r="U151" s="1105"/>
      <c r="V151" s="1105"/>
      <c r="W151" s="1105"/>
      <c r="X151" s="1105"/>
      <c r="Y151" s="1105"/>
      <c r="Z151" s="1105"/>
      <c r="AA151" s="1105"/>
      <c r="AB151" s="1105"/>
      <c r="AC151" s="1106"/>
      <c r="AD151" s="1105"/>
      <c r="AE151" s="1105"/>
      <c r="AF151" s="914"/>
      <c r="AG151" s="914"/>
      <c r="AH151" s="914"/>
      <c r="AI151" s="914"/>
      <c r="AJ151" s="914"/>
    </row>
    <row r="152" spans="1:36" ht="15" x14ac:dyDescent="0.25">
      <c r="A152" s="930" t="s">
        <v>216</v>
      </c>
      <c r="B152" s="926"/>
      <c r="C152" s="932">
        <f t="shared" ref="C152:S152" si="48">C20</f>
        <v>81.195559000000003</v>
      </c>
      <c r="D152" s="932">
        <f t="shared" si="48"/>
        <v>0</v>
      </c>
      <c r="E152" s="932">
        <f t="shared" si="48"/>
        <v>0</v>
      </c>
      <c r="F152" s="932">
        <f t="shared" si="48"/>
        <v>0</v>
      </c>
      <c r="G152" s="932">
        <f t="shared" si="48"/>
        <v>0</v>
      </c>
      <c r="H152" s="932">
        <f t="shared" si="48"/>
        <v>0</v>
      </c>
      <c r="I152" s="932">
        <f t="shared" si="48"/>
        <v>0</v>
      </c>
      <c r="J152" s="932">
        <f t="shared" si="48"/>
        <v>0</v>
      </c>
      <c r="K152" s="932">
        <f t="shared" si="48"/>
        <v>0</v>
      </c>
      <c r="L152" s="932">
        <f t="shared" si="48"/>
        <v>0</v>
      </c>
      <c r="M152" s="932">
        <f t="shared" si="48"/>
        <v>0</v>
      </c>
      <c r="N152" s="932">
        <f t="shared" si="48"/>
        <v>0</v>
      </c>
      <c r="O152" s="932">
        <f t="shared" si="48"/>
        <v>0</v>
      </c>
      <c r="P152" s="932">
        <f t="shared" si="48"/>
        <v>0</v>
      </c>
      <c r="Q152" s="932">
        <f t="shared" si="48"/>
        <v>0</v>
      </c>
      <c r="R152" s="932">
        <f t="shared" si="48"/>
        <v>0</v>
      </c>
      <c r="S152" s="1141">
        <f t="shared" si="48"/>
        <v>0</v>
      </c>
      <c r="T152" s="1107"/>
      <c r="U152" s="1108"/>
      <c r="V152" s="1108"/>
      <c r="W152" s="1108"/>
      <c r="X152" s="1108"/>
      <c r="Y152" s="1108"/>
      <c r="Z152" s="1108"/>
      <c r="AA152" s="1108"/>
      <c r="AB152" s="1108"/>
      <c r="AC152" s="1107"/>
      <c r="AD152" s="1108"/>
      <c r="AE152" s="1108"/>
      <c r="AF152" s="914"/>
      <c r="AG152" s="914"/>
      <c r="AH152" s="914"/>
      <c r="AI152" s="914"/>
      <c r="AJ152" s="914"/>
    </row>
    <row r="153" spans="1:36" ht="15" x14ac:dyDescent="0.25">
      <c r="A153" s="933" t="s">
        <v>217</v>
      </c>
      <c r="B153" s="926"/>
      <c r="C153" s="934"/>
      <c r="D153" s="934"/>
      <c r="E153" s="934"/>
      <c r="F153" s="934"/>
      <c r="G153" s="934"/>
      <c r="H153" s="934"/>
      <c r="I153" s="934"/>
      <c r="J153" s="934"/>
      <c r="K153" s="934"/>
      <c r="L153" s="934"/>
      <c r="M153" s="934"/>
      <c r="N153" s="934"/>
      <c r="O153" s="934"/>
      <c r="P153" s="934"/>
      <c r="Q153" s="934"/>
      <c r="R153" s="934"/>
      <c r="S153" s="1142"/>
      <c r="T153" s="1109"/>
      <c r="U153" s="1109"/>
      <c r="V153" s="1109"/>
      <c r="W153" s="1109"/>
      <c r="X153" s="1109"/>
      <c r="Y153" s="1109"/>
      <c r="Z153" s="1109"/>
      <c r="AA153" s="1109"/>
      <c r="AB153" s="1109"/>
      <c r="AC153" s="1109"/>
      <c r="AD153" s="1109"/>
      <c r="AE153" s="1109"/>
      <c r="AF153" s="914"/>
      <c r="AG153" s="914"/>
      <c r="AH153" s="914"/>
      <c r="AI153" s="914"/>
      <c r="AJ153" s="914"/>
    </row>
    <row r="154" spans="1:36" ht="15" x14ac:dyDescent="0.25">
      <c r="A154" s="935" t="s">
        <v>218</v>
      </c>
      <c r="B154" s="926"/>
      <c r="C154" s="936">
        <v>17265</v>
      </c>
      <c r="D154" s="936">
        <v>17265</v>
      </c>
      <c r="E154" s="936">
        <v>17265</v>
      </c>
      <c r="F154" s="936">
        <v>17265</v>
      </c>
      <c r="G154" s="936"/>
      <c r="H154" s="936"/>
      <c r="I154" s="936"/>
      <c r="J154" s="936"/>
      <c r="K154" s="936"/>
      <c r="L154" s="936"/>
      <c r="M154" s="936"/>
      <c r="N154" s="936"/>
      <c r="O154" s="936"/>
      <c r="P154" s="936"/>
      <c r="Q154" s="936"/>
      <c r="R154" s="936"/>
      <c r="S154" s="1143"/>
      <c r="T154" s="1110"/>
      <c r="U154" s="1110"/>
      <c r="V154" s="1110"/>
      <c r="W154" s="1110"/>
      <c r="X154" s="1110"/>
      <c r="Y154" s="1110"/>
      <c r="Z154" s="1110"/>
      <c r="AA154" s="1110"/>
      <c r="AB154" s="1110"/>
      <c r="AC154" s="1110"/>
      <c r="AD154" s="1110"/>
      <c r="AE154" s="1110"/>
      <c r="AF154" s="914"/>
      <c r="AG154" s="914"/>
      <c r="AH154" s="914"/>
      <c r="AI154" s="914"/>
      <c r="AJ154" s="914"/>
    </row>
    <row r="155" spans="1:36" ht="15" x14ac:dyDescent="0.25">
      <c r="A155" s="935" t="s">
        <v>219</v>
      </c>
      <c r="B155" s="926"/>
      <c r="C155" s="936">
        <v>8977</v>
      </c>
      <c r="D155" s="936">
        <v>8977</v>
      </c>
      <c r="E155" s="936">
        <v>8977</v>
      </c>
      <c r="F155" s="936">
        <v>8977</v>
      </c>
      <c r="G155" s="936"/>
      <c r="H155" s="936"/>
      <c r="I155" s="936"/>
      <c r="J155" s="936"/>
      <c r="K155" s="936"/>
      <c r="L155" s="936"/>
      <c r="M155" s="936"/>
      <c r="N155" s="936"/>
      <c r="O155" s="936"/>
      <c r="P155" s="936"/>
      <c r="Q155" s="936"/>
      <c r="R155" s="936"/>
      <c r="S155" s="1143"/>
      <c r="T155" s="1110"/>
      <c r="U155" s="1110"/>
      <c r="V155" s="1110"/>
      <c r="W155" s="1110"/>
      <c r="X155" s="1110"/>
      <c r="Y155" s="1110"/>
      <c r="Z155" s="1110"/>
      <c r="AA155" s="1110"/>
      <c r="AB155" s="1110"/>
      <c r="AC155" s="1110"/>
      <c r="AD155" s="1110"/>
      <c r="AE155" s="1110"/>
      <c r="AF155" s="914"/>
      <c r="AG155" s="914"/>
      <c r="AH155" s="914"/>
      <c r="AI155" s="914"/>
      <c r="AJ155" s="914"/>
    </row>
    <row r="156" spans="1:36" x14ac:dyDescent="0.2">
      <c r="A156" s="937"/>
      <c r="B156" s="926"/>
      <c r="C156" s="938"/>
      <c r="D156" s="938"/>
      <c r="E156" s="938"/>
      <c r="F156" s="938"/>
      <c r="G156" s="938"/>
      <c r="H156" s="938"/>
      <c r="I156" s="938"/>
      <c r="J156" s="938"/>
      <c r="K156" s="938"/>
      <c r="L156" s="938"/>
      <c r="M156" s="938"/>
      <c r="N156" s="938"/>
      <c r="O156" s="938"/>
      <c r="P156" s="938"/>
      <c r="Q156" s="938"/>
      <c r="R156" s="938"/>
      <c r="S156" s="1144"/>
      <c r="T156" s="955"/>
      <c r="U156" s="955"/>
      <c r="V156" s="955"/>
      <c r="W156" s="955"/>
      <c r="X156" s="955"/>
      <c r="Y156" s="955"/>
      <c r="Z156" s="955"/>
      <c r="AA156" s="955"/>
      <c r="AB156" s="955"/>
      <c r="AC156" s="955"/>
      <c r="AD156" s="955"/>
      <c r="AE156" s="955"/>
      <c r="AF156" s="914"/>
      <c r="AG156" s="914"/>
      <c r="AH156" s="914"/>
      <c r="AI156" s="914"/>
      <c r="AJ156" s="914"/>
    </row>
    <row r="157" spans="1:36" x14ac:dyDescent="0.2">
      <c r="A157" s="939" t="s">
        <v>220</v>
      </c>
      <c r="B157" s="926"/>
      <c r="C157" s="938"/>
      <c r="D157" s="938"/>
      <c r="E157" s="938"/>
      <c r="F157" s="938"/>
      <c r="G157" s="938"/>
      <c r="H157" s="938"/>
      <c r="I157" s="938"/>
      <c r="J157" s="938"/>
      <c r="K157" s="938"/>
      <c r="L157" s="938"/>
      <c r="M157" s="938"/>
      <c r="N157" s="938"/>
      <c r="O157" s="938"/>
      <c r="P157" s="938"/>
      <c r="Q157" s="938"/>
      <c r="R157" s="938"/>
      <c r="S157" s="1144"/>
      <c r="T157" s="955"/>
      <c r="U157" s="955"/>
      <c r="V157" s="955"/>
      <c r="W157" s="955"/>
      <c r="X157" s="955"/>
      <c r="Y157" s="955"/>
      <c r="Z157" s="955"/>
      <c r="AA157" s="955"/>
      <c r="AB157" s="955"/>
      <c r="AC157" s="955"/>
      <c r="AD157" s="955"/>
      <c r="AE157" s="955"/>
      <c r="AF157" s="914"/>
      <c r="AG157" s="914"/>
      <c r="AH157" s="914"/>
      <c r="AI157" s="914"/>
      <c r="AJ157" s="914"/>
    </row>
    <row r="158" spans="1:36" x14ac:dyDescent="0.2">
      <c r="A158" s="940" t="s">
        <v>221</v>
      </c>
      <c r="B158" s="926"/>
      <c r="C158" s="941">
        <f t="shared" ref="C158:J158" si="49">((C159-C160-C169)*C152+C154)*(1+C168)</f>
        <v>96208.978726851361</v>
      </c>
      <c r="D158" s="941">
        <f t="shared" si="49"/>
        <v>17265</v>
      </c>
      <c r="E158" s="941">
        <f t="shared" si="49"/>
        <v>17265</v>
      </c>
      <c r="F158" s="941">
        <f t="shared" si="49"/>
        <v>17265</v>
      </c>
      <c r="G158" s="941">
        <f t="shared" si="49"/>
        <v>0</v>
      </c>
      <c r="H158" s="941">
        <f t="shared" si="49"/>
        <v>0</v>
      </c>
      <c r="I158" s="941">
        <f t="shared" si="49"/>
        <v>0</v>
      </c>
      <c r="J158" s="941">
        <f t="shared" si="49"/>
        <v>0</v>
      </c>
      <c r="K158" s="941">
        <f>((K159-K205-K160-K169)*K152+K154)*(1+K168)</f>
        <v>0</v>
      </c>
      <c r="L158" s="941">
        <f t="shared" ref="L158:N158" si="50">((L159-L205-L160-L169)*L152+L154)*(1+L168)</f>
        <v>0</v>
      </c>
      <c r="M158" s="941">
        <f t="shared" si="50"/>
        <v>0</v>
      </c>
      <c r="N158" s="941">
        <f t="shared" si="50"/>
        <v>0</v>
      </c>
      <c r="O158" s="941">
        <f t="shared" ref="O158:S158" si="51">((O159-O160-O169)*O152+O154)*(1+O168)</f>
        <v>0</v>
      </c>
      <c r="P158" s="941">
        <f t="shared" si="51"/>
        <v>0</v>
      </c>
      <c r="Q158" s="941">
        <f t="shared" si="51"/>
        <v>0</v>
      </c>
      <c r="R158" s="941">
        <f t="shared" si="51"/>
        <v>0</v>
      </c>
      <c r="S158" s="1145">
        <f t="shared" si="51"/>
        <v>0</v>
      </c>
      <c r="T158" s="1105"/>
      <c r="U158" s="1105"/>
      <c r="V158" s="1105"/>
      <c r="W158" s="1105"/>
      <c r="X158" s="1105"/>
      <c r="Y158" s="1105"/>
      <c r="Z158" s="1105"/>
      <c r="AA158" s="1105"/>
      <c r="AB158" s="1105"/>
      <c r="AC158" s="1105"/>
      <c r="AD158" s="1105"/>
      <c r="AE158" s="1105"/>
      <c r="AF158" s="914"/>
      <c r="AG158" s="914"/>
      <c r="AH158" s="914"/>
      <c r="AI158" s="914"/>
      <c r="AJ158" s="914"/>
    </row>
    <row r="159" spans="1:36" x14ac:dyDescent="0.2">
      <c r="A159" s="942" t="s">
        <v>222</v>
      </c>
      <c r="B159" s="926"/>
      <c r="C159" s="943">
        <v>809.92829999999992</v>
      </c>
      <c r="D159" s="943"/>
      <c r="E159" s="943"/>
      <c r="F159" s="943"/>
      <c r="G159" s="943"/>
      <c r="H159" s="943"/>
      <c r="I159" s="943"/>
      <c r="J159" s="943"/>
      <c r="K159" s="943"/>
      <c r="L159" s="943"/>
      <c r="M159" s="943"/>
      <c r="N159" s="943"/>
      <c r="O159" s="944"/>
      <c r="P159" s="944"/>
      <c r="Q159" s="944"/>
      <c r="R159" s="944"/>
      <c r="S159" s="1146"/>
      <c r="T159" s="1105"/>
      <c r="U159" s="1105"/>
      <c r="V159" s="1105"/>
      <c r="W159" s="1105"/>
      <c r="X159" s="1105"/>
      <c r="Y159" s="1105"/>
      <c r="Z159" s="1105"/>
      <c r="AA159" s="1105"/>
      <c r="AB159" s="1105"/>
      <c r="AC159" s="1105"/>
      <c r="AD159" s="1105"/>
      <c r="AE159" s="1105"/>
      <c r="AF159" s="914"/>
      <c r="AG159" s="914"/>
      <c r="AH159" s="914"/>
      <c r="AI159" s="914"/>
      <c r="AJ159" s="914"/>
    </row>
    <row r="160" spans="1:36" x14ac:dyDescent="0.2">
      <c r="A160" s="942" t="s">
        <v>223</v>
      </c>
      <c r="B160" s="926"/>
      <c r="C160" s="943">
        <v>23.753299999999999</v>
      </c>
      <c r="D160" s="943"/>
      <c r="E160" s="943"/>
      <c r="F160" s="943"/>
      <c r="G160" s="943"/>
      <c r="H160" s="943"/>
      <c r="I160" s="943"/>
      <c r="J160" s="943"/>
      <c r="K160" s="943"/>
      <c r="L160" s="943"/>
      <c r="M160" s="943"/>
      <c r="N160" s="943"/>
      <c r="O160" s="944"/>
      <c r="P160" s="944"/>
      <c r="Q160" s="944"/>
      <c r="R160" s="944"/>
      <c r="S160" s="1146"/>
      <c r="T160" s="1105"/>
      <c r="U160" s="1105"/>
      <c r="V160" s="1105"/>
      <c r="W160" s="1105"/>
      <c r="X160" s="1105"/>
      <c r="Y160" s="1105"/>
      <c r="Z160" s="1105"/>
      <c r="AA160" s="1105"/>
      <c r="AB160" s="1105"/>
      <c r="AC160" s="1105"/>
      <c r="AD160" s="1105"/>
      <c r="AE160" s="1105"/>
      <c r="AF160" s="914"/>
      <c r="AG160" s="914"/>
      <c r="AH160" s="914"/>
      <c r="AI160" s="914"/>
      <c r="AJ160" s="914"/>
    </row>
    <row r="161" spans="1:36" x14ac:dyDescent="0.2">
      <c r="A161" s="945" t="s">
        <v>224</v>
      </c>
      <c r="B161" s="926"/>
      <c r="C161" s="943">
        <v>182.09755756250007</v>
      </c>
      <c r="D161" s="943"/>
      <c r="E161" s="943"/>
      <c r="F161" s="943"/>
      <c r="G161" s="943"/>
      <c r="H161" s="943"/>
      <c r="I161" s="943"/>
      <c r="J161" s="943"/>
      <c r="K161" s="943"/>
      <c r="L161" s="943"/>
      <c r="M161" s="943"/>
      <c r="N161" s="943"/>
      <c r="O161" s="931"/>
      <c r="P161" s="931"/>
      <c r="Q161" s="931"/>
      <c r="R161" s="931"/>
      <c r="S161" s="1140"/>
      <c r="T161" s="1105"/>
      <c r="U161" s="1105"/>
      <c r="V161" s="1105"/>
      <c r="W161" s="1105"/>
      <c r="X161" s="1105"/>
      <c r="Y161" s="1105"/>
      <c r="Z161" s="1105"/>
      <c r="AA161" s="1105"/>
      <c r="AB161" s="1105"/>
      <c r="AC161" s="1105"/>
      <c r="AD161" s="1105"/>
      <c r="AE161" s="1105"/>
      <c r="AF161" s="914"/>
      <c r="AG161" s="914"/>
      <c r="AH161" s="914"/>
      <c r="AI161" s="914"/>
      <c r="AJ161" s="914"/>
    </row>
    <row r="162" spans="1:36" x14ac:dyDescent="0.2">
      <c r="A162" s="942"/>
      <c r="B162" s="926"/>
      <c r="C162" s="944"/>
      <c r="D162" s="944"/>
      <c r="E162" s="944"/>
      <c r="F162" s="944"/>
      <c r="G162" s="944"/>
      <c r="H162" s="944"/>
      <c r="I162" s="944"/>
      <c r="J162" s="944"/>
      <c r="K162" s="944"/>
      <c r="L162" s="944"/>
      <c r="M162" s="944"/>
      <c r="N162" s="944"/>
      <c r="O162" s="944"/>
      <c r="P162" s="944"/>
      <c r="Q162" s="944"/>
      <c r="R162" s="944"/>
      <c r="S162" s="1146"/>
      <c r="T162" s="1105"/>
      <c r="U162" s="1105"/>
      <c r="V162" s="1105"/>
      <c r="W162" s="1105"/>
      <c r="X162" s="1105"/>
      <c r="Y162" s="1105"/>
      <c r="Z162" s="1105"/>
      <c r="AA162" s="1105"/>
      <c r="AB162" s="1105"/>
      <c r="AC162" s="1105"/>
      <c r="AD162" s="1105"/>
      <c r="AE162" s="1105"/>
      <c r="AF162" s="914"/>
      <c r="AG162" s="914"/>
      <c r="AH162" s="914"/>
      <c r="AI162" s="914"/>
      <c r="AJ162" s="914"/>
    </row>
    <row r="163" spans="1:36" x14ac:dyDescent="0.2">
      <c r="A163" s="940" t="s">
        <v>225</v>
      </c>
      <c r="B163" s="926"/>
      <c r="C163" s="941">
        <f t="shared" ref="C163:S163" si="52">((C164-C165-C170)*C152+C155)*(1+C168)</f>
        <v>9662.6764106613646</v>
      </c>
      <c r="D163" s="941">
        <f t="shared" si="52"/>
        <v>8977</v>
      </c>
      <c r="E163" s="941">
        <f t="shared" si="52"/>
        <v>8977</v>
      </c>
      <c r="F163" s="941">
        <f t="shared" si="52"/>
        <v>8977</v>
      </c>
      <c r="G163" s="941">
        <f t="shared" si="52"/>
        <v>0</v>
      </c>
      <c r="H163" s="941">
        <f t="shared" si="52"/>
        <v>0</v>
      </c>
      <c r="I163" s="941">
        <f t="shared" si="52"/>
        <v>0</v>
      </c>
      <c r="J163" s="941">
        <f t="shared" si="52"/>
        <v>0</v>
      </c>
      <c r="K163" s="941">
        <f t="shared" si="52"/>
        <v>0</v>
      </c>
      <c r="L163" s="941">
        <f t="shared" si="52"/>
        <v>0</v>
      </c>
      <c r="M163" s="941">
        <f t="shared" si="52"/>
        <v>0</v>
      </c>
      <c r="N163" s="941">
        <f t="shared" si="52"/>
        <v>0</v>
      </c>
      <c r="O163" s="941">
        <f t="shared" si="52"/>
        <v>0</v>
      </c>
      <c r="P163" s="941">
        <f t="shared" si="52"/>
        <v>0</v>
      </c>
      <c r="Q163" s="941">
        <f t="shared" si="52"/>
        <v>0</v>
      </c>
      <c r="R163" s="941">
        <f t="shared" si="52"/>
        <v>0</v>
      </c>
      <c r="S163" s="1145">
        <f t="shared" si="52"/>
        <v>0</v>
      </c>
      <c r="T163" s="1105"/>
      <c r="U163" s="1105"/>
      <c r="V163" s="1105"/>
      <c r="W163" s="1105"/>
      <c r="X163" s="1105"/>
      <c r="Y163" s="1105"/>
      <c r="Z163" s="1105"/>
      <c r="AA163" s="1105"/>
      <c r="AB163" s="1105"/>
      <c r="AC163" s="1105"/>
      <c r="AD163" s="1105"/>
      <c r="AE163" s="1105"/>
      <c r="AF163" s="914"/>
      <c r="AG163" s="914"/>
      <c r="AH163" s="914"/>
      <c r="AI163" s="914"/>
      <c r="AJ163" s="914"/>
    </row>
    <row r="164" spans="1:36" x14ac:dyDescent="0.2">
      <c r="A164" s="942" t="s">
        <v>226</v>
      </c>
      <c r="B164" s="926"/>
      <c r="C164" s="1199">
        <f>B164*1.025 + 0.1783</f>
        <v>0.17829999999999999</v>
      </c>
      <c r="D164" s="943"/>
      <c r="E164" s="943"/>
      <c r="F164" s="943"/>
      <c r="G164" s="943"/>
      <c r="H164" s="943"/>
      <c r="I164" s="943"/>
      <c r="J164" s="943"/>
      <c r="K164" s="943"/>
      <c r="L164" s="943"/>
      <c r="M164" s="943"/>
      <c r="N164" s="943"/>
      <c r="O164" s="944"/>
      <c r="P164" s="944"/>
      <c r="Q164" s="944"/>
      <c r="R164" s="944"/>
      <c r="S164" s="1146"/>
      <c r="T164" s="1105"/>
      <c r="U164" s="1105"/>
      <c r="V164" s="1105"/>
      <c r="W164" s="1105"/>
      <c r="X164" s="1105"/>
      <c r="Y164" s="1105"/>
      <c r="Z164" s="1105"/>
      <c r="AA164" s="1105"/>
      <c r="AB164" s="1105"/>
      <c r="AC164" s="1105"/>
      <c r="AD164" s="1105"/>
      <c r="AE164" s="1105"/>
      <c r="AF164" s="914"/>
      <c r="AG164" s="914"/>
      <c r="AH164" s="914"/>
      <c r="AI164" s="914"/>
      <c r="AJ164" s="914"/>
    </row>
    <row r="165" spans="1:36" x14ac:dyDescent="0.2">
      <c r="A165" s="942" t="s">
        <v>227</v>
      </c>
      <c r="B165" s="926"/>
      <c r="C165" s="1199">
        <f t="shared" ref="C165:C166" si="53">B165*1.025 + 0.1783</f>
        <v>0.17829999999999999</v>
      </c>
      <c r="D165" s="943"/>
      <c r="E165" s="943"/>
      <c r="F165" s="943"/>
      <c r="G165" s="943"/>
      <c r="H165" s="943"/>
      <c r="I165" s="943"/>
      <c r="J165" s="943"/>
      <c r="K165" s="943"/>
      <c r="L165" s="943"/>
      <c r="M165" s="943"/>
      <c r="N165" s="943"/>
      <c r="O165" s="944"/>
      <c r="P165" s="944"/>
      <c r="Q165" s="944"/>
      <c r="R165" s="944"/>
      <c r="S165" s="1146"/>
      <c r="T165" s="1105"/>
      <c r="U165" s="1105"/>
      <c r="V165" s="1105"/>
      <c r="W165" s="1105"/>
      <c r="X165" s="1105"/>
      <c r="Y165" s="1105"/>
      <c r="Z165" s="1105"/>
      <c r="AA165" s="1105"/>
      <c r="AB165" s="1105"/>
      <c r="AC165" s="1105"/>
      <c r="AD165" s="1105"/>
      <c r="AE165" s="1105"/>
      <c r="AF165" s="914"/>
      <c r="AG165" s="914"/>
      <c r="AH165" s="914"/>
      <c r="AI165" s="914"/>
      <c r="AJ165" s="914"/>
    </row>
    <row r="166" spans="1:36" x14ac:dyDescent="0.2">
      <c r="A166" s="945" t="s">
        <v>228</v>
      </c>
      <c r="B166" s="926"/>
      <c r="C166" s="1199">
        <f t="shared" si="53"/>
        <v>0.17829999999999999</v>
      </c>
      <c r="D166" s="943"/>
      <c r="E166" s="943"/>
      <c r="F166" s="943"/>
      <c r="G166" s="943"/>
      <c r="H166" s="943"/>
      <c r="I166" s="943"/>
      <c r="J166" s="943"/>
      <c r="K166" s="943"/>
      <c r="L166" s="943"/>
      <c r="M166" s="943"/>
      <c r="N166" s="943"/>
      <c r="O166" s="931"/>
      <c r="P166" s="931"/>
      <c r="Q166" s="931"/>
      <c r="R166" s="931"/>
      <c r="S166" s="1140"/>
      <c r="T166" s="1105"/>
      <c r="U166" s="1105"/>
      <c r="V166" s="1105"/>
      <c r="W166" s="1105"/>
      <c r="X166" s="1105"/>
      <c r="Y166" s="1105"/>
      <c r="Z166" s="1105"/>
      <c r="AA166" s="1105"/>
      <c r="AB166" s="1105"/>
      <c r="AC166" s="1105"/>
      <c r="AD166" s="1105"/>
      <c r="AE166" s="1105"/>
      <c r="AF166" s="914"/>
      <c r="AG166" s="914"/>
      <c r="AH166" s="914"/>
      <c r="AI166" s="914"/>
      <c r="AJ166" s="914"/>
    </row>
    <row r="167" spans="1:36" x14ac:dyDescent="0.2">
      <c r="A167" s="942"/>
      <c r="B167" s="926"/>
      <c r="C167" s="944"/>
      <c r="D167" s="944"/>
      <c r="E167" s="944"/>
      <c r="F167" s="944"/>
      <c r="G167" s="944"/>
      <c r="H167" s="944"/>
      <c r="I167" s="944"/>
      <c r="J167" s="944"/>
      <c r="K167" s="944"/>
      <c r="L167" s="944"/>
      <c r="M167" s="944"/>
      <c r="N167" s="944"/>
      <c r="O167" s="944"/>
      <c r="P167" s="944"/>
      <c r="Q167" s="944"/>
      <c r="R167" s="944"/>
      <c r="S167" s="1146"/>
      <c r="T167" s="1105"/>
      <c r="U167" s="1105"/>
      <c r="V167" s="1105"/>
      <c r="W167" s="1105"/>
      <c r="X167" s="1105"/>
      <c r="Y167" s="1105"/>
      <c r="Z167" s="1105"/>
      <c r="AA167" s="1105"/>
      <c r="AB167" s="1105"/>
      <c r="AC167" s="1105"/>
      <c r="AD167" s="1105"/>
      <c r="AE167" s="1105"/>
      <c r="AF167" s="914"/>
      <c r="AG167" s="914"/>
      <c r="AH167" s="914"/>
      <c r="AI167" s="914"/>
      <c r="AJ167" s="914"/>
    </row>
    <row r="168" spans="1:36" ht="15" x14ac:dyDescent="0.25">
      <c r="A168" s="946" t="s">
        <v>229</v>
      </c>
      <c r="B168" s="926"/>
      <c r="C168" s="947">
        <v>0.2</v>
      </c>
      <c r="D168" s="947"/>
      <c r="E168" s="947"/>
      <c r="F168" s="947"/>
      <c r="G168" s="947"/>
      <c r="H168" s="947"/>
      <c r="I168" s="947"/>
      <c r="J168" s="947"/>
      <c r="K168" s="947"/>
      <c r="L168" s="947"/>
      <c r="M168" s="947"/>
      <c r="N168" s="947"/>
      <c r="O168" s="947"/>
      <c r="P168" s="947"/>
      <c r="Q168" s="947"/>
      <c r="R168" s="947"/>
      <c r="S168" s="1147"/>
      <c r="T168" s="1111"/>
      <c r="U168" s="1111"/>
      <c r="V168" s="1111"/>
      <c r="W168" s="1111"/>
      <c r="X168" s="1111"/>
      <c r="Y168" s="1111"/>
      <c r="Z168" s="1111"/>
      <c r="AA168" s="1111"/>
      <c r="AB168" s="1111"/>
      <c r="AC168" s="1111"/>
      <c r="AD168" s="1111"/>
      <c r="AE168" s="1111"/>
      <c r="AF168" s="914"/>
      <c r="AG168" s="914"/>
      <c r="AH168" s="914"/>
      <c r="AI168" s="914"/>
      <c r="AJ168" s="914"/>
    </row>
    <row r="169" spans="1:36" ht="15" x14ac:dyDescent="0.25">
      <c r="A169" s="948" t="s">
        <v>230</v>
      </c>
      <c r="B169" s="926"/>
      <c r="C169" s="949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949">
        <f t="shared" ref="D169:S169" si="54">IF(D171&lt;=15,0,IF(AND(D171&gt;15,D171&lt;=20),ROUNDDOWN((D171*7.3-109.5)*35%,1),IF(AND(D171&gt;20,D171&lt;=25),ROUNDDOWN((D171*7.3-146)*45%+12.78,1),(ROUNDDOWN((D171*7.3-182.5)*30%+29.2,1)))))*(1-D22)*30%</f>
        <v>0</v>
      </c>
      <c r="E169" s="949">
        <f t="shared" si="54"/>
        <v>0</v>
      </c>
      <c r="F169" s="949">
        <f t="shared" si="54"/>
        <v>0</v>
      </c>
      <c r="G169" s="949">
        <f t="shared" si="54"/>
        <v>0</v>
      </c>
      <c r="H169" s="949">
        <f t="shared" si="54"/>
        <v>0</v>
      </c>
      <c r="I169" s="949">
        <f t="shared" si="54"/>
        <v>0</v>
      </c>
      <c r="J169" s="949">
        <f t="shared" si="54"/>
        <v>0</v>
      </c>
      <c r="K169" s="949">
        <f t="shared" si="54"/>
        <v>0</v>
      </c>
      <c r="L169" s="949">
        <f t="shared" si="54"/>
        <v>0</v>
      </c>
      <c r="M169" s="949">
        <f t="shared" si="54"/>
        <v>0</v>
      </c>
      <c r="N169" s="949">
        <f t="shared" si="54"/>
        <v>0</v>
      </c>
      <c r="O169" s="949">
        <f t="shared" si="54"/>
        <v>0</v>
      </c>
      <c r="P169" s="949">
        <f t="shared" si="54"/>
        <v>0</v>
      </c>
      <c r="Q169" s="949">
        <f t="shared" si="54"/>
        <v>0</v>
      </c>
      <c r="R169" s="949">
        <f t="shared" si="54"/>
        <v>0</v>
      </c>
      <c r="S169" s="1148">
        <f t="shared" si="54"/>
        <v>0</v>
      </c>
      <c r="T169" s="1112"/>
      <c r="U169" s="1112"/>
      <c r="V169" s="1112"/>
      <c r="W169" s="1112"/>
      <c r="X169" s="1112"/>
      <c r="Y169" s="1112"/>
      <c r="Z169" s="1112"/>
      <c r="AA169" s="1112"/>
      <c r="AB169" s="1112"/>
      <c r="AC169" s="1112"/>
      <c r="AD169" s="1112"/>
      <c r="AE169" s="1112"/>
      <c r="AF169" s="914"/>
      <c r="AG169" s="914"/>
      <c r="AH169" s="914"/>
      <c r="AI169" s="914"/>
      <c r="AJ169" s="914"/>
    </row>
    <row r="170" spans="1:36" ht="15" x14ac:dyDescent="0.25">
      <c r="A170" s="950" t="s">
        <v>231</v>
      </c>
      <c r="B170" s="926"/>
      <c r="C170" s="951">
        <f t="shared" ref="C170:S170" si="55">C169</f>
        <v>11.389411799999998</v>
      </c>
      <c r="D170" s="951">
        <f t="shared" si="55"/>
        <v>0</v>
      </c>
      <c r="E170" s="951">
        <f t="shared" si="55"/>
        <v>0</v>
      </c>
      <c r="F170" s="951">
        <f t="shared" si="55"/>
        <v>0</v>
      </c>
      <c r="G170" s="951">
        <f t="shared" si="55"/>
        <v>0</v>
      </c>
      <c r="H170" s="951">
        <f t="shared" si="55"/>
        <v>0</v>
      </c>
      <c r="I170" s="951">
        <f t="shared" si="55"/>
        <v>0</v>
      </c>
      <c r="J170" s="951">
        <f t="shared" si="55"/>
        <v>0</v>
      </c>
      <c r="K170" s="951">
        <f t="shared" si="55"/>
        <v>0</v>
      </c>
      <c r="L170" s="951">
        <f t="shared" si="55"/>
        <v>0</v>
      </c>
      <c r="M170" s="951">
        <f t="shared" si="55"/>
        <v>0</v>
      </c>
      <c r="N170" s="951">
        <f t="shared" si="55"/>
        <v>0</v>
      </c>
      <c r="O170" s="951">
        <f t="shared" si="55"/>
        <v>0</v>
      </c>
      <c r="P170" s="951">
        <f t="shared" si="55"/>
        <v>0</v>
      </c>
      <c r="Q170" s="951">
        <f t="shared" si="55"/>
        <v>0</v>
      </c>
      <c r="R170" s="951">
        <f t="shared" si="55"/>
        <v>0</v>
      </c>
      <c r="S170" s="1149">
        <f t="shared" si="55"/>
        <v>0</v>
      </c>
      <c r="T170" s="1112"/>
      <c r="U170" s="1112"/>
      <c r="V170" s="1112"/>
      <c r="W170" s="1112"/>
      <c r="X170" s="1112"/>
      <c r="Y170" s="1112"/>
      <c r="Z170" s="1112"/>
      <c r="AA170" s="1112"/>
      <c r="AB170" s="1112"/>
      <c r="AC170" s="1112"/>
      <c r="AD170" s="1112"/>
      <c r="AE170" s="1112"/>
      <c r="AF170" s="914"/>
      <c r="AG170" s="914"/>
      <c r="AH170" s="914"/>
      <c r="AI170" s="914"/>
      <c r="AJ170" s="914"/>
    </row>
    <row r="171" spans="1:36" ht="15" x14ac:dyDescent="0.25">
      <c r="A171" s="952" t="s">
        <v>232</v>
      </c>
      <c r="B171" s="953" t="s">
        <v>233</v>
      </c>
      <c r="C171" s="954">
        <v>72.23</v>
      </c>
      <c r="D171" s="954"/>
      <c r="E171" s="954"/>
      <c r="F171" s="954"/>
      <c r="G171" s="954"/>
      <c r="H171" s="954"/>
      <c r="I171" s="954"/>
      <c r="J171" s="954"/>
      <c r="K171" s="954"/>
      <c r="L171" s="954"/>
      <c r="M171" s="954"/>
      <c r="N171" s="954"/>
      <c r="O171" s="951"/>
      <c r="P171" s="951"/>
      <c r="Q171" s="951"/>
      <c r="R171" s="951"/>
      <c r="S171" s="1149"/>
      <c r="T171" s="955"/>
      <c r="U171" s="955"/>
      <c r="V171" s="955"/>
      <c r="W171" s="955"/>
      <c r="X171" s="955"/>
      <c r="Y171" s="955"/>
      <c r="Z171" s="955"/>
      <c r="AA171" s="955"/>
      <c r="AB171" s="955"/>
      <c r="AC171" s="955"/>
      <c r="AD171" s="955"/>
      <c r="AE171" s="955"/>
      <c r="AF171" s="914"/>
      <c r="AG171" s="914"/>
      <c r="AH171" s="914"/>
      <c r="AI171" s="914"/>
      <c r="AJ171" s="914"/>
    </row>
    <row r="172" spans="1:36" ht="15" x14ac:dyDescent="0.25">
      <c r="A172" s="956"/>
      <c r="B172" s="926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102"/>
      <c r="U172" s="1102"/>
      <c r="V172" s="1102"/>
      <c r="W172" s="1102"/>
      <c r="X172" s="1102"/>
      <c r="Y172" s="1102"/>
      <c r="Z172" s="1102"/>
      <c r="AA172" s="1102"/>
      <c r="AB172" s="1102"/>
      <c r="AC172" s="1102"/>
      <c r="AD172" s="1102"/>
      <c r="AE172" s="1102"/>
      <c r="AF172" s="914"/>
      <c r="AG172" s="914"/>
      <c r="AH172" s="914"/>
      <c r="AI172" s="914"/>
      <c r="AJ172" s="914"/>
    </row>
    <row r="173" spans="1:36" ht="15" x14ac:dyDescent="0.25">
      <c r="A173" s="957" t="s">
        <v>234</v>
      </c>
      <c r="B173" s="926"/>
      <c r="C173" s="958">
        <f>+DATE(C10,1,1)</f>
        <v>44562</v>
      </c>
      <c r="D173" s="958">
        <f>C173</f>
        <v>44562</v>
      </c>
      <c r="E173" s="958">
        <f t="shared" ref="E173:S173" si="56">D173</f>
        <v>44562</v>
      </c>
      <c r="F173" s="958">
        <f t="shared" si="56"/>
        <v>44562</v>
      </c>
      <c r="G173" s="958">
        <f t="shared" si="56"/>
        <v>44562</v>
      </c>
      <c r="H173" s="958">
        <f t="shared" si="56"/>
        <v>44562</v>
      </c>
      <c r="I173" s="958">
        <f t="shared" si="56"/>
        <v>44562</v>
      </c>
      <c r="J173" s="958">
        <f t="shared" si="56"/>
        <v>44562</v>
      </c>
      <c r="K173" s="958">
        <f t="shared" si="56"/>
        <v>44562</v>
      </c>
      <c r="L173" s="958">
        <f t="shared" si="56"/>
        <v>44562</v>
      </c>
      <c r="M173" s="958">
        <f t="shared" si="56"/>
        <v>44562</v>
      </c>
      <c r="N173" s="958">
        <f t="shared" si="56"/>
        <v>44562</v>
      </c>
      <c r="O173" s="958">
        <f t="shared" si="56"/>
        <v>44562</v>
      </c>
      <c r="P173" s="958">
        <f t="shared" si="56"/>
        <v>44562</v>
      </c>
      <c r="Q173" s="958">
        <f t="shared" si="56"/>
        <v>44562</v>
      </c>
      <c r="R173" s="958">
        <f t="shared" si="56"/>
        <v>44562</v>
      </c>
      <c r="S173" s="958">
        <f t="shared" si="56"/>
        <v>44562</v>
      </c>
      <c r="T173" s="1104"/>
      <c r="U173" s="1104"/>
      <c r="V173" s="1104"/>
      <c r="W173" s="1104"/>
      <c r="X173" s="1104"/>
      <c r="Y173" s="1104"/>
      <c r="Z173" s="1104"/>
      <c r="AA173" s="1104"/>
      <c r="AB173" s="1104"/>
      <c r="AC173" s="1104"/>
      <c r="AD173" s="1104"/>
      <c r="AE173" s="1104"/>
      <c r="AF173" s="914"/>
      <c r="AG173" s="914"/>
      <c r="AH173" s="914"/>
      <c r="AI173" s="914"/>
      <c r="AJ173" s="914"/>
    </row>
    <row r="174" spans="1:36" ht="25.5" x14ac:dyDescent="0.25">
      <c r="A174" s="959" t="s">
        <v>235</v>
      </c>
      <c r="B174" s="926"/>
      <c r="C174" s="960"/>
      <c r="D174" s="960"/>
      <c r="E174" s="960"/>
      <c r="F174" s="960"/>
      <c r="G174" s="960"/>
      <c r="H174" s="960"/>
      <c r="I174" s="960"/>
      <c r="J174" s="960"/>
      <c r="K174" s="960"/>
      <c r="L174" s="960"/>
      <c r="M174" s="960"/>
      <c r="N174" s="960"/>
      <c r="O174" s="960"/>
      <c r="P174" s="960"/>
      <c r="Q174" s="960"/>
      <c r="R174" s="960"/>
      <c r="S174" s="1150"/>
      <c r="T174" s="1113"/>
      <c r="U174" s="1113"/>
      <c r="V174" s="1113"/>
      <c r="W174" s="1113"/>
      <c r="X174" s="1113"/>
      <c r="Y174" s="1113"/>
      <c r="Z174" s="1113"/>
      <c r="AA174" s="1113"/>
      <c r="AB174" s="1113"/>
      <c r="AC174" s="1113"/>
      <c r="AD174" s="1113"/>
      <c r="AE174" s="1113"/>
      <c r="AF174" s="914"/>
      <c r="AG174" s="914"/>
      <c r="AH174" s="914"/>
      <c r="AI174" s="914"/>
      <c r="AJ174" s="914"/>
    </row>
    <row r="175" spans="1:36" x14ac:dyDescent="0.25">
      <c r="A175" s="961" t="s">
        <v>236</v>
      </c>
      <c r="B175" s="962"/>
      <c r="C175" s="963">
        <f t="shared" ref="C175:S176" si="57">C179-C181</f>
        <v>17781.978726851361</v>
      </c>
      <c r="D175" s="963">
        <f t="shared" si="57"/>
        <v>17265</v>
      </c>
      <c r="E175" s="963">
        <f t="shared" si="57"/>
        <v>17265</v>
      </c>
      <c r="F175" s="963">
        <f t="shared" si="57"/>
        <v>17265</v>
      </c>
      <c r="G175" s="963">
        <f t="shared" si="57"/>
        <v>0</v>
      </c>
      <c r="H175" s="963">
        <f t="shared" si="57"/>
        <v>0</v>
      </c>
      <c r="I175" s="963">
        <f t="shared" si="57"/>
        <v>0</v>
      </c>
      <c r="J175" s="963">
        <f t="shared" si="57"/>
        <v>0</v>
      </c>
      <c r="K175" s="963">
        <f t="shared" si="57"/>
        <v>0</v>
      </c>
      <c r="L175" s="963">
        <f t="shared" si="57"/>
        <v>0</v>
      </c>
      <c r="M175" s="963">
        <f t="shared" si="57"/>
        <v>0</v>
      </c>
      <c r="N175" s="963">
        <f t="shared" si="57"/>
        <v>0</v>
      </c>
      <c r="O175" s="963">
        <f t="shared" si="57"/>
        <v>0</v>
      </c>
      <c r="P175" s="963">
        <f t="shared" si="57"/>
        <v>0</v>
      </c>
      <c r="Q175" s="963">
        <f t="shared" si="57"/>
        <v>0</v>
      </c>
      <c r="R175" s="963">
        <f t="shared" si="57"/>
        <v>0</v>
      </c>
      <c r="S175" s="1151">
        <f t="shared" si="57"/>
        <v>0</v>
      </c>
      <c r="T175" s="1113"/>
      <c r="U175" s="1113"/>
      <c r="V175" s="1113"/>
      <c r="W175" s="1113"/>
      <c r="X175" s="1113"/>
      <c r="Y175" s="1113"/>
      <c r="Z175" s="1113"/>
      <c r="AA175" s="1113"/>
      <c r="AB175" s="1113"/>
      <c r="AC175" s="1113"/>
      <c r="AD175" s="1113"/>
      <c r="AE175" s="1113"/>
      <c r="AF175" s="914"/>
      <c r="AG175" s="914"/>
      <c r="AH175" s="914"/>
      <c r="AI175" s="914"/>
      <c r="AJ175" s="914"/>
    </row>
    <row r="176" spans="1:36" x14ac:dyDescent="0.25">
      <c r="A176" s="961" t="s">
        <v>237</v>
      </c>
      <c r="B176" s="962"/>
      <c r="C176" s="963">
        <f t="shared" si="57"/>
        <v>-66561.32358933863</v>
      </c>
      <c r="D176" s="963">
        <f t="shared" si="57"/>
        <v>8977</v>
      </c>
      <c r="E176" s="963">
        <f t="shared" si="57"/>
        <v>8977</v>
      </c>
      <c r="F176" s="963">
        <f t="shared" si="57"/>
        <v>8977</v>
      </c>
      <c r="G176" s="963">
        <f t="shared" si="57"/>
        <v>0</v>
      </c>
      <c r="H176" s="963">
        <f t="shared" si="57"/>
        <v>0</v>
      </c>
      <c r="I176" s="963">
        <f t="shared" si="57"/>
        <v>0</v>
      </c>
      <c r="J176" s="963">
        <f t="shared" si="57"/>
        <v>0</v>
      </c>
      <c r="K176" s="963">
        <f t="shared" si="57"/>
        <v>0</v>
      </c>
      <c r="L176" s="963">
        <f t="shared" si="57"/>
        <v>0</v>
      </c>
      <c r="M176" s="963">
        <f t="shared" si="57"/>
        <v>0</v>
      </c>
      <c r="N176" s="963">
        <f t="shared" si="57"/>
        <v>0</v>
      </c>
      <c r="O176" s="963">
        <f t="shared" si="57"/>
        <v>0</v>
      </c>
      <c r="P176" s="963">
        <f t="shared" si="57"/>
        <v>0</v>
      </c>
      <c r="Q176" s="963">
        <f t="shared" si="57"/>
        <v>0</v>
      </c>
      <c r="R176" s="963">
        <f t="shared" si="57"/>
        <v>0</v>
      </c>
      <c r="S176" s="1151">
        <f t="shared" si="57"/>
        <v>0</v>
      </c>
      <c r="T176" s="1113"/>
      <c r="U176" s="1113"/>
      <c r="V176" s="1113"/>
      <c r="W176" s="1113"/>
      <c r="X176" s="1113"/>
      <c r="Y176" s="1113"/>
      <c r="Z176" s="1113"/>
      <c r="AA176" s="1113"/>
      <c r="AB176" s="1113"/>
      <c r="AC176" s="1113"/>
      <c r="AD176" s="1113"/>
      <c r="AE176" s="1113"/>
      <c r="AF176" s="914"/>
      <c r="AG176" s="914"/>
      <c r="AH176" s="914"/>
      <c r="AI176" s="914"/>
      <c r="AJ176" s="914"/>
    </row>
    <row r="177" spans="1:36" x14ac:dyDescent="0.25">
      <c r="A177" s="964" t="s">
        <v>238</v>
      </c>
      <c r="B177" s="962"/>
      <c r="C177" s="965">
        <v>0.52</v>
      </c>
      <c r="D177" s="965"/>
      <c r="E177" s="965"/>
      <c r="F177" s="965"/>
      <c r="G177" s="965"/>
      <c r="H177" s="965"/>
      <c r="I177" s="965"/>
      <c r="J177" s="965"/>
      <c r="K177" s="965"/>
      <c r="L177" s="965"/>
      <c r="M177" s="965"/>
      <c r="N177" s="965"/>
      <c r="O177" s="965"/>
      <c r="P177" s="965"/>
      <c r="Q177" s="965"/>
      <c r="R177" s="965"/>
      <c r="S177" s="1152"/>
      <c r="T177" s="1114"/>
      <c r="U177" s="1114"/>
      <c r="V177" s="1114"/>
      <c r="W177" s="1114"/>
      <c r="X177" s="1114"/>
      <c r="Y177" s="1114"/>
      <c r="Z177" s="1114"/>
      <c r="AA177" s="1114"/>
      <c r="AB177" s="1114"/>
      <c r="AC177" s="1114"/>
      <c r="AD177" s="1114"/>
      <c r="AE177" s="1114"/>
      <c r="AF177" s="914"/>
      <c r="AG177" s="914"/>
      <c r="AH177" s="914"/>
      <c r="AI177" s="914"/>
      <c r="AJ177" s="914"/>
    </row>
    <row r="178" spans="1:36" x14ac:dyDescent="0.25">
      <c r="A178" s="964" t="s">
        <v>239</v>
      </c>
      <c r="B178" s="962"/>
      <c r="C178" s="965">
        <v>0.57999999999999996</v>
      </c>
      <c r="D178" s="965"/>
      <c r="E178" s="965"/>
      <c r="F178" s="965"/>
      <c r="G178" s="965"/>
      <c r="H178" s="965"/>
      <c r="I178" s="965"/>
      <c r="J178" s="965"/>
      <c r="K178" s="965"/>
      <c r="L178" s="965"/>
      <c r="M178" s="965"/>
      <c r="N178" s="965"/>
      <c r="O178" s="965"/>
      <c r="P178" s="965"/>
      <c r="Q178" s="965"/>
      <c r="R178" s="965"/>
      <c r="S178" s="1152"/>
      <c r="T178" s="1114"/>
      <c r="U178" s="1114"/>
      <c r="V178" s="1114"/>
      <c r="W178" s="1114"/>
      <c r="X178" s="1114"/>
      <c r="Y178" s="1114"/>
      <c r="Z178" s="1114"/>
      <c r="AA178" s="1114"/>
      <c r="AB178" s="1114"/>
      <c r="AC178" s="1114"/>
      <c r="AD178" s="1114"/>
      <c r="AE178" s="1114"/>
      <c r="AF178" s="914"/>
      <c r="AG178" s="914"/>
      <c r="AH178" s="914"/>
      <c r="AI178" s="914"/>
      <c r="AJ178" s="914"/>
    </row>
    <row r="179" spans="1:36" x14ac:dyDescent="0.25">
      <c r="A179" s="964" t="s">
        <v>221</v>
      </c>
      <c r="B179" s="962"/>
      <c r="C179" s="966">
        <f t="shared" ref="C179:S179" si="58">C158</f>
        <v>96208.978726851361</v>
      </c>
      <c r="D179" s="966">
        <f t="shared" si="58"/>
        <v>17265</v>
      </c>
      <c r="E179" s="966">
        <f t="shared" si="58"/>
        <v>17265</v>
      </c>
      <c r="F179" s="966">
        <f t="shared" si="58"/>
        <v>17265</v>
      </c>
      <c r="G179" s="966">
        <f t="shared" si="58"/>
        <v>0</v>
      </c>
      <c r="H179" s="966">
        <f t="shared" si="58"/>
        <v>0</v>
      </c>
      <c r="I179" s="966">
        <f t="shared" si="58"/>
        <v>0</v>
      </c>
      <c r="J179" s="966">
        <f t="shared" si="58"/>
        <v>0</v>
      </c>
      <c r="K179" s="966">
        <f t="shared" si="58"/>
        <v>0</v>
      </c>
      <c r="L179" s="966">
        <f t="shared" si="58"/>
        <v>0</v>
      </c>
      <c r="M179" s="966">
        <f t="shared" si="58"/>
        <v>0</v>
      </c>
      <c r="N179" s="966">
        <f t="shared" si="58"/>
        <v>0</v>
      </c>
      <c r="O179" s="966">
        <f t="shared" si="58"/>
        <v>0</v>
      </c>
      <c r="P179" s="966">
        <f t="shared" si="58"/>
        <v>0</v>
      </c>
      <c r="Q179" s="966">
        <f t="shared" si="58"/>
        <v>0</v>
      </c>
      <c r="R179" s="966">
        <f t="shared" si="58"/>
        <v>0</v>
      </c>
      <c r="S179" s="1153">
        <f t="shared" si="58"/>
        <v>0</v>
      </c>
      <c r="T179" s="1115"/>
      <c r="U179" s="1115"/>
      <c r="V179" s="1115"/>
      <c r="W179" s="1115"/>
      <c r="X179" s="1115"/>
      <c r="Y179" s="1115"/>
      <c r="Z179" s="1115"/>
      <c r="AA179" s="1115"/>
      <c r="AB179" s="1115"/>
      <c r="AC179" s="1115"/>
      <c r="AD179" s="1115"/>
      <c r="AE179" s="1115"/>
      <c r="AF179" s="914"/>
      <c r="AG179" s="914"/>
      <c r="AH179" s="914"/>
      <c r="AI179" s="914"/>
      <c r="AJ179" s="914"/>
    </row>
    <row r="180" spans="1:36" x14ac:dyDescent="0.25">
      <c r="A180" s="964" t="s">
        <v>225</v>
      </c>
      <c r="B180" s="962"/>
      <c r="C180" s="966">
        <f t="shared" ref="C180:S180" si="59">C163</f>
        <v>9662.6764106613646</v>
      </c>
      <c r="D180" s="966">
        <f t="shared" si="59"/>
        <v>8977</v>
      </c>
      <c r="E180" s="966">
        <f t="shared" si="59"/>
        <v>8977</v>
      </c>
      <c r="F180" s="966">
        <f t="shared" si="59"/>
        <v>8977</v>
      </c>
      <c r="G180" s="966">
        <f t="shared" si="59"/>
        <v>0</v>
      </c>
      <c r="H180" s="966">
        <f t="shared" si="59"/>
        <v>0</v>
      </c>
      <c r="I180" s="966">
        <f t="shared" si="59"/>
        <v>0</v>
      </c>
      <c r="J180" s="966">
        <f t="shared" si="59"/>
        <v>0</v>
      </c>
      <c r="K180" s="966">
        <f t="shared" si="59"/>
        <v>0</v>
      </c>
      <c r="L180" s="966">
        <f t="shared" si="59"/>
        <v>0</v>
      </c>
      <c r="M180" s="966">
        <f t="shared" si="59"/>
        <v>0</v>
      </c>
      <c r="N180" s="966">
        <f t="shared" si="59"/>
        <v>0</v>
      </c>
      <c r="O180" s="966">
        <f t="shared" si="59"/>
        <v>0</v>
      </c>
      <c r="P180" s="966">
        <f t="shared" si="59"/>
        <v>0</v>
      </c>
      <c r="Q180" s="966">
        <f t="shared" si="59"/>
        <v>0</v>
      </c>
      <c r="R180" s="966">
        <f t="shared" si="59"/>
        <v>0</v>
      </c>
      <c r="S180" s="1153">
        <f t="shared" si="59"/>
        <v>0</v>
      </c>
      <c r="T180" s="1115"/>
      <c r="U180" s="1115"/>
      <c r="V180" s="1115"/>
      <c r="W180" s="1115"/>
      <c r="X180" s="1115"/>
      <c r="Y180" s="1115"/>
      <c r="Z180" s="1115"/>
      <c r="AA180" s="1115"/>
      <c r="AB180" s="1115"/>
      <c r="AC180" s="1115"/>
      <c r="AD180" s="1115"/>
      <c r="AE180" s="1115"/>
      <c r="AF180" s="914"/>
      <c r="AG180" s="914"/>
      <c r="AH180" s="914"/>
      <c r="AI180" s="914"/>
      <c r="AJ180" s="914"/>
    </row>
    <row r="181" spans="1:36" x14ac:dyDescent="0.25">
      <c r="A181" s="964" t="s">
        <v>240</v>
      </c>
      <c r="B181" s="962"/>
      <c r="C181" s="963">
        <v>78427</v>
      </c>
      <c r="D181" s="963"/>
      <c r="E181" s="963"/>
      <c r="F181" s="963"/>
      <c r="G181" s="963"/>
      <c r="H181" s="963"/>
      <c r="I181" s="963"/>
      <c r="J181" s="963"/>
      <c r="K181" s="963"/>
      <c r="L181" s="963"/>
      <c r="M181" s="963"/>
      <c r="N181" s="963"/>
      <c r="O181" s="963"/>
      <c r="P181" s="963"/>
      <c r="Q181" s="963"/>
      <c r="R181" s="963"/>
      <c r="S181" s="1151"/>
      <c r="T181" s="1113"/>
      <c r="U181" s="1113"/>
      <c r="V181" s="1113"/>
      <c r="W181" s="1113"/>
      <c r="X181" s="1113"/>
      <c r="Y181" s="1113"/>
      <c r="Z181" s="1113"/>
      <c r="AA181" s="1113"/>
      <c r="AB181" s="1113"/>
      <c r="AC181" s="1113"/>
      <c r="AD181" s="1113"/>
      <c r="AE181" s="1113"/>
      <c r="AF181" s="914"/>
      <c r="AG181" s="914"/>
      <c r="AH181" s="914"/>
      <c r="AI181" s="914"/>
      <c r="AJ181" s="914"/>
    </row>
    <row r="182" spans="1:36" x14ac:dyDescent="0.25">
      <c r="A182" s="964" t="s">
        <v>241</v>
      </c>
      <c r="B182" s="962"/>
      <c r="C182" s="963">
        <v>76224</v>
      </c>
      <c r="D182" s="963"/>
      <c r="E182" s="963"/>
      <c r="F182" s="963"/>
      <c r="G182" s="963"/>
      <c r="H182" s="963"/>
      <c r="I182" s="963"/>
      <c r="J182" s="963"/>
      <c r="K182" s="963"/>
      <c r="L182" s="963"/>
      <c r="M182" s="963"/>
      <c r="N182" s="963"/>
      <c r="O182" s="963"/>
      <c r="P182" s="963"/>
      <c r="Q182" s="963"/>
      <c r="R182" s="963"/>
      <c r="S182" s="1151"/>
      <c r="T182" s="1113"/>
      <c r="U182" s="1113"/>
      <c r="V182" s="1113"/>
      <c r="W182" s="1113"/>
      <c r="X182" s="1113"/>
      <c r="Y182" s="1113"/>
      <c r="Z182" s="1113"/>
      <c r="AA182" s="1113"/>
      <c r="AB182" s="1113"/>
      <c r="AC182" s="1113"/>
      <c r="AD182" s="1113"/>
      <c r="AE182" s="1113"/>
      <c r="AF182" s="914"/>
      <c r="AG182" s="914"/>
      <c r="AH182" s="914"/>
      <c r="AI182" s="914"/>
      <c r="AJ182" s="914"/>
    </row>
    <row r="183" spans="1:36" x14ac:dyDescent="0.25">
      <c r="A183" s="964" t="s">
        <v>242</v>
      </c>
      <c r="B183" s="962"/>
      <c r="C183" s="963">
        <f t="shared" ref="C183:S184" si="60">IF(2000+C175&gt;2000,2000,IF(2000+C175&lt;0,0,(2000+C175)))</f>
        <v>2000</v>
      </c>
      <c r="D183" s="963">
        <f t="shared" si="60"/>
        <v>2000</v>
      </c>
      <c r="E183" s="963">
        <f t="shared" si="60"/>
        <v>2000</v>
      </c>
      <c r="F183" s="963">
        <f t="shared" si="60"/>
        <v>2000</v>
      </c>
      <c r="G183" s="963">
        <f t="shared" si="60"/>
        <v>2000</v>
      </c>
      <c r="H183" s="963">
        <f t="shared" si="60"/>
        <v>2000</v>
      </c>
      <c r="I183" s="963">
        <f t="shared" si="60"/>
        <v>2000</v>
      </c>
      <c r="J183" s="963">
        <f t="shared" si="60"/>
        <v>2000</v>
      </c>
      <c r="K183" s="963">
        <f t="shared" si="60"/>
        <v>2000</v>
      </c>
      <c r="L183" s="963">
        <f t="shared" si="60"/>
        <v>2000</v>
      </c>
      <c r="M183" s="963">
        <f t="shared" si="60"/>
        <v>2000</v>
      </c>
      <c r="N183" s="963">
        <f t="shared" si="60"/>
        <v>2000</v>
      </c>
      <c r="O183" s="963">
        <f t="shared" si="60"/>
        <v>2000</v>
      </c>
      <c r="P183" s="963">
        <f t="shared" si="60"/>
        <v>2000</v>
      </c>
      <c r="Q183" s="963">
        <f t="shared" si="60"/>
        <v>2000</v>
      </c>
      <c r="R183" s="963">
        <f t="shared" si="60"/>
        <v>2000</v>
      </c>
      <c r="S183" s="1151">
        <f t="shared" si="60"/>
        <v>2000</v>
      </c>
      <c r="T183" s="1113"/>
      <c r="U183" s="1113"/>
      <c r="V183" s="1113"/>
      <c r="W183" s="1113"/>
      <c r="X183" s="1113"/>
      <c r="Y183" s="1113"/>
      <c r="Z183" s="1113"/>
      <c r="AA183" s="1113"/>
      <c r="AB183" s="1113"/>
      <c r="AC183" s="1113"/>
      <c r="AD183" s="1113"/>
      <c r="AE183" s="1113"/>
      <c r="AF183" s="914"/>
      <c r="AG183" s="914"/>
      <c r="AH183" s="914"/>
      <c r="AI183" s="914"/>
      <c r="AJ183" s="914"/>
    </row>
    <row r="184" spans="1:36" x14ac:dyDescent="0.25">
      <c r="A184" s="964" t="s">
        <v>243</v>
      </c>
      <c r="B184" s="962"/>
      <c r="C184" s="963">
        <f t="shared" si="60"/>
        <v>0</v>
      </c>
      <c r="D184" s="963">
        <f t="shared" si="60"/>
        <v>2000</v>
      </c>
      <c r="E184" s="963">
        <f t="shared" si="60"/>
        <v>2000</v>
      </c>
      <c r="F184" s="963">
        <f t="shared" si="60"/>
        <v>2000</v>
      </c>
      <c r="G184" s="963">
        <f t="shared" si="60"/>
        <v>2000</v>
      </c>
      <c r="H184" s="963">
        <f t="shared" si="60"/>
        <v>2000</v>
      </c>
      <c r="I184" s="963">
        <f t="shared" si="60"/>
        <v>2000</v>
      </c>
      <c r="J184" s="963">
        <f t="shared" si="60"/>
        <v>2000</v>
      </c>
      <c r="K184" s="963">
        <f t="shared" si="60"/>
        <v>2000</v>
      </c>
      <c r="L184" s="963">
        <f t="shared" si="60"/>
        <v>2000</v>
      </c>
      <c r="M184" s="963">
        <f t="shared" si="60"/>
        <v>2000</v>
      </c>
      <c r="N184" s="963">
        <f t="shared" si="60"/>
        <v>2000</v>
      </c>
      <c r="O184" s="963">
        <f t="shared" si="60"/>
        <v>2000</v>
      </c>
      <c r="P184" s="963">
        <f t="shared" si="60"/>
        <v>2000</v>
      </c>
      <c r="Q184" s="963">
        <f t="shared" si="60"/>
        <v>2000</v>
      </c>
      <c r="R184" s="963">
        <f t="shared" si="60"/>
        <v>2000</v>
      </c>
      <c r="S184" s="1151">
        <f t="shared" si="60"/>
        <v>2000</v>
      </c>
      <c r="T184" s="1113"/>
      <c r="U184" s="1113"/>
      <c r="V184" s="1113"/>
      <c r="W184" s="1113"/>
      <c r="X184" s="1113"/>
      <c r="Y184" s="1113"/>
      <c r="Z184" s="1113"/>
      <c r="AA184" s="1113"/>
      <c r="AB184" s="1113"/>
      <c r="AC184" s="1113"/>
      <c r="AD184" s="1113"/>
      <c r="AE184" s="1113"/>
      <c r="AF184" s="914"/>
      <c r="AG184" s="914"/>
      <c r="AH184" s="914"/>
      <c r="AI184" s="914"/>
      <c r="AJ184" s="914"/>
    </row>
    <row r="185" spans="1:36" x14ac:dyDescent="0.25">
      <c r="A185" s="964" t="s">
        <v>244</v>
      </c>
      <c r="B185" s="962"/>
      <c r="C185" s="963">
        <v>72865.54800000001</v>
      </c>
      <c r="D185" s="963"/>
      <c r="E185" s="963"/>
      <c r="F185" s="963"/>
      <c r="G185" s="963"/>
      <c r="H185" s="963"/>
      <c r="I185" s="963"/>
      <c r="J185" s="963"/>
      <c r="K185" s="963"/>
      <c r="L185" s="963"/>
      <c r="M185" s="963"/>
      <c r="N185" s="963"/>
      <c r="O185" s="963"/>
      <c r="P185" s="963"/>
      <c r="Q185" s="963"/>
      <c r="R185" s="963"/>
      <c r="S185" s="1151"/>
      <c r="T185" s="1113"/>
      <c r="U185" s="1113"/>
      <c r="V185" s="1113"/>
      <c r="W185" s="1113"/>
      <c r="X185" s="1113"/>
      <c r="Y185" s="1113"/>
      <c r="Z185" s="1113"/>
      <c r="AA185" s="1113"/>
      <c r="AB185" s="1113"/>
      <c r="AC185" s="1113"/>
      <c r="AD185" s="1113"/>
      <c r="AE185" s="1113"/>
      <c r="AF185" s="914"/>
      <c r="AG185" s="914"/>
      <c r="AH185" s="914"/>
      <c r="AI185" s="914"/>
      <c r="AJ185" s="914"/>
    </row>
    <row r="186" spans="1:36" x14ac:dyDescent="0.25">
      <c r="A186" s="964" t="s">
        <v>245</v>
      </c>
      <c r="B186" s="962"/>
      <c r="C186" s="963">
        <v>65058.244000000006</v>
      </c>
      <c r="D186" s="963"/>
      <c r="E186" s="963"/>
      <c r="F186" s="963"/>
      <c r="G186" s="963"/>
      <c r="H186" s="963"/>
      <c r="I186" s="963"/>
      <c r="J186" s="963"/>
      <c r="K186" s="963"/>
      <c r="L186" s="963"/>
      <c r="M186" s="963"/>
      <c r="N186" s="963"/>
      <c r="O186" s="963"/>
      <c r="P186" s="963"/>
      <c r="Q186" s="963"/>
      <c r="R186" s="963"/>
      <c r="S186" s="1151"/>
      <c r="T186" s="1113"/>
      <c r="U186" s="1113"/>
      <c r="V186" s="1113"/>
      <c r="W186" s="1113"/>
      <c r="X186" s="1113"/>
      <c r="Y186" s="1113"/>
      <c r="Z186" s="1113"/>
      <c r="AA186" s="1113"/>
      <c r="AB186" s="1113"/>
      <c r="AC186" s="1113"/>
      <c r="AD186" s="1113"/>
      <c r="AE186" s="1113"/>
      <c r="AF186" s="914"/>
      <c r="AG186" s="914"/>
      <c r="AH186" s="914"/>
      <c r="AI186" s="914"/>
      <c r="AJ186" s="914"/>
    </row>
    <row r="187" spans="1:36" x14ac:dyDescent="0.25">
      <c r="A187" s="964" t="s">
        <v>246</v>
      </c>
      <c r="B187" s="962"/>
      <c r="C187" s="963">
        <f t="shared" ref="C187:S188" si="61">C179-C185</f>
        <v>23343.430726851351</v>
      </c>
      <c r="D187" s="963">
        <f t="shared" si="61"/>
        <v>17265</v>
      </c>
      <c r="E187" s="963">
        <f t="shared" si="61"/>
        <v>17265</v>
      </c>
      <c r="F187" s="963">
        <f t="shared" si="61"/>
        <v>17265</v>
      </c>
      <c r="G187" s="963">
        <f t="shared" si="61"/>
        <v>0</v>
      </c>
      <c r="H187" s="963">
        <f t="shared" si="61"/>
        <v>0</v>
      </c>
      <c r="I187" s="963">
        <f t="shared" si="61"/>
        <v>0</v>
      </c>
      <c r="J187" s="963">
        <f t="shared" si="61"/>
        <v>0</v>
      </c>
      <c r="K187" s="963">
        <f t="shared" si="61"/>
        <v>0</v>
      </c>
      <c r="L187" s="963">
        <f t="shared" si="61"/>
        <v>0</v>
      </c>
      <c r="M187" s="963">
        <f t="shared" si="61"/>
        <v>0</v>
      </c>
      <c r="N187" s="963">
        <f t="shared" si="61"/>
        <v>0</v>
      </c>
      <c r="O187" s="963">
        <f t="shared" si="61"/>
        <v>0</v>
      </c>
      <c r="P187" s="963">
        <f t="shared" si="61"/>
        <v>0</v>
      </c>
      <c r="Q187" s="963">
        <f t="shared" si="61"/>
        <v>0</v>
      </c>
      <c r="R187" s="963">
        <f t="shared" si="61"/>
        <v>0</v>
      </c>
      <c r="S187" s="1151">
        <f t="shared" si="61"/>
        <v>0</v>
      </c>
      <c r="T187" s="1113"/>
      <c r="U187" s="1113"/>
      <c r="V187" s="1113"/>
      <c r="W187" s="1113"/>
      <c r="X187" s="1113"/>
      <c r="Y187" s="1113"/>
      <c r="Z187" s="1113"/>
      <c r="AA187" s="1113"/>
      <c r="AB187" s="1113"/>
      <c r="AC187" s="1113"/>
      <c r="AD187" s="1113"/>
      <c r="AE187" s="1113"/>
      <c r="AF187" s="914"/>
      <c r="AG187" s="914"/>
      <c r="AH187" s="914"/>
      <c r="AI187" s="914"/>
      <c r="AJ187" s="914"/>
    </row>
    <row r="188" spans="1:36" x14ac:dyDescent="0.25">
      <c r="A188" s="964" t="s">
        <v>247</v>
      </c>
      <c r="B188" s="962"/>
      <c r="C188" s="963">
        <f t="shared" si="61"/>
        <v>-55395.567589338643</v>
      </c>
      <c r="D188" s="963">
        <f t="shared" si="61"/>
        <v>8977</v>
      </c>
      <c r="E188" s="963">
        <f t="shared" si="61"/>
        <v>8977</v>
      </c>
      <c r="F188" s="963">
        <f t="shared" si="61"/>
        <v>8977</v>
      </c>
      <c r="G188" s="963">
        <f t="shared" si="61"/>
        <v>0</v>
      </c>
      <c r="H188" s="963">
        <f t="shared" si="61"/>
        <v>0</v>
      </c>
      <c r="I188" s="963">
        <f t="shared" si="61"/>
        <v>0</v>
      </c>
      <c r="J188" s="963">
        <f t="shared" si="61"/>
        <v>0</v>
      </c>
      <c r="K188" s="963">
        <f t="shared" si="61"/>
        <v>0</v>
      </c>
      <c r="L188" s="963">
        <f t="shared" si="61"/>
        <v>0</v>
      </c>
      <c r="M188" s="963">
        <f t="shared" si="61"/>
        <v>0</v>
      </c>
      <c r="N188" s="963">
        <f t="shared" si="61"/>
        <v>0</v>
      </c>
      <c r="O188" s="963">
        <f t="shared" si="61"/>
        <v>0</v>
      </c>
      <c r="P188" s="963">
        <f t="shared" si="61"/>
        <v>0</v>
      </c>
      <c r="Q188" s="963">
        <f t="shared" si="61"/>
        <v>0</v>
      </c>
      <c r="R188" s="963">
        <f t="shared" si="61"/>
        <v>0</v>
      </c>
      <c r="S188" s="1151">
        <f t="shared" si="61"/>
        <v>0</v>
      </c>
      <c r="T188" s="1113"/>
      <c r="U188" s="1113"/>
      <c r="V188" s="1113"/>
      <c r="W188" s="1113"/>
      <c r="X188" s="1113"/>
      <c r="Y188" s="1113"/>
      <c r="Z188" s="1113"/>
      <c r="AA188" s="1113"/>
      <c r="AB188" s="1113"/>
      <c r="AC188" s="1113"/>
      <c r="AD188" s="1113"/>
      <c r="AE188" s="1113"/>
      <c r="AF188" s="914"/>
      <c r="AG188" s="914"/>
      <c r="AH188" s="914"/>
      <c r="AI188" s="914"/>
      <c r="AJ188" s="914"/>
    </row>
    <row r="189" spans="1:36" x14ac:dyDescent="0.25">
      <c r="A189" s="964" t="s">
        <v>248</v>
      </c>
      <c r="B189" s="962"/>
      <c r="C189" s="967">
        <f t="shared" ref="C189:S189" si="62">IF(C187&gt;0,5600,0)</f>
        <v>5600</v>
      </c>
      <c r="D189" s="967">
        <f t="shared" si="62"/>
        <v>5600</v>
      </c>
      <c r="E189" s="967">
        <f t="shared" si="62"/>
        <v>5600</v>
      </c>
      <c r="F189" s="967">
        <f t="shared" si="62"/>
        <v>5600</v>
      </c>
      <c r="G189" s="967">
        <f t="shared" si="62"/>
        <v>0</v>
      </c>
      <c r="H189" s="967">
        <f t="shared" si="62"/>
        <v>0</v>
      </c>
      <c r="I189" s="967">
        <f t="shared" si="62"/>
        <v>0</v>
      </c>
      <c r="J189" s="967">
        <f t="shared" si="62"/>
        <v>0</v>
      </c>
      <c r="K189" s="967">
        <f t="shared" si="62"/>
        <v>0</v>
      </c>
      <c r="L189" s="967">
        <f t="shared" si="62"/>
        <v>0</v>
      </c>
      <c r="M189" s="967">
        <f t="shared" si="62"/>
        <v>0</v>
      </c>
      <c r="N189" s="967">
        <f t="shared" si="62"/>
        <v>0</v>
      </c>
      <c r="O189" s="967">
        <f t="shared" si="62"/>
        <v>0</v>
      </c>
      <c r="P189" s="967">
        <f t="shared" si="62"/>
        <v>0</v>
      </c>
      <c r="Q189" s="967">
        <f t="shared" si="62"/>
        <v>0</v>
      </c>
      <c r="R189" s="967">
        <f t="shared" si="62"/>
        <v>0</v>
      </c>
      <c r="S189" s="1154">
        <f t="shared" si="62"/>
        <v>0</v>
      </c>
      <c r="T189" s="1116"/>
      <c r="U189" s="1116"/>
      <c r="V189" s="1116"/>
      <c r="W189" s="1116"/>
      <c r="X189" s="1116"/>
      <c r="Y189" s="1116"/>
      <c r="Z189" s="1116"/>
      <c r="AA189" s="1116"/>
      <c r="AB189" s="1116"/>
      <c r="AC189" s="1116"/>
      <c r="AD189" s="1116"/>
      <c r="AE189" s="1116"/>
      <c r="AF189" s="914"/>
      <c r="AG189" s="914"/>
      <c r="AH189" s="914"/>
      <c r="AI189" s="914"/>
      <c r="AJ189" s="914"/>
    </row>
    <row r="190" spans="1:36" x14ac:dyDescent="0.25">
      <c r="A190" s="964" t="s">
        <v>249</v>
      </c>
      <c r="B190" s="962"/>
      <c r="C190" s="967">
        <f t="shared" ref="C190:S190" si="63">IF(C188&gt;0,5000,0)</f>
        <v>0</v>
      </c>
      <c r="D190" s="967">
        <f t="shared" si="63"/>
        <v>5000</v>
      </c>
      <c r="E190" s="967">
        <f t="shared" si="63"/>
        <v>5000</v>
      </c>
      <c r="F190" s="967">
        <f t="shared" si="63"/>
        <v>5000</v>
      </c>
      <c r="G190" s="967">
        <f t="shared" si="63"/>
        <v>0</v>
      </c>
      <c r="H190" s="967">
        <f t="shared" si="63"/>
        <v>0</v>
      </c>
      <c r="I190" s="967">
        <f t="shared" si="63"/>
        <v>0</v>
      </c>
      <c r="J190" s="967">
        <f t="shared" si="63"/>
        <v>0</v>
      </c>
      <c r="K190" s="967">
        <f t="shared" si="63"/>
        <v>0</v>
      </c>
      <c r="L190" s="967">
        <f t="shared" si="63"/>
        <v>0</v>
      </c>
      <c r="M190" s="967">
        <f t="shared" si="63"/>
        <v>0</v>
      </c>
      <c r="N190" s="967">
        <f t="shared" si="63"/>
        <v>0</v>
      </c>
      <c r="O190" s="967">
        <f t="shared" si="63"/>
        <v>0</v>
      </c>
      <c r="P190" s="967">
        <f t="shared" si="63"/>
        <v>0</v>
      </c>
      <c r="Q190" s="967">
        <f t="shared" si="63"/>
        <v>0</v>
      </c>
      <c r="R190" s="967">
        <f t="shared" si="63"/>
        <v>0</v>
      </c>
      <c r="S190" s="1154">
        <f t="shared" si="63"/>
        <v>0</v>
      </c>
      <c r="T190" s="1116"/>
      <c r="U190" s="1116"/>
      <c r="V190" s="1116"/>
      <c r="W190" s="1116"/>
      <c r="X190" s="1116"/>
      <c r="Y190" s="1116"/>
      <c r="Z190" s="1116"/>
      <c r="AA190" s="1116"/>
      <c r="AB190" s="1116"/>
      <c r="AC190" s="1116"/>
      <c r="AD190" s="1116"/>
      <c r="AE190" s="1116"/>
      <c r="AF190" s="914"/>
      <c r="AG190" s="914"/>
      <c r="AH190" s="914"/>
      <c r="AI190" s="914"/>
      <c r="AJ190" s="914"/>
    </row>
    <row r="191" spans="1:36" x14ac:dyDescent="0.25">
      <c r="A191" s="964" t="s">
        <v>250</v>
      </c>
      <c r="B191" s="962"/>
      <c r="C191" s="963">
        <f t="shared" ref="C191:S191" si="64">C175*C177+C176*C178</f>
        <v>-29358.938743853691</v>
      </c>
      <c r="D191" s="963">
        <f t="shared" si="64"/>
        <v>0</v>
      </c>
      <c r="E191" s="963">
        <f t="shared" si="64"/>
        <v>0</v>
      </c>
      <c r="F191" s="963">
        <f t="shared" si="64"/>
        <v>0</v>
      </c>
      <c r="G191" s="963">
        <f t="shared" si="64"/>
        <v>0</v>
      </c>
      <c r="H191" s="963">
        <f t="shared" si="64"/>
        <v>0</v>
      </c>
      <c r="I191" s="963">
        <f t="shared" si="64"/>
        <v>0</v>
      </c>
      <c r="J191" s="963">
        <f t="shared" si="64"/>
        <v>0</v>
      </c>
      <c r="K191" s="963">
        <f t="shared" si="64"/>
        <v>0</v>
      </c>
      <c r="L191" s="963">
        <f t="shared" si="64"/>
        <v>0</v>
      </c>
      <c r="M191" s="963">
        <f t="shared" si="64"/>
        <v>0</v>
      </c>
      <c r="N191" s="963">
        <f t="shared" si="64"/>
        <v>0</v>
      </c>
      <c r="O191" s="963">
        <f t="shared" si="64"/>
        <v>0</v>
      </c>
      <c r="P191" s="963">
        <f t="shared" si="64"/>
        <v>0</v>
      </c>
      <c r="Q191" s="963">
        <f t="shared" si="64"/>
        <v>0</v>
      </c>
      <c r="R191" s="963">
        <f t="shared" si="64"/>
        <v>0</v>
      </c>
      <c r="S191" s="1151">
        <f t="shared" si="64"/>
        <v>0</v>
      </c>
      <c r="T191" s="1113"/>
      <c r="U191" s="1113"/>
      <c r="V191" s="1113"/>
      <c r="W191" s="1113"/>
      <c r="X191" s="1113"/>
      <c r="Y191" s="1113"/>
      <c r="Z191" s="1113"/>
      <c r="AA191" s="1113"/>
      <c r="AB191" s="1113"/>
      <c r="AC191" s="1113"/>
      <c r="AD191" s="1113"/>
      <c r="AE191" s="1113"/>
      <c r="AF191" s="914"/>
      <c r="AG191" s="914"/>
      <c r="AH191" s="914"/>
      <c r="AI191" s="914"/>
      <c r="AJ191" s="914"/>
    </row>
    <row r="192" spans="1:36" x14ac:dyDescent="0.25">
      <c r="A192" s="964" t="s">
        <v>251</v>
      </c>
      <c r="B192" s="962"/>
      <c r="C192" s="963">
        <f t="shared" ref="C192:S192" si="65">(C187+C189+C188+C190)*0.5</f>
        <v>-13226.068431243646</v>
      </c>
      <c r="D192" s="963">
        <f t="shared" si="65"/>
        <v>18421</v>
      </c>
      <c r="E192" s="963">
        <f t="shared" si="65"/>
        <v>18421</v>
      </c>
      <c r="F192" s="963">
        <f t="shared" si="65"/>
        <v>18421</v>
      </c>
      <c r="G192" s="963">
        <f t="shared" si="65"/>
        <v>0</v>
      </c>
      <c r="H192" s="963">
        <f t="shared" si="65"/>
        <v>0</v>
      </c>
      <c r="I192" s="963">
        <f t="shared" si="65"/>
        <v>0</v>
      </c>
      <c r="J192" s="963">
        <f t="shared" si="65"/>
        <v>0</v>
      </c>
      <c r="K192" s="963">
        <f t="shared" si="65"/>
        <v>0</v>
      </c>
      <c r="L192" s="963">
        <f t="shared" si="65"/>
        <v>0</v>
      </c>
      <c r="M192" s="963">
        <f t="shared" si="65"/>
        <v>0</v>
      </c>
      <c r="N192" s="963">
        <f t="shared" si="65"/>
        <v>0</v>
      </c>
      <c r="O192" s="963">
        <f t="shared" si="65"/>
        <v>0</v>
      </c>
      <c r="P192" s="963">
        <f t="shared" si="65"/>
        <v>0</v>
      </c>
      <c r="Q192" s="963">
        <f t="shared" si="65"/>
        <v>0</v>
      </c>
      <c r="R192" s="963">
        <f t="shared" si="65"/>
        <v>0</v>
      </c>
      <c r="S192" s="1151">
        <f t="shared" si="65"/>
        <v>0</v>
      </c>
      <c r="T192" s="1113"/>
      <c r="U192" s="1113"/>
      <c r="V192" s="1113"/>
      <c r="W192" s="1113"/>
      <c r="X192" s="1113"/>
      <c r="Y192" s="1113"/>
      <c r="Z192" s="1113"/>
      <c r="AA192" s="1113"/>
      <c r="AB192" s="1113"/>
      <c r="AC192" s="1113"/>
      <c r="AD192" s="1113"/>
      <c r="AE192" s="1113"/>
      <c r="AF192" s="914"/>
      <c r="AG192" s="914"/>
      <c r="AH192" s="914"/>
      <c r="AI192" s="914"/>
      <c r="AJ192" s="914"/>
    </row>
    <row r="193" spans="1:37" s="964" customFormat="1" x14ac:dyDescent="0.25">
      <c r="A193" s="964" t="s">
        <v>252</v>
      </c>
      <c r="B193" s="968"/>
      <c r="C193" s="963">
        <f>IF((C175+2000)&gt;2000,2000,IF((C175+2000)&lt;0,0,C175+2000))</f>
        <v>2000</v>
      </c>
      <c r="D193" s="963">
        <f t="shared" ref="D193:S194" si="66">IF((D175+2000)&gt;2000,2000,IF((D175+2000)&lt;0,0,D175+2000))</f>
        <v>2000</v>
      </c>
      <c r="E193" s="963">
        <f t="shared" si="66"/>
        <v>2000</v>
      </c>
      <c r="F193" s="963">
        <f t="shared" si="66"/>
        <v>2000</v>
      </c>
      <c r="G193" s="963">
        <f t="shared" si="66"/>
        <v>2000</v>
      </c>
      <c r="H193" s="963">
        <f t="shared" si="66"/>
        <v>2000</v>
      </c>
      <c r="I193" s="963">
        <f t="shared" si="66"/>
        <v>2000</v>
      </c>
      <c r="J193" s="963">
        <f t="shared" si="66"/>
        <v>2000</v>
      </c>
      <c r="K193" s="963">
        <f t="shared" si="66"/>
        <v>2000</v>
      </c>
      <c r="L193" s="963">
        <f t="shared" si="66"/>
        <v>2000</v>
      </c>
      <c r="M193" s="963">
        <f t="shared" si="66"/>
        <v>2000</v>
      </c>
      <c r="N193" s="963">
        <f t="shared" si="66"/>
        <v>2000</v>
      </c>
      <c r="O193" s="963">
        <f t="shared" si="66"/>
        <v>2000</v>
      </c>
      <c r="P193" s="963">
        <f t="shared" si="66"/>
        <v>2000</v>
      </c>
      <c r="Q193" s="963">
        <f t="shared" si="66"/>
        <v>2000</v>
      </c>
      <c r="R193" s="963">
        <f t="shared" si="66"/>
        <v>2000</v>
      </c>
      <c r="S193" s="1151">
        <f t="shared" si="66"/>
        <v>2000</v>
      </c>
      <c r="T193" s="1113"/>
      <c r="U193" s="1113"/>
      <c r="V193" s="1113"/>
      <c r="W193" s="1113"/>
      <c r="X193" s="1113"/>
      <c r="Y193" s="1113"/>
      <c r="Z193" s="1113"/>
      <c r="AA193" s="1113"/>
      <c r="AB193" s="1113"/>
      <c r="AC193" s="1113"/>
      <c r="AD193" s="1113"/>
      <c r="AE193" s="1113"/>
      <c r="AF193" s="1161"/>
      <c r="AG193" s="1161"/>
      <c r="AH193" s="1161"/>
      <c r="AI193" s="1161"/>
      <c r="AJ193" s="1161"/>
      <c r="AK193" s="1082"/>
    </row>
    <row r="194" spans="1:37" s="964" customFormat="1" x14ac:dyDescent="0.25">
      <c r="A194" s="964" t="s">
        <v>253</v>
      </c>
      <c r="B194" s="968"/>
      <c r="C194" s="963">
        <f t="shared" ref="C194:N194" si="67">IF((C176+2000)&gt;2000,2000,IF((C176+2000)&lt;0,0,C176+2000))</f>
        <v>0</v>
      </c>
      <c r="D194" s="963">
        <f t="shared" si="67"/>
        <v>2000</v>
      </c>
      <c r="E194" s="963">
        <f t="shared" si="67"/>
        <v>2000</v>
      </c>
      <c r="F194" s="963">
        <f t="shared" si="67"/>
        <v>2000</v>
      </c>
      <c r="G194" s="963">
        <f t="shared" si="67"/>
        <v>2000</v>
      </c>
      <c r="H194" s="963">
        <f t="shared" si="67"/>
        <v>2000</v>
      </c>
      <c r="I194" s="963">
        <f t="shared" si="67"/>
        <v>2000</v>
      </c>
      <c r="J194" s="963">
        <f t="shared" si="67"/>
        <v>2000</v>
      </c>
      <c r="K194" s="963">
        <f t="shared" si="67"/>
        <v>2000</v>
      </c>
      <c r="L194" s="963">
        <f t="shared" si="67"/>
        <v>2000</v>
      </c>
      <c r="M194" s="963">
        <f t="shared" si="67"/>
        <v>2000</v>
      </c>
      <c r="N194" s="963">
        <f t="shared" si="67"/>
        <v>2000</v>
      </c>
      <c r="O194" s="963">
        <f t="shared" si="66"/>
        <v>2000</v>
      </c>
      <c r="P194" s="963">
        <f t="shared" si="66"/>
        <v>2000</v>
      </c>
      <c r="Q194" s="963">
        <f t="shared" si="66"/>
        <v>2000</v>
      </c>
      <c r="R194" s="963">
        <f t="shared" si="66"/>
        <v>2000</v>
      </c>
      <c r="S194" s="1151">
        <f t="shared" si="66"/>
        <v>2000</v>
      </c>
      <c r="T194" s="1113"/>
      <c r="U194" s="1113"/>
      <c r="V194" s="1113"/>
      <c r="W194" s="1113"/>
      <c r="X194" s="1113"/>
      <c r="Y194" s="1113"/>
      <c r="Z194" s="1113"/>
      <c r="AA194" s="1113"/>
      <c r="AB194" s="1113"/>
      <c r="AC194" s="1113"/>
      <c r="AD194" s="1113"/>
      <c r="AE194" s="1113"/>
      <c r="AF194" s="1161"/>
      <c r="AG194" s="1161"/>
      <c r="AH194" s="1161"/>
      <c r="AI194" s="1161"/>
      <c r="AJ194" s="1161"/>
      <c r="AK194" s="1082"/>
    </row>
    <row r="195" spans="1:37" x14ac:dyDescent="0.25">
      <c r="A195" s="969" t="s">
        <v>254</v>
      </c>
      <c r="B195" s="962"/>
      <c r="C195" s="970">
        <f t="shared" ref="C195:S195" si="68">ROUND(C193*2/484+C194*3.7/484,4)</f>
        <v>8.2645</v>
      </c>
      <c r="D195" s="970">
        <f t="shared" si="68"/>
        <v>23.553699999999999</v>
      </c>
      <c r="E195" s="970">
        <f t="shared" si="68"/>
        <v>23.553699999999999</v>
      </c>
      <c r="F195" s="970">
        <f t="shared" si="68"/>
        <v>23.553699999999999</v>
      </c>
      <c r="G195" s="970">
        <f t="shared" si="68"/>
        <v>23.553699999999999</v>
      </c>
      <c r="H195" s="970">
        <f t="shared" si="68"/>
        <v>23.553699999999999</v>
      </c>
      <c r="I195" s="970">
        <f t="shared" si="68"/>
        <v>23.553699999999999</v>
      </c>
      <c r="J195" s="970">
        <f t="shared" si="68"/>
        <v>23.553699999999999</v>
      </c>
      <c r="K195" s="970">
        <f t="shared" si="68"/>
        <v>23.553699999999999</v>
      </c>
      <c r="L195" s="970">
        <f t="shared" si="68"/>
        <v>23.553699999999999</v>
      </c>
      <c r="M195" s="970">
        <f t="shared" si="68"/>
        <v>23.553699999999999</v>
      </c>
      <c r="N195" s="970">
        <f t="shared" si="68"/>
        <v>23.553699999999999</v>
      </c>
      <c r="O195" s="970">
        <f t="shared" si="68"/>
        <v>23.553699999999999</v>
      </c>
      <c r="P195" s="970">
        <f t="shared" si="68"/>
        <v>23.553699999999999</v>
      </c>
      <c r="Q195" s="970">
        <f t="shared" si="68"/>
        <v>23.553699999999999</v>
      </c>
      <c r="R195" s="970">
        <f t="shared" si="68"/>
        <v>23.553699999999999</v>
      </c>
      <c r="S195" s="1155">
        <f t="shared" si="68"/>
        <v>23.553699999999999</v>
      </c>
      <c r="T195" s="1117"/>
      <c r="U195" s="1117"/>
      <c r="V195" s="1117"/>
      <c r="W195" s="1117"/>
      <c r="X195" s="1117"/>
      <c r="Y195" s="1117"/>
      <c r="Z195" s="1117"/>
      <c r="AA195" s="1117"/>
      <c r="AB195" s="1117"/>
      <c r="AC195" s="1117"/>
      <c r="AD195" s="1117"/>
      <c r="AE195" s="1117"/>
      <c r="AF195" s="914"/>
      <c r="AG195" s="914"/>
      <c r="AH195" s="914"/>
      <c r="AI195" s="914"/>
      <c r="AJ195" s="914"/>
    </row>
    <row r="196" spans="1:37" x14ac:dyDescent="0.25">
      <c r="A196" s="969" t="s">
        <v>255</v>
      </c>
      <c r="B196" s="962"/>
      <c r="C196" s="970">
        <f t="shared" ref="C196:S196" si="69">ROUND(IF(((C191-C192-0.5*C197)*(37.5/484)-124)&lt;0,0,(C191-C192-0.5*C197)*(37.5/484)-124),4)</f>
        <v>0</v>
      </c>
      <c r="D196" s="970">
        <f t="shared" si="69"/>
        <v>0</v>
      </c>
      <c r="E196" s="970">
        <f t="shared" si="69"/>
        <v>0</v>
      </c>
      <c r="F196" s="970">
        <f t="shared" si="69"/>
        <v>0</v>
      </c>
      <c r="G196" s="970">
        <f t="shared" si="69"/>
        <v>0</v>
      </c>
      <c r="H196" s="970">
        <f t="shared" si="69"/>
        <v>0</v>
      </c>
      <c r="I196" s="970">
        <f t="shared" si="69"/>
        <v>0</v>
      </c>
      <c r="J196" s="970">
        <f t="shared" si="69"/>
        <v>0</v>
      </c>
      <c r="K196" s="970">
        <f t="shared" si="69"/>
        <v>0</v>
      </c>
      <c r="L196" s="970">
        <f t="shared" si="69"/>
        <v>0</v>
      </c>
      <c r="M196" s="970">
        <f t="shared" si="69"/>
        <v>0</v>
      </c>
      <c r="N196" s="970">
        <f t="shared" si="69"/>
        <v>0</v>
      </c>
      <c r="O196" s="970">
        <f t="shared" si="69"/>
        <v>0</v>
      </c>
      <c r="P196" s="970">
        <f t="shared" si="69"/>
        <v>0</v>
      </c>
      <c r="Q196" s="970">
        <f t="shared" si="69"/>
        <v>0</v>
      </c>
      <c r="R196" s="970">
        <f t="shared" si="69"/>
        <v>0</v>
      </c>
      <c r="S196" s="1155">
        <f t="shared" si="69"/>
        <v>0</v>
      </c>
      <c r="T196" s="1117"/>
      <c r="U196" s="1117"/>
      <c r="V196" s="1117"/>
      <c r="W196" s="1117"/>
      <c r="X196" s="1117"/>
      <c r="Y196" s="1117"/>
      <c r="Z196" s="1117"/>
      <c r="AA196" s="1117"/>
      <c r="AB196" s="1117"/>
      <c r="AC196" s="1117"/>
      <c r="AD196" s="1117"/>
      <c r="AE196" s="1117"/>
      <c r="AF196" s="914"/>
      <c r="AG196" s="914"/>
      <c r="AH196" s="914"/>
      <c r="AI196" s="914"/>
      <c r="AJ196" s="914"/>
    </row>
    <row r="197" spans="1:37" s="964" customFormat="1" x14ac:dyDescent="0.25">
      <c r="A197" s="964" t="s">
        <v>256</v>
      </c>
      <c r="B197" s="968"/>
      <c r="C197" s="963">
        <f>(59000-C181)*C177+(53250-C182)*C178</f>
        <v>-23426.959999999999</v>
      </c>
      <c r="D197" s="963">
        <f>(59000-D181)*D177+(53250-D182)*D178</f>
        <v>0</v>
      </c>
      <c r="E197" s="963">
        <f t="shared" ref="E197:S197" si="70">(59000-E181)*E177+(53250-E182)*E178</f>
        <v>0</v>
      </c>
      <c r="F197" s="963">
        <f t="shared" si="70"/>
        <v>0</v>
      </c>
      <c r="G197" s="963">
        <f t="shared" si="70"/>
        <v>0</v>
      </c>
      <c r="H197" s="963">
        <f t="shared" si="70"/>
        <v>0</v>
      </c>
      <c r="I197" s="963">
        <f t="shared" si="70"/>
        <v>0</v>
      </c>
      <c r="J197" s="963">
        <f t="shared" si="70"/>
        <v>0</v>
      </c>
      <c r="K197" s="963">
        <f t="shared" si="70"/>
        <v>0</v>
      </c>
      <c r="L197" s="963">
        <f t="shared" si="70"/>
        <v>0</v>
      </c>
      <c r="M197" s="963">
        <f t="shared" si="70"/>
        <v>0</v>
      </c>
      <c r="N197" s="963">
        <f t="shared" si="70"/>
        <v>0</v>
      </c>
      <c r="O197" s="963">
        <f t="shared" si="70"/>
        <v>0</v>
      </c>
      <c r="P197" s="963">
        <f t="shared" si="70"/>
        <v>0</v>
      </c>
      <c r="Q197" s="963">
        <f t="shared" si="70"/>
        <v>0</v>
      </c>
      <c r="R197" s="963">
        <f t="shared" si="70"/>
        <v>0</v>
      </c>
      <c r="S197" s="1151">
        <f t="shared" si="70"/>
        <v>0</v>
      </c>
      <c r="T197" s="1113"/>
      <c r="U197" s="1113"/>
      <c r="V197" s="1113"/>
      <c r="W197" s="1113"/>
      <c r="X197" s="1113"/>
      <c r="Y197" s="1113"/>
      <c r="Z197" s="1113"/>
      <c r="AA197" s="1113"/>
      <c r="AB197" s="1113"/>
      <c r="AC197" s="1113"/>
      <c r="AD197" s="1113"/>
      <c r="AE197" s="1113"/>
      <c r="AF197" s="1161"/>
      <c r="AG197" s="1161"/>
      <c r="AH197" s="1161"/>
      <c r="AI197" s="1161"/>
      <c r="AJ197" s="1161"/>
      <c r="AK197" s="1082"/>
    </row>
    <row r="198" spans="1:37" x14ac:dyDescent="0.25">
      <c r="A198" s="969" t="s">
        <v>177</v>
      </c>
      <c r="B198" s="962"/>
      <c r="C198" s="970">
        <f t="shared" ref="C198:S198" si="71">C199*C200+C201*C202</f>
        <v>110</v>
      </c>
      <c r="D198" s="970">
        <f t="shared" si="71"/>
        <v>197</v>
      </c>
      <c r="E198" s="970">
        <f t="shared" si="71"/>
        <v>197</v>
      </c>
      <c r="F198" s="970">
        <f t="shared" si="71"/>
        <v>87</v>
      </c>
      <c r="G198" s="970">
        <f t="shared" si="71"/>
        <v>0</v>
      </c>
      <c r="H198" s="970">
        <f t="shared" si="71"/>
        <v>0</v>
      </c>
      <c r="I198" s="970">
        <f t="shared" si="71"/>
        <v>0</v>
      </c>
      <c r="J198" s="970">
        <f t="shared" si="71"/>
        <v>0</v>
      </c>
      <c r="K198" s="970">
        <f t="shared" si="71"/>
        <v>0</v>
      </c>
      <c r="L198" s="970">
        <f t="shared" si="71"/>
        <v>0</v>
      </c>
      <c r="M198" s="970">
        <f t="shared" si="71"/>
        <v>0</v>
      </c>
      <c r="N198" s="970">
        <f t="shared" si="71"/>
        <v>0</v>
      </c>
      <c r="O198" s="970">
        <f t="shared" si="71"/>
        <v>0</v>
      </c>
      <c r="P198" s="970">
        <f t="shared" si="71"/>
        <v>0</v>
      </c>
      <c r="Q198" s="970">
        <f t="shared" si="71"/>
        <v>0</v>
      </c>
      <c r="R198" s="970">
        <f t="shared" si="71"/>
        <v>0</v>
      </c>
      <c r="S198" s="1155">
        <f t="shared" si="71"/>
        <v>0</v>
      </c>
      <c r="T198" s="1117"/>
      <c r="U198" s="1117"/>
      <c r="V198" s="1117"/>
      <c r="W198" s="1117"/>
      <c r="X198" s="1117"/>
      <c r="Y198" s="1117"/>
      <c r="Z198" s="1117"/>
      <c r="AA198" s="1117"/>
      <c r="AB198" s="1117"/>
      <c r="AC198" s="1117"/>
      <c r="AD198" s="1117"/>
      <c r="AE198" s="1117"/>
      <c r="AF198" s="914"/>
      <c r="AG198" s="914"/>
      <c r="AH198" s="914"/>
      <c r="AI198" s="914"/>
      <c r="AJ198" s="914"/>
    </row>
    <row r="199" spans="1:37" x14ac:dyDescent="0.25">
      <c r="A199" s="964" t="s">
        <v>257</v>
      </c>
      <c r="B199" s="962"/>
      <c r="C199" s="963">
        <v>110</v>
      </c>
      <c r="D199" s="963">
        <v>110</v>
      </c>
      <c r="E199" s="963">
        <v>110</v>
      </c>
      <c r="F199" s="963"/>
      <c r="G199" s="963"/>
      <c r="H199" s="963"/>
      <c r="I199" s="963"/>
      <c r="J199" s="963"/>
      <c r="K199" s="963"/>
      <c r="L199" s="963"/>
      <c r="M199" s="963"/>
      <c r="N199" s="963"/>
      <c r="O199" s="963"/>
      <c r="P199" s="963"/>
      <c r="Q199" s="963"/>
      <c r="R199" s="963"/>
      <c r="S199" s="1151"/>
      <c r="T199" s="1113"/>
      <c r="U199" s="1113"/>
      <c r="V199" s="1113"/>
      <c r="W199" s="1113"/>
      <c r="X199" s="1113"/>
      <c r="Y199" s="1113"/>
      <c r="Z199" s="1113"/>
      <c r="AA199" s="1113"/>
      <c r="AB199" s="1113"/>
      <c r="AC199" s="1113"/>
      <c r="AD199" s="1113"/>
      <c r="AE199" s="1113"/>
      <c r="AF199" s="914"/>
      <c r="AG199" s="914"/>
      <c r="AH199" s="914"/>
      <c r="AI199" s="914"/>
      <c r="AJ199" s="914"/>
    </row>
    <row r="200" spans="1:37" x14ac:dyDescent="0.25">
      <c r="A200" s="964" t="s">
        <v>258</v>
      </c>
      <c r="B200" s="962"/>
      <c r="C200" s="971">
        <f t="shared" ref="C200:S200" si="72">IF(C187&gt;0,1,0)</f>
        <v>1</v>
      </c>
      <c r="D200" s="971">
        <f t="shared" si="72"/>
        <v>1</v>
      </c>
      <c r="E200" s="971">
        <f t="shared" si="72"/>
        <v>1</v>
      </c>
      <c r="F200" s="971">
        <f t="shared" si="72"/>
        <v>1</v>
      </c>
      <c r="G200" s="971">
        <f t="shared" si="72"/>
        <v>0</v>
      </c>
      <c r="H200" s="971">
        <f t="shared" si="72"/>
        <v>0</v>
      </c>
      <c r="I200" s="971">
        <f t="shared" si="72"/>
        <v>0</v>
      </c>
      <c r="J200" s="971">
        <f t="shared" si="72"/>
        <v>0</v>
      </c>
      <c r="K200" s="971">
        <f t="shared" si="72"/>
        <v>0</v>
      </c>
      <c r="L200" s="971">
        <f t="shared" si="72"/>
        <v>0</v>
      </c>
      <c r="M200" s="971">
        <f t="shared" si="72"/>
        <v>0</v>
      </c>
      <c r="N200" s="971">
        <f t="shared" si="72"/>
        <v>0</v>
      </c>
      <c r="O200" s="971">
        <f t="shared" si="72"/>
        <v>0</v>
      </c>
      <c r="P200" s="971">
        <f t="shared" si="72"/>
        <v>0</v>
      </c>
      <c r="Q200" s="971">
        <f t="shared" si="72"/>
        <v>0</v>
      </c>
      <c r="R200" s="971">
        <f t="shared" si="72"/>
        <v>0</v>
      </c>
      <c r="S200" s="1156">
        <f t="shared" si="72"/>
        <v>0</v>
      </c>
      <c r="T200" s="1117"/>
      <c r="U200" s="1117"/>
      <c r="V200" s="1117"/>
      <c r="W200" s="1117"/>
      <c r="X200" s="1117"/>
      <c r="Y200" s="1117"/>
      <c r="Z200" s="1117"/>
      <c r="AA200" s="1117"/>
      <c r="AB200" s="1117"/>
      <c r="AC200" s="1117"/>
      <c r="AD200" s="1117"/>
      <c r="AE200" s="1117"/>
      <c r="AF200" s="914"/>
      <c r="AG200" s="914"/>
      <c r="AH200" s="914"/>
      <c r="AI200" s="914"/>
      <c r="AJ200" s="914"/>
    </row>
    <row r="201" spans="1:37" ht="15" x14ac:dyDescent="0.25">
      <c r="A201" s="964" t="s">
        <v>259</v>
      </c>
      <c r="B201" s="962"/>
      <c r="C201" s="972">
        <v>87</v>
      </c>
      <c r="D201" s="972">
        <v>87</v>
      </c>
      <c r="E201" s="972">
        <v>87</v>
      </c>
      <c r="F201" s="972">
        <v>87</v>
      </c>
      <c r="G201" s="972">
        <v>87</v>
      </c>
      <c r="H201" s="972">
        <v>87</v>
      </c>
      <c r="I201" s="972">
        <v>87</v>
      </c>
      <c r="J201" s="972">
        <v>87</v>
      </c>
      <c r="K201" s="972">
        <v>87</v>
      </c>
      <c r="L201" s="972"/>
      <c r="M201" s="972"/>
      <c r="N201" s="972"/>
      <c r="O201" s="972"/>
      <c r="P201" s="972"/>
      <c r="Q201" s="972"/>
      <c r="R201" s="972"/>
      <c r="S201" s="1157"/>
      <c r="T201" s="1118"/>
      <c r="U201" s="1118"/>
      <c r="V201" s="1118"/>
      <c r="W201" s="1118"/>
      <c r="X201" s="1118"/>
      <c r="Y201" s="1118"/>
      <c r="Z201" s="1118"/>
      <c r="AA201" s="1118"/>
      <c r="AB201" s="1118"/>
      <c r="AC201" s="1118"/>
      <c r="AD201" s="1118"/>
      <c r="AE201" s="1118"/>
      <c r="AF201" s="914"/>
      <c r="AG201" s="914"/>
      <c r="AH201" s="914"/>
      <c r="AI201" s="914"/>
      <c r="AJ201" s="914"/>
    </row>
    <row r="202" spans="1:37" x14ac:dyDescent="0.25">
      <c r="A202" s="964" t="s">
        <v>260</v>
      </c>
      <c r="B202" s="962"/>
      <c r="C202" s="971">
        <f>IF(C188&gt;0,1,0)</f>
        <v>0</v>
      </c>
      <c r="D202" s="971">
        <f t="shared" ref="D202:S202" si="73">IF(D188&gt;0,1,0)</f>
        <v>1</v>
      </c>
      <c r="E202" s="971">
        <f t="shared" si="73"/>
        <v>1</v>
      </c>
      <c r="F202" s="971">
        <f t="shared" si="73"/>
        <v>1</v>
      </c>
      <c r="G202" s="971">
        <f t="shared" si="73"/>
        <v>0</v>
      </c>
      <c r="H202" s="971">
        <f t="shared" si="73"/>
        <v>0</v>
      </c>
      <c r="I202" s="971">
        <f t="shared" si="73"/>
        <v>0</v>
      </c>
      <c r="J202" s="971">
        <f t="shared" si="73"/>
        <v>0</v>
      </c>
      <c r="K202" s="971">
        <f t="shared" si="73"/>
        <v>0</v>
      </c>
      <c r="L202" s="971">
        <f t="shared" si="73"/>
        <v>0</v>
      </c>
      <c r="M202" s="971">
        <f t="shared" si="73"/>
        <v>0</v>
      </c>
      <c r="N202" s="971">
        <f t="shared" si="73"/>
        <v>0</v>
      </c>
      <c r="O202" s="971">
        <f t="shared" si="73"/>
        <v>0</v>
      </c>
      <c r="P202" s="971">
        <f t="shared" si="73"/>
        <v>0</v>
      </c>
      <c r="Q202" s="971">
        <f t="shared" si="73"/>
        <v>0</v>
      </c>
      <c r="R202" s="971">
        <f t="shared" si="73"/>
        <v>0</v>
      </c>
      <c r="S202" s="1156">
        <f t="shared" si="73"/>
        <v>0</v>
      </c>
      <c r="T202" s="1117"/>
      <c r="U202" s="1117"/>
      <c r="V202" s="1117"/>
      <c r="W202" s="1117"/>
      <c r="X202" s="1117"/>
      <c r="Y202" s="1117"/>
      <c r="Z202" s="1117"/>
      <c r="AA202" s="1117"/>
      <c r="AB202" s="1117"/>
      <c r="AC202" s="1117"/>
      <c r="AD202" s="1117"/>
      <c r="AE202" s="1117"/>
      <c r="AF202" s="914"/>
      <c r="AG202" s="914"/>
      <c r="AH202" s="914"/>
      <c r="AI202" s="914"/>
      <c r="AJ202" s="914"/>
    </row>
    <row r="203" spans="1:37" ht="15.75" x14ac:dyDescent="0.25">
      <c r="A203" s="973" t="s">
        <v>261</v>
      </c>
      <c r="B203" s="926"/>
      <c r="C203" s="974">
        <f>C196+C198+C195</f>
        <v>118.2645</v>
      </c>
      <c r="D203" s="974">
        <f t="shared" ref="D203:S203" si="74">D196+D198+D195</f>
        <v>220.55369999999999</v>
      </c>
      <c r="E203" s="974">
        <f>E196+E198+E195</f>
        <v>220.55369999999999</v>
      </c>
      <c r="F203" s="974">
        <f t="shared" si="74"/>
        <v>110.55369999999999</v>
      </c>
      <c r="G203" s="974">
        <f t="shared" si="74"/>
        <v>23.553699999999999</v>
      </c>
      <c r="H203" s="974">
        <f t="shared" si="74"/>
        <v>23.553699999999999</v>
      </c>
      <c r="I203" s="974">
        <f t="shared" si="74"/>
        <v>23.553699999999999</v>
      </c>
      <c r="J203" s="974">
        <f t="shared" si="74"/>
        <v>23.553699999999999</v>
      </c>
      <c r="K203" s="974">
        <f t="shared" si="74"/>
        <v>23.553699999999999</v>
      </c>
      <c r="L203" s="974">
        <f t="shared" si="74"/>
        <v>23.553699999999999</v>
      </c>
      <c r="M203" s="974">
        <f t="shared" si="74"/>
        <v>23.553699999999999</v>
      </c>
      <c r="N203" s="974">
        <f t="shared" si="74"/>
        <v>23.553699999999999</v>
      </c>
      <c r="O203" s="974">
        <f t="shared" si="74"/>
        <v>23.553699999999999</v>
      </c>
      <c r="P203" s="974">
        <f t="shared" si="74"/>
        <v>23.553699999999999</v>
      </c>
      <c r="Q203" s="974">
        <f t="shared" si="74"/>
        <v>23.553699999999999</v>
      </c>
      <c r="R203" s="974">
        <f t="shared" si="74"/>
        <v>23.553699999999999</v>
      </c>
      <c r="S203" s="1158">
        <f t="shared" si="74"/>
        <v>23.553699999999999</v>
      </c>
      <c r="T203" s="1119"/>
      <c r="U203" s="1119"/>
      <c r="V203" s="1119"/>
      <c r="W203" s="1119"/>
      <c r="X203" s="1119"/>
      <c r="Y203" s="1119"/>
      <c r="Z203" s="1119"/>
      <c r="AA203" s="1119"/>
      <c r="AB203" s="1119"/>
      <c r="AC203" s="1119"/>
      <c r="AD203" s="1119"/>
      <c r="AE203" s="1119"/>
      <c r="AF203" s="914"/>
      <c r="AG203" s="914"/>
      <c r="AH203" s="914"/>
      <c r="AI203" s="914"/>
      <c r="AJ203" s="914"/>
    </row>
    <row r="204" spans="1:37" x14ac:dyDescent="0.25">
      <c r="T204" s="914"/>
      <c r="U204" s="914"/>
      <c r="V204" s="914"/>
      <c r="W204" s="914"/>
      <c r="X204" s="914"/>
      <c r="Y204" s="914"/>
      <c r="Z204" s="914"/>
      <c r="AA204" s="914"/>
      <c r="AB204" s="914"/>
      <c r="AC204" s="914"/>
      <c r="AD204" s="914"/>
      <c r="AE204" s="914"/>
      <c r="AF204" s="914"/>
      <c r="AG204" s="914"/>
      <c r="AH204" s="914"/>
      <c r="AI204" s="914"/>
      <c r="AJ204" s="914"/>
    </row>
    <row r="205" spans="1:37" s="964" customFormat="1" x14ac:dyDescent="0.25">
      <c r="A205" s="975" t="s">
        <v>262</v>
      </c>
      <c r="B205" s="968"/>
      <c r="C205" s="963"/>
      <c r="D205" s="963"/>
      <c r="E205" s="963"/>
      <c r="F205" s="963"/>
      <c r="G205" s="963"/>
      <c r="H205" s="963"/>
      <c r="I205" s="963"/>
      <c r="J205" s="963"/>
      <c r="K205" s="963">
        <f>+IF((K206-K151)*7.3&lt;0,,(K206-K151)*7.3)</f>
        <v>0</v>
      </c>
      <c r="L205" s="963">
        <f t="shared" ref="L205:N205" si="75">+IF((L206-L151)*7.3&lt;0,,(L206-L151)*7.3)</f>
        <v>0</v>
      </c>
      <c r="M205" s="963">
        <f t="shared" si="75"/>
        <v>0</v>
      </c>
      <c r="N205" s="963">
        <f t="shared" si="75"/>
        <v>0</v>
      </c>
      <c r="O205" s="963"/>
      <c r="P205" s="963"/>
      <c r="Q205" s="963"/>
      <c r="R205" s="963"/>
      <c r="S205" s="1151"/>
      <c r="T205" s="1113"/>
      <c r="U205" s="1113"/>
      <c r="V205" s="1113"/>
      <c r="W205" s="1113"/>
      <c r="X205" s="1113"/>
      <c r="Y205" s="1113"/>
      <c r="Z205" s="1113"/>
      <c r="AA205" s="1113"/>
      <c r="AB205" s="1113"/>
      <c r="AC205" s="1113"/>
      <c r="AD205" s="1113"/>
      <c r="AE205" s="1113"/>
      <c r="AF205" s="1161"/>
      <c r="AG205" s="1161"/>
      <c r="AH205" s="1161"/>
      <c r="AI205" s="1161"/>
      <c r="AJ205" s="1161"/>
      <c r="AK205" s="1082"/>
    </row>
    <row r="206" spans="1:37" s="964" customFormat="1" x14ac:dyDescent="0.25">
      <c r="A206" s="975" t="s">
        <v>263</v>
      </c>
      <c r="B206" s="968"/>
      <c r="C206" s="963"/>
      <c r="D206" s="963"/>
      <c r="E206" s="963"/>
      <c r="F206" s="963"/>
      <c r="G206" s="963"/>
      <c r="H206" s="963"/>
      <c r="I206" s="963"/>
      <c r="J206" s="963"/>
      <c r="K206" s="976"/>
      <c r="L206" s="976"/>
      <c r="M206" s="976"/>
      <c r="N206" s="976"/>
      <c r="O206" s="963"/>
      <c r="P206" s="963"/>
      <c r="Q206" s="963"/>
      <c r="R206" s="963"/>
      <c r="S206" s="1151"/>
      <c r="T206" s="1113"/>
      <c r="U206" s="1113"/>
      <c r="V206" s="1113"/>
      <c r="W206" s="1113"/>
      <c r="X206" s="1113"/>
      <c r="Y206" s="1113"/>
      <c r="Z206" s="1113"/>
      <c r="AA206" s="1113"/>
      <c r="AB206" s="1113"/>
      <c r="AC206" s="1113"/>
      <c r="AD206" s="1113"/>
      <c r="AE206" s="1113"/>
      <c r="AF206" s="1161"/>
      <c r="AG206" s="1161"/>
      <c r="AH206" s="1161"/>
      <c r="AI206" s="1161"/>
      <c r="AJ206" s="1161"/>
      <c r="AK206" s="1082"/>
    </row>
    <row r="207" spans="1:37" x14ac:dyDescent="0.25">
      <c r="T207" s="914"/>
      <c r="U207" s="914"/>
      <c r="V207" s="914"/>
      <c r="W207" s="914"/>
      <c r="X207" s="914"/>
      <c r="Y207" s="914"/>
      <c r="Z207" s="914"/>
      <c r="AA207" s="914"/>
      <c r="AB207" s="914"/>
      <c r="AC207" s="914"/>
      <c r="AD207" s="914"/>
      <c r="AE207" s="914"/>
      <c r="AF207" s="914"/>
      <c r="AG207" s="914"/>
      <c r="AH207" s="914"/>
      <c r="AI207" s="914"/>
      <c r="AJ207" s="914"/>
    </row>
    <row r="208" spans="1:37" x14ac:dyDescent="0.25">
      <c r="T208" s="914"/>
      <c r="U208" s="914"/>
      <c r="V208" s="914"/>
      <c r="W208" s="914"/>
      <c r="X208" s="914"/>
      <c r="Y208" s="914"/>
      <c r="Z208" s="914"/>
      <c r="AA208" s="914"/>
      <c r="AB208" s="914"/>
      <c r="AC208" s="914"/>
      <c r="AD208" s="914"/>
      <c r="AE208" s="914"/>
      <c r="AF208" s="914"/>
      <c r="AG208" s="914"/>
      <c r="AH208" s="914"/>
      <c r="AI208" s="914"/>
      <c r="AJ208" s="914"/>
    </row>
    <row r="209" spans="20:36" x14ac:dyDescent="0.25">
      <c r="T209" s="914"/>
      <c r="U209" s="914"/>
      <c r="V209" s="914"/>
      <c r="W209" s="914"/>
      <c r="X209" s="914"/>
      <c r="Y209" s="914"/>
      <c r="Z209" s="914"/>
      <c r="AA209" s="914"/>
      <c r="AB209" s="914"/>
      <c r="AC209" s="914"/>
      <c r="AD209" s="914"/>
      <c r="AE209" s="914"/>
      <c r="AF209" s="914"/>
      <c r="AG209" s="914"/>
      <c r="AH209" s="914"/>
      <c r="AI209" s="914"/>
      <c r="AJ209" s="914"/>
    </row>
    <row r="210" spans="20:36" x14ac:dyDescent="0.25">
      <c r="T210" s="914"/>
      <c r="U210" s="914"/>
      <c r="V210" s="914"/>
      <c r="W210" s="914"/>
      <c r="X210" s="914"/>
      <c r="Y210" s="914"/>
      <c r="Z210" s="914"/>
      <c r="AA210" s="914"/>
      <c r="AB210" s="914"/>
      <c r="AC210" s="914"/>
      <c r="AD210" s="914"/>
      <c r="AE210" s="914"/>
      <c r="AF210" s="914"/>
      <c r="AG210" s="914"/>
      <c r="AH210" s="914"/>
      <c r="AI210" s="914"/>
      <c r="AJ210" s="914"/>
    </row>
    <row r="211" spans="20:36" x14ac:dyDescent="0.25">
      <c r="T211" s="914"/>
      <c r="U211" s="914"/>
      <c r="V211" s="914"/>
      <c r="W211" s="914"/>
      <c r="X211" s="914"/>
      <c r="Y211" s="914"/>
      <c r="Z211" s="914"/>
      <c r="AA211" s="914"/>
      <c r="AB211" s="914"/>
      <c r="AC211" s="914"/>
      <c r="AD211" s="914"/>
      <c r="AE211" s="914"/>
      <c r="AF211" s="914"/>
      <c r="AG211" s="914"/>
      <c r="AH211" s="914"/>
      <c r="AI211" s="914"/>
      <c r="AJ211" s="914"/>
    </row>
    <row r="212" spans="20:36" x14ac:dyDescent="0.25">
      <c r="T212" s="914"/>
      <c r="U212" s="914"/>
      <c r="V212" s="914"/>
      <c r="W212" s="914"/>
      <c r="X212" s="914"/>
      <c r="Y212" s="914"/>
      <c r="Z212" s="914"/>
      <c r="AA212" s="914"/>
      <c r="AB212" s="914"/>
      <c r="AC212" s="914"/>
      <c r="AD212" s="914"/>
      <c r="AE212" s="914"/>
      <c r="AF212" s="914"/>
      <c r="AG212" s="914"/>
      <c r="AH212" s="914"/>
      <c r="AI212" s="914"/>
      <c r="AJ212" s="914"/>
    </row>
    <row r="213" spans="20:36" x14ac:dyDescent="0.25">
      <c r="T213" s="914"/>
      <c r="U213" s="914"/>
      <c r="V213" s="914"/>
      <c r="W213" s="914"/>
      <c r="X213" s="914"/>
      <c r="Y213" s="914"/>
      <c r="Z213" s="914"/>
      <c r="AA213" s="914"/>
      <c r="AB213" s="914"/>
      <c r="AC213" s="914"/>
      <c r="AD213" s="914"/>
      <c r="AE213" s="914"/>
      <c r="AF213" s="914"/>
      <c r="AG213" s="914"/>
      <c r="AH213" s="914"/>
      <c r="AI213" s="914"/>
      <c r="AJ213" s="914"/>
    </row>
    <row r="214" spans="20:36" x14ac:dyDescent="0.25">
      <c r="T214" s="914"/>
      <c r="U214" s="914"/>
      <c r="V214" s="914"/>
      <c r="W214" s="914"/>
      <c r="X214" s="914"/>
      <c r="Y214" s="914"/>
      <c r="Z214" s="914"/>
      <c r="AA214" s="914"/>
      <c r="AB214" s="914"/>
      <c r="AC214" s="914"/>
      <c r="AD214" s="914"/>
      <c r="AE214" s="914"/>
      <c r="AF214" s="914"/>
      <c r="AG214" s="914"/>
      <c r="AH214" s="914"/>
      <c r="AI214" s="914"/>
      <c r="AJ214" s="914"/>
    </row>
    <row r="215" spans="20:36" x14ac:dyDescent="0.25">
      <c r="T215" s="914"/>
      <c r="U215" s="914"/>
      <c r="V215" s="914"/>
      <c r="W215" s="914"/>
      <c r="X215" s="914"/>
      <c r="Y215" s="914"/>
      <c r="Z215" s="914"/>
      <c r="AA215" s="914"/>
      <c r="AB215" s="914"/>
      <c r="AC215" s="914"/>
      <c r="AD215" s="914"/>
      <c r="AE215" s="914"/>
      <c r="AF215" s="914"/>
      <c r="AG215" s="914"/>
      <c r="AH215" s="914"/>
      <c r="AI215" s="914"/>
      <c r="AJ215" s="914"/>
    </row>
    <row r="216" spans="20:36" x14ac:dyDescent="0.25">
      <c r="T216" s="914"/>
      <c r="U216" s="914"/>
      <c r="V216" s="914"/>
      <c r="W216" s="914"/>
      <c r="X216" s="914"/>
      <c r="Y216" s="914"/>
      <c r="Z216" s="914"/>
      <c r="AA216" s="914"/>
      <c r="AB216" s="914"/>
      <c r="AC216" s="914"/>
      <c r="AD216" s="914"/>
      <c r="AE216" s="914"/>
      <c r="AF216" s="914"/>
      <c r="AG216" s="914"/>
      <c r="AH216" s="914"/>
      <c r="AI216" s="914"/>
      <c r="AJ216" s="914"/>
    </row>
    <row r="217" spans="20:36" x14ac:dyDescent="0.25">
      <c r="T217" s="914"/>
      <c r="U217" s="914"/>
      <c r="V217" s="914"/>
      <c r="W217" s="914"/>
      <c r="X217" s="914"/>
      <c r="Y217" s="914"/>
      <c r="Z217" s="914"/>
      <c r="AA217" s="914"/>
      <c r="AB217" s="914"/>
      <c r="AC217" s="914"/>
      <c r="AD217" s="914"/>
      <c r="AE217" s="914"/>
      <c r="AF217" s="914"/>
      <c r="AG217" s="914"/>
      <c r="AH217" s="914"/>
      <c r="AI217" s="914"/>
      <c r="AJ217" s="914"/>
    </row>
    <row r="218" spans="20:36" x14ac:dyDescent="0.25"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914"/>
      <c r="AI218" s="914"/>
      <c r="AJ218" s="914"/>
    </row>
    <row r="219" spans="20:36" x14ac:dyDescent="0.25">
      <c r="T219" s="914"/>
      <c r="U219" s="914"/>
      <c r="V219" s="914"/>
      <c r="W219" s="914"/>
      <c r="X219" s="914"/>
      <c r="Y219" s="914"/>
      <c r="Z219" s="914"/>
      <c r="AA219" s="914"/>
      <c r="AB219" s="914"/>
      <c r="AC219" s="914"/>
      <c r="AD219" s="914"/>
      <c r="AE219" s="914"/>
      <c r="AF219" s="914"/>
      <c r="AG219" s="914"/>
      <c r="AH219" s="914"/>
      <c r="AI219" s="914"/>
      <c r="AJ219" s="914"/>
    </row>
    <row r="220" spans="20:36" x14ac:dyDescent="0.25">
      <c r="T220" s="914"/>
      <c r="U220" s="914"/>
      <c r="V220" s="914"/>
      <c r="W220" s="914"/>
      <c r="X220" s="914"/>
      <c r="Y220" s="914"/>
      <c r="Z220" s="914"/>
      <c r="AA220" s="914"/>
      <c r="AB220" s="914"/>
      <c r="AC220" s="914"/>
      <c r="AD220" s="914"/>
      <c r="AE220" s="914"/>
      <c r="AF220" s="914"/>
      <c r="AG220" s="914"/>
      <c r="AH220" s="914"/>
      <c r="AI220" s="914"/>
      <c r="AJ220" s="914"/>
    </row>
    <row r="221" spans="20:36" x14ac:dyDescent="0.25">
      <c r="T221" s="914"/>
      <c r="U221" s="914"/>
      <c r="V221" s="914"/>
      <c r="W221" s="914"/>
      <c r="X221" s="914"/>
      <c r="Y221" s="914"/>
      <c r="Z221" s="914"/>
      <c r="AA221" s="914"/>
      <c r="AB221" s="914"/>
      <c r="AC221" s="914"/>
      <c r="AD221" s="914"/>
      <c r="AE221" s="914"/>
      <c r="AF221" s="914"/>
      <c r="AG221" s="914"/>
      <c r="AH221" s="914"/>
      <c r="AI221" s="914"/>
      <c r="AJ221" s="914"/>
    </row>
    <row r="222" spans="20:36" x14ac:dyDescent="0.25">
      <c r="T222" s="914"/>
      <c r="U222" s="914"/>
      <c r="V222" s="914"/>
      <c r="W222" s="914"/>
      <c r="X222" s="914"/>
      <c r="Y222" s="914"/>
      <c r="Z222" s="914"/>
      <c r="AA222" s="914"/>
      <c r="AB222" s="914"/>
      <c r="AC222" s="914"/>
      <c r="AD222" s="914"/>
      <c r="AE222" s="914"/>
      <c r="AF222" s="914"/>
      <c r="AG222" s="914"/>
      <c r="AH222" s="914"/>
      <c r="AI222" s="914"/>
      <c r="AJ222" s="914"/>
    </row>
    <row r="223" spans="20:36" x14ac:dyDescent="0.25">
      <c r="T223" s="914"/>
      <c r="U223" s="914"/>
      <c r="V223" s="914"/>
      <c r="W223" s="914"/>
      <c r="X223" s="914"/>
      <c r="Y223" s="914"/>
      <c r="Z223" s="914"/>
      <c r="AA223" s="914"/>
      <c r="AB223" s="914"/>
      <c r="AC223" s="914"/>
      <c r="AD223" s="914"/>
      <c r="AE223" s="914"/>
      <c r="AF223" s="914"/>
      <c r="AG223" s="914"/>
      <c r="AH223" s="914"/>
      <c r="AI223" s="914"/>
      <c r="AJ223" s="914"/>
    </row>
    <row r="224" spans="20:36" x14ac:dyDescent="0.25">
      <c r="T224" s="914"/>
      <c r="U224" s="914"/>
      <c r="V224" s="914"/>
      <c r="W224" s="914"/>
      <c r="X224" s="914"/>
      <c r="Y224" s="914"/>
      <c r="Z224" s="914"/>
      <c r="AA224" s="914"/>
      <c r="AB224" s="914"/>
      <c r="AC224" s="914"/>
      <c r="AD224" s="914"/>
      <c r="AE224" s="914"/>
      <c r="AF224" s="914"/>
      <c r="AG224" s="914"/>
      <c r="AH224" s="914"/>
      <c r="AI224" s="914"/>
      <c r="AJ224" s="914"/>
    </row>
    <row r="225" spans="20:36" x14ac:dyDescent="0.25">
      <c r="T225" s="914"/>
      <c r="U225" s="914"/>
      <c r="V225" s="914"/>
      <c r="W225" s="914"/>
      <c r="X225" s="914"/>
      <c r="Y225" s="914"/>
      <c r="Z225" s="914"/>
      <c r="AA225" s="914"/>
      <c r="AB225" s="914"/>
      <c r="AC225" s="914"/>
      <c r="AD225" s="914"/>
      <c r="AE225" s="914"/>
      <c r="AF225" s="914"/>
      <c r="AG225" s="914"/>
      <c r="AH225" s="914"/>
      <c r="AI225" s="914"/>
      <c r="AJ225" s="914"/>
    </row>
    <row r="226" spans="20:36" x14ac:dyDescent="0.25">
      <c r="T226" s="914"/>
      <c r="U226" s="914"/>
      <c r="V226" s="914"/>
      <c r="W226" s="914"/>
      <c r="X226" s="914"/>
      <c r="Y226" s="914"/>
      <c r="Z226" s="914"/>
      <c r="AA226" s="914"/>
      <c r="AB226" s="914"/>
      <c r="AC226" s="914"/>
      <c r="AD226" s="914"/>
      <c r="AE226" s="914"/>
      <c r="AF226" s="914"/>
      <c r="AG226" s="914"/>
      <c r="AH226" s="914"/>
      <c r="AI226" s="914"/>
      <c r="AJ226" s="914"/>
    </row>
    <row r="227" spans="20:36" x14ac:dyDescent="0.25">
      <c r="T227" s="914"/>
      <c r="U227" s="914"/>
      <c r="V227" s="914"/>
      <c r="W227" s="914"/>
      <c r="X227" s="914"/>
      <c r="Y227" s="914"/>
      <c r="Z227" s="914"/>
      <c r="AA227" s="914"/>
      <c r="AB227" s="914"/>
      <c r="AC227" s="914"/>
      <c r="AD227" s="914"/>
      <c r="AE227" s="914"/>
      <c r="AF227" s="914"/>
      <c r="AG227" s="914"/>
      <c r="AH227" s="914"/>
      <c r="AI227" s="914"/>
      <c r="AJ227" s="914"/>
    </row>
    <row r="228" spans="20:36" x14ac:dyDescent="0.25">
      <c r="T228" s="914"/>
      <c r="U228" s="914"/>
      <c r="V228" s="914"/>
      <c r="W228" s="914"/>
      <c r="X228" s="914"/>
      <c r="Y228" s="914"/>
      <c r="Z228" s="914"/>
      <c r="AA228" s="914"/>
      <c r="AB228" s="914"/>
      <c r="AC228" s="914"/>
      <c r="AD228" s="914"/>
      <c r="AE228" s="914"/>
      <c r="AF228" s="914"/>
      <c r="AG228" s="914"/>
      <c r="AH228" s="914"/>
      <c r="AI228" s="914"/>
      <c r="AJ228" s="914"/>
    </row>
    <row r="229" spans="20:36" x14ac:dyDescent="0.25">
      <c r="T229" s="914"/>
      <c r="U229" s="914"/>
      <c r="V229" s="914"/>
      <c r="W229" s="914"/>
      <c r="X229" s="914"/>
      <c r="Y229" s="914"/>
      <c r="Z229" s="914"/>
      <c r="AA229" s="914"/>
      <c r="AB229" s="914"/>
      <c r="AC229" s="914"/>
      <c r="AD229" s="914"/>
      <c r="AE229" s="914"/>
      <c r="AF229" s="914"/>
      <c r="AG229" s="914"/>
      <c r="AH229" s="914"/>
      <c r="AI229" s="914"/>
      <c r="AJ229" s="914"/>
    </row>
    <row r="230" spans="20:36" x14ac:dyDescent="0.25">
      <c r="T230" s="914"/>
      <c r="U230" s="914"/>
      <c r="V230" s="914"/>
      <c r="W230" s="914"/>
      <c r="X230" s="914"/>
      <c r="Y230" s="914"/>
      <c r="Z230" s="914"/>
      <c r="AA230" s="914"/>
      <c r="AB230" s="914"/>
      <c r="AC230" s="914"/>
      <c r="AD230" s="914"/>
      <c r="AE230" s="914"/>
      <c r="AF230" s="914"/>
      <c r="AG230" s="914"/>
      <c r="AH230" s="914"/>
      <c r="AI230" s="914"/>
      <c r="AJ230" s="914"/>
    </row>
    <row r="231" spans="20:36" x14ac:dyDescent="0.25">
      <c r="T231" s="914"/>
      <c r="U231" s="914"/>
      <c r="V231" s="914"/>
      <c r="W231" s="914"/>
      <c r="X231" s="914"/>
      <c r="Y231" s="914"/>
      <c r="Z231" s="914"/>
      <c r="AA231" s="914"/>
      <c r="AB231" s="914"/>
      <c r="AC231" s="914"/>
      <c r="AD231" s="914"/>
      <c r="AE231" s="914"/>
      <c r="AF231" s="914"/>
      <c r="AG231" s="914"/>
      <c r="AH231" s="914"/>
      <c r="AI231" s="914"/>
      <c r="AJ231" s="914"/>
    </row>
    <row r="232" spans="20:36" x14ac:dyDescent="0.25">
      <c r="T232" s="914"/>
      <c r="U232" s="914"/>
      <c r="V232" s="914"/>
      <c r="W232" s="914"/>
      <c r="X232" s="914"/>
      <c r="Y232" s="914"/>
      <c r="Z232" s="914"/>
      <c r="AA232" s="914"/>
      <c r="AB232" s="914"/>
      <c r="AC232" s="914"/>
      <c r="AD232" s="914"/>
      <c r="AE232" s="914"/>
      <c r="AF232" s="914"/>
      <c r="AG232" s="914"/>
      <c r="AH232" s="914"/>
      <c r="AI232" s="914"/>
      <c r="AJ232" s="914"/>
    </row>
    <row r="233" spans="20:36" x14ac:dyDescent="0.25">
      <c r="T233" s="914"/>
      <c r="U233" s="914"/>
      <c r="V233" s="914"/>
      <c r="W233" s="914"/>
      <c r="X233" s="914"/>
      <c r="Y233" s="914"/>
      <c r="Z233" s="914"/>
      <c r="AA233" s="914"/>
      <c r="AB233" s="914"/>
      <c r="AC233" s="914"/>
      <c r="AD233" s="914"/>
      <c r="AE233" s="914"/>
      <c r="AF233" s="914"/>
      <c r="AG233" s="914"/>
      <c r="AH233" s="914"/>
      <c r="AI233" s="914"/>
      <c r="AJ233" s="914"/>
    </row>
    <row r="234" spans="20:36" x14ac:dyDescent="0.25">
      <c r="T234" s="914"/>
      <c r="U234" s="914"/>
      <c r="V234" s="914"/>
      <c r="W234" s="914"/>
      <c r="X234" s="914"/>
      <c r="Y234" s="914"/>
      <c r="Z234" s="914"/>
      <c r="AA234" s="914"/>
      <c r="AB234" s="914"/>
      <c r="AC234" s="914"/>
      <c r="AD234" s="914"/>
      <c r="AE234" s="914"/>
      <c r="AF234" s="914"/>
      <c r="AG234" s="914"/>
      <c r="AH234" s="914"/>
      <c r="AI234" s="914"/>
      <c r="AJ234" s="914"/>
    </row>
    <row r="235" spans="20:36" x14ac:dyDescent="0.25">
      <c r="T235" s="914"/>
      <c r="U235" s="914"/>
      <c r="V235" s="914"/>
      <c r="W235" s="914"/>
      <c r="X235" s="914"/>
      <c r="Y235" s="914"/>
      <c r="Z235" s="914"/>
      <c r="AA235" s="914"/>
      <c r="AB235" s="914"/>
      <c r="AC235" s="914"/>
      <c r="AD235" s="914"/>
      <c r="AE235" s="914"/>
      <c r="AF235" s="914"/>
      <c r="AG235" s="914"/>
      <c r="AH235" s="914"/>
      <c r="AI235" s="914"/>
      <c r="AJ235" s="914"/>
    </row>
    <row r="236" spans="20:36" x14ac:dyDescent="0.25">
      <c r="T236" s="914"/>
      <c r="U236" s="914"/>
      <c r="V236" s="914"/>
      <c r="W236" s="914"/>
      <c r="X236" s="914"/>
      <c r="Y236" s="914"/>
      <c r="Z236" s="914"/>
      <c r="AA236" s="914"/>
      <c r="AB236" s="914"/>
      <c r="AC236" s="914"/>
      <c r="AD236" s="914"/>
      <c r="AE236" s="914"/>
      <c r="AF236" s="914"/>
      <c r="AG236" s="914"/>
      <c r="AH236" s="914"/>
      <c r="AI236" s="914"/>
      <c r="AJ236" s="914"/>
    </row>
    <row r="237" spans="20:36" x14ac:dyDescent="0.25"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914"/>
      <c r="AI237" s="914"/>
      <c r="AJ237" s="914"/>
    </row>
    <row r="238" spans="20:36" x14ac:dyDescent="0.25">
      <c r="T238" s="914"/>
      <c r="U238" s="914"/>
      <c r="V238" s="914"/>
      <c r="W238" s="914"/>
      <c r="X238" s="914"/>
      <c r="Y238" s="914"/>
      <c r="Z238" s="914"/>
      <c r="AA238" s="914"/>
      <c r="AB238" s="914"/>
      <c r="AC238" s="914"/>
      <c r="AD238" s="914"/>
      <c r="AE238" s="914"/>
      <c r="AF238" s="914"/>
      <c r="AG238" s="914"/>
      <c r="AH238" s="914"/>
      <c r="AI238" s="914"/>
      <c r="AJ238" s="914"/>
    </row>
    <row r="239" spans="20:36" x14ac:dyDescent="0.25">
      <c r="T239" s="914"/>
      <c r="U239" s="914"/>
      <c r="V239" s="914"/>
      <c r="W239" s="914"/>
      <c r="X239" s="914"/>
      <c r="Y239" s="914"/>
      <c r="Z239" s="914"/>
      <c r="AA239" s="914"/>
      <c r="AB239" s="914"/>
      <c r="AC239" s="914"/>
      <c r="AD239" s="914"/>
      <c r="AE239" s="914"/>
      <c r="AF239" s="914"/>
      <c r="AG239" s="914"/>
      <c r="AH239" s="914"/>
      <c r="AI239" s="914"/>
      <c r="AJ239" s="914"/>
    </row>
    <row r="240" spans="20:36" x14ac:dyDescent="0.25">
      <c r="T240" s="914"/>
      <c r="U240" s="914"/>
      <c r="V240" s="914"/>
      <c r="W240" s="914"/>
      <c r="X240" s="914"/>
      <c r="Y240" s="914"/>
      <c r="Z240" s="914"/>
      <c r="AA240" s="914"/>
      <c r="AB240" s="914"/>
      <c r="AC240" s="914"/>
      <c r="AD240" s="914"/>
      <c r="AE240" s="914"/>
      <c r="AF240" s="914"/>
      <c r="AG240" s="914"/>
      <c r="AH240" s="914"/>
      <c r="AI240" s="914"/>
      <c r="AJ240" s="914"/>
    </row>
    <row r="241" spans="20:36" x14ac:dyDescent="0.25">
      <c r="T241" s="914"/>
      <c r="U241" s="914"/>
      <c r="V241" s="914"/>
      <c r="W241" s="914"/>
      <c r="X241" s="914"/>
      <c r="Y241" s="914"/>
      <c r="Z241" s="914"/>
      <c r="AA241" s="914"/>
      <c r="AB241" s="914"/>
      <c r="AC241" s="914"/>
      <c r="AD241" s="914"/>
      <c r="AE241" s="914"/>
      <c r="AF241" s="914"/>
      <c r="AG241" s="914"/>
      <c r="AH241" s="914"/>
      <c r="AI241" s="914"/>
      <c r="AJ241" s="914"/>
    </row>
    <row r="242" spans="20:36" x14ac:dyDescent="0.25">
      <c r="T242" s="914"/>
      <c r="U242" s="914"/>
      <c r="V242" s="914"/>
      <c r="W242" s="914"/>
      <c r="X242" s="914"/>
      <c r="Y242" s="914"/>
      <c r="Z242" s="914"/>
      <c r="AA242" s="914"/>
      <c r="AB242" s="914"/>
      <c r="AC242" s="914"/>
      <c r="AD242" s="914"/>
      <c r="AE242" s="914"/>
      <c r="AF242" s="914"/>
      <c r="AG242" s="914"/>
      <c r="AH242" s="914"/>
      <c r="AI242" s="914"/>
      <c r="AJ242" s="914"/>
    </row>
    <row r="243" spans="20:36" x14ac:dyDescent="0.25">
      <c r="T243" s="914"/>
      <c r="U243" s="914"/>
      <c r="V243" s="914"/>
      <c r="W243" s="914"/>
      <c r="X243" s="914"/>
      <c r="Y243" s="914"/>
      <c r="Z243" s="914"/>
      <c r="AA243" s="914"/>
      <c r="AB243" s="914"/>
      <c r="AC243" s="914"/>
      <c r="AD243" s="914"/>
      <c r="AE243" s="914"/>
      <c r="AF243" s="914"/>
      <c r="AG243" s="914"/>
      <c r="AH243" s="914"/>
      <c r="AI243" s="914"/>
      <c r="AJ243" s="914"/>
    </row>
    <row r="244" spans="20:36" x14ac:dyDescent="0.25">
      <c r="T244" s="914"/>
      <c r="U244" s="914"/>
      <c r="V244" s="914"/>
      <c r="W244" s="914"/>
      <c r="X244" s="914"/>
      <c r="Y244" s="914"/>
      <c r="Z244" s="914"/>
      <c r="AA244" s="914"/>
      <c r="AB244" s="914"/>
      <c r="AC244" s="914"/>
      <c r="AD244" s="914"/>
      <c r="AE244" s="914"/>
      <c r="AF244" s="914"/>
      <c r="AG244" s="914"/>
      <c r="AH244" s="914"/>
      <c r="AI244" s="914"/>
      <c r="AJ244" s="914"/>
    </row>
    <row r="245" spans="20:36" x14ac:dyDescent="0.25">
      <c r="T245" s="914"/>
      <c r="U245" s="914"/>
      <c r="V245" s="914"/>
      <c r="W245" s="914"/>
      <c r="X245" s="914"/>
      <c r="Y245" s="914"/>
      <c r="Z245" s="914"/>
      <c r="AA245" s="914"/>
      <c r="AB245" s="914"/>
      <c r="AC245" s="914"/>
      <c r="AD245" s="914"/>
      <c r="AE245" s="914"/>
      <c r="AF245" s="914"/>
      <c r="AG245" s="914"/>
      <c r="AH245" s="914"/>
      <c r="AI245" s="914"/>
      <c r="AJ245" s="914"/>
    </row>
    <row r="246" spans="20:36" x14ac:dyDescent="0.25">
      <c r="T246" s="914"/>
      <c r="U246" s="914"/>
      <c r="V246" s="914"/>
      <c r="W246" s="914"/>
      <c r="X246" s="914"/>
      <c r="Y246" s="914"/>
      <c r="Z246" s="914"/>
      <c r="AA246" s="914"/>
      <c r="AB246" s="914"/>
      <c r="AC246" s="914"/>
      <c r="AD246" s="914"/>
      <c r="AE246" s="914"/>
      <c r="AF246" s="914"/>
      <c r="AG246" s="914"/>
      <c r="AH246" s="914"/>
      <c r="AI246" s="914"/>
      <c r="AJ246" s="914"/>
    </row>
    <row r="247" spans="20:36" x14ac:dyDescent="0.25">
      <c r="T247" s="914"/>
      <c r="U247" s="914"/>
      <c r="V247" s="914"/>
      <c r="W247" s="914"/>
      <c r="X247" s="914"/>
      <c r="Y247" s="914"/>
      <c r="Z247" s="914"/>
      <c r="AA247" s="914"/>
      <c r="AB247" s="914"/>
      <c r="AC247" s="914"/>
      <c r="AD247" s="914"/>
      <c r="AE247" s="914"/>
      <c r="AF247" s="914"/>
      <c r="AG247" s="914"/>
      <c r="AH247" s="914"/>
      <c r="AI247" s="914"/>
      <c r="AJ247" s="914"/>
    </row>
    <row r="248" spans="20:36" x14ac:dyDescent="0.25">
      <c r="T248" s="914"/>
      <c r="U248" s="914"/>
      <c r="V248" s="914"/>
      <c r="W248" s="914"/>
      <c r="X248" s="914"/>
      <c r="Y248" s="914"/>
      <c r="Z248" s="914"/>
      <c r="AA248" s="914"/>
      <c r="AB248" s="914"/>
      <c r="AC248" s="914"/>
      <c r="AD248" s="914"/>
      <c r="AE248" s="914"/>
      <c r="AF248" s="914"/>
      <c r="AG248" s="914"/>
      <c r="AH248" s="914"/>
      <c r="AI248" s="914"/>
      <c r="AJ248" s="914"/>
    </row>
    <row r="249" spans="20:36" x14ac:dyDescent="0.25">
      <c r="T249" s="914"/>
      <c r="U249" s="914"/>
      <c r="V249" s="914"/>
      <c r="W249" s="914"/>
      <c r="X249" s="914"/>
      <c r="Y249" s="914"/>
      <c r="Z249" s="914"/>
      <c r="AA249" s="914"/>
      <c r="AB249" s="914"/>
      <c r="AC249" s="914"/>
      <c r="AD249" s="914"/>
      <c r="AE249" s="914"/>
      <c r="AF249" s="914"/>
      <c r="AG249" s="914"/>
      <c r="AH249" s="914"/>
      <c r="AI249" s="914"/>
      <c r="AJ249" s="914"/>
    </row>
    <row r="250" spans="20:36" x14ac:dyDescent="0.25">
      <c r="T250" s="914"/>
      <c r="U250" s="914"/>
      <c r="V250" s="914"/>
      <c r="W250" s="914"/>
      <c r="X250" s="914"/>
      <c r="Y250" s="914"/>
      <c r="Z250" s="914"/>
      <c r="AA250" s="914"/>
      <c r="AB250" s="914"/>
      <c r="AC250" s="914"/>
      <c r="AD250" s="914"/>
      <c r="AE250" s="914"/>
      <c r="AF250" s="914"/>
      <c r="AG250" s="914"/>
      <c r="AH250" s="914"/>
      <c r="AI250" s="914"/>
      <c r="AJ250" s="914"/>
    </row>
    <row r="251" spans="20:36" x14ac:dyDescent="0.25">
      <c r="T251" s="914"/>
      <c r="U251" s="914"/>
      <c r="V251" s="914"/>
      <c r="W251" s="914"/>
      <c r="X251" s="914"/>
      <c r="Y251" s="914"/>
      <c r="Z251" s="914"/>
      <c r="AA251" s="914"/>
      <c r="AB251" s="914"/>
      <c r="AC251" s="914"/>
      <c r="AD251" s="914"/>
      <c r="AE251" s="914"/>
      <c r="AF251" s="914"/>
      <c r="AG251" s="914"/>
      <c r="AH251" s="914"/>
      <c r="AI251" s="914"/>
      <c r="AJ251" s="914"/>
    </row>
    <row r="252" spans="20:36" x14ac:dyDescent="0.25">
      <c r="T252" s="914"/>
      <c r="U252" s="914"/>
      <c r="V252" s="914"/>
      <c r="W252" s="914"/>
      <c r="X252" s="914"/>
      <c r="Y252" s="914"/>
      <c r="Z252" s="914"/>
      <c r="AA252" s="914"/>
      <c r="AB252" s="914"/>
      <c r="AC252" s="914"/>
      <c r="AD252" s="914"/>
      <c r="AE252" s="914"/>
      <c r="AF252" s="914"/>
      <c r="AG252" s="914"/>
      <c r="AH252" s="914"/>
      <c r="AI252" s="914"/>
      <c r="AJ252" s="914"/>
    </row>
    <row r="253" spans="20:36" x14ac:dyDescent="0.25">
      <c r="T253" s="914"/>
      <c r="U253" s="914"/>
      <c r="V253" s="914"/>
      <c r="W253" s="914"/>
      <c r="X253" s="914"/>
      <c r="Y253" s="914"/>
      <c r="Z253" s="914"/>
      <c r="AA253" s="914"/>
      <c r="AB253" s="914"/>
      <c r="AC253" s="914"/>
      <c r="AD253" s="914"/>
      <c r="AE253" s="914"/>
      <c r="AF253" s="914"/>
      <c r="AG253" s="914"/>
      <c r="AH253" s="914"/>
      <c r="AI253" s="914"/>
      <c r="AJ253" s="914"/>
    </row>
    <row r="254" spans="20:36" x14ac:dyDescent="0.25">
      <c r="T254" s="914"/>
      <c r="U254" s="914"/>
      <c r="V254" s="914"/>
      <c r="W254" s="914"/>
      <c r="X254" s="914"/>
      <c r="Y254" s="914"/>
      <c r="Z254" s="914"/>
      <c r="AA254" s="914"/>
      <c r="AB254" s="914"/>
      <c r="AC254" s="914"/>
      <c r="AD254" s="914"/>
      <c r="AE254" s="914"/>
      <c r="AF254" s="914"/>
      <c r="AG254" s="914"/>
      <c r="AH254" s="914"/>
      <c r="AI254" s="914"/>
      <c r="AJ254" s="914"/>
    </row>
    <row r="255" spans="20:36" x14ac:dyDescent="0.25">
      <c r="T255" s="914"/>
      <c r="U255" s="914"/>
      <c r="V255" s="914"/>
      <c r="W255" s="914"/>
      <c r="X255" s="914"/>
      <c r="Y255" s="914"/>
      <c r="Z255" s="914"/>
      <c r="AA255" s="914"/>
      <c r="AB255" s="914"/>
      <c r="AC255" s="914"/>
      <c r="AD255" s="914"/>
      <c r="AE255" s="914"/>
      <c r="AF255" s="914"/>
      <c r="AG255" s="914"/>
      <c r="AH255" s="914"/>
      <c r="AI255" s="914"/>
      <c r="AJ255" s="914"/>
    </row>
    <row r="256" spans="20:36" x14ac:dyDescent="0.25">
      <c r="T256" s="914"/>
      <c r="U256" s="914"/>
      <c r="V256" s="914"/>
      <c r="W256" s="914"/>
      <c r="X256" s="914"/>
      <c r="Y256" s="914"/>
      <c r="Z256" s="914"/>
      <c r="AA256" s="914"/>
      <c r="AB256" s="914"/>
      <c r="AC256" s="914"/>
      <c r="AD256" s="914"/>
      <c r="AE256" s="914"/>
      <c r="AF256" s="914"/>
      <c r="AG256" s="914"/>
      <c r="AH256" s="914"/>
      <c r="AI256" s="914"/>
      <c r="AJ256" s="914"/>
    </row>
    <row r="257" spans="20:36" x14ac:dyDescent="0.25">
      <c r="T257" s="914"/>
      <c r="U257" s="914"/>
      <c r="V257" s="914"/>
      <c r="W257" s="914"/>
      <c r="X257" s="914"/>
      <c r="Y257" s="914"/>
      <c r="Z257" s="914"/>
      <c r="AA257" s="914"/>
      <c r="AB257" s="914"/>
      <c r="AC257" s="914"/>
      <c r="AD257" s="914"/>
      <c r="AE257" s="914"/>
      <c r="AF257" s="914"/>
      <c r="AG257" s="914"/>
      <c r="AH257" s="914"/>
      <c r="AI257" s="914"/>
      <c r="AJ257" s="914"/>
    </row>
    <row r="258" spans="20:36" x14ac:dyDescent="0.25">
      <c r="T258" s="914"/>
      <c r="U258" s="914"/>
      <c r="V258" s="914"/>
      <c r="W258" s="914"/>
      <c r="X258" s="914"/>
      <c r="Y258" s="914"/>
      <c r="Z258" s="914"/>
      <c r="AA258" s="914"/>
      <c r="AB258" s="914"/>
      <c r="AC258" s="914"/>
      <c r="AD258" s="914"/>
      <c r="AE258" s="914"/>
      <c r="AF258" s="914"/>
      <c r="AG258" s="914"/>
      <c r="AH258" s="914"/>
      <c r="AI258" s="914"/>
      <c r="AJ258" s="914"/>
    </row>
    <row r="259" spans="20:36" x14ac:dyDescent="0.25">
      <c r="T259" s="914"/>
      <c r="U259" s="914"/>
      <c r="V259" s="914"/>
      <c r="W259" s="914"/>
      <c r="X259" s="914"/>
      <c r="Y259" s="914"/>
      <c r="Z259" s="914"/>
      <c r="AA259" s="914"/>
      <c r="AB259" s="914"/>
      <c r="AC259" s="914"/>
      <c r="AD259" s="914"/>
      <c r="AE259" s="914"/>
      <c r="AF259" s="914"/>
      <c r="AG259" s="914"/>
      <c r="AH259" s="914"/>
      <c r="AI259" s="914"/>
      <c r="AJ259" s="914"/>
    </row>
    <row r="260" spans="20:36" x14ac:dyDescent="0.25">
      <c r="T260" s="914"/>
      <c r="U260" s="914"/>
      <c r="V260" s="914"/>
      <c r="W260" s="914"/>
      <c r="X260" s="914"/>
      <c r="Y260" s="914"/>
      <c r="Z260" s="914"/>
      <c r="AA260" s="914"/>
      <c r="AB260" s="914"/>
      <c r="AC260" s="914"/>
      <c r="AD260" s="914"/>
      <c r="AE260" s="914"/>
      <c r="AF260" s="914"/>
      <c r="AG260" s="914"/>
      <c r="AH260" s="914"/>
      <c r="AI260" s="914"/>
      <c r="AJ260" s="914"/>
    </row>
    <row r="261" spans="20:36" x14ac:dyDescent="0.25">
      <c r="T261" s="914"/>
      <c r="U261" s="914"/>
      <c r="V261" s="914"/>
      <c r="W261" s="914"/>
      <c r="X261" s="914"/>
      <c r="Y261" s="914"/>
      <c r="Z261" s="914"/>
      <c r="AA261" s="914"/>
      <c r="AB261" s="914"/>
      <c r="AC261" s="914"/>
      <c r="AD261" s="914"/>
      <c r="AE261" s="914"/>
      <c r="AF261" s="914"/>
      <c r="AG261" s="914"/>
      <c r="AH261" s="914"/>
      <c r="AI261" s="914"/>
      <c r="AJ261" s="914"/>
    </row>
    <row r="262" spans="20:36" x14ac:dyDescent="0.25">
      <c r="T262" s="914"/>
      <c r="U262" s="914"/>
      <c r="V262" s="914"/>
      <c r="W262" s="914"/>
      <c r="X262" s="914"/>
      <c r="Y262" s="914"/>
      <c r="Z262" s="914"/>
      <c r="AA262" s="914"/>
      <c r="AB262" s="914"/>
      <c r="AC262" s="914"/>
      <c r="AD262" s="914"/>
      <c r="AE262" s="914"/>
      <c r="AF262" s="914"/>
      <c r="AG262" s="914"/>
      <c r="AH262" s="914"/>
      <c r="AI262" s="914"/>
      <c r="AJ262" s="914"/>
    </row>
    <row r="263" spans="20:36" x14ac:dyDescent="0.25">
      <c r="T263" s="914"/>
      <c r="U263" s="914"/>
      <c r="V263" s="914"/>
      <c r="W263" s="914"/>
      <c r="X263" s="914"/>
      <c r="Y263" s="914"/>
      <c r="Z263" s="914"/>
      <c r="AA263" s="914"/>
      <c r="AB263" s="914"/>
      <c r="AC263" s="914"/>
      <c r="AD263" s="914"/>
      <c r="AE263" s="914"/>
      <c r="AF263" s="914"/>
      <c r="AG263" s="914"/>
      <c r="AH263" s="914"/>
      <c r="AI263" s="914"/>
      <c r="AJ263" s="914"/>
    </row>
    <row r="264" spans="20:36" x14ac:dyDescent="0.25">
      <c r="T264" s="914"/>
      <c r="U264" s="914"/>
      <c r="V264" s="914"/>
      <c r="W264" s="914"/>
      <c r="X264" s="914"/>
      <c r="Y264" s="914"/>
      <c r="Z264" s="914"/>
      <c r="AA264" s="914"/>
      <c r="AB264" s="914"/>
      <c r="AC264" s="914"/>
      <c r="AD264" s="914"/>
      <c r="AE264" s="914"/>
      <c r="AF264" s="914"/>
      <c r="AG264" s="914"/>
      <c r="AH264" s="914"/>
      <c r="AI264" s="914"/>
      <c r="AJ264" s="914"/>
    </row>
    <row r="265" spans="20:36" x14ac:dyDescent="0.25">
      <c r="T265" s="914"/>
      <c r="U265" s="914"/>
      <c r="V265" s="914"/>
      <c r="W265" s="914"/>
      <c r="X265" s="914"/>
      <c r="Y265" s="914"/>
      <c r="Z265" s="914"/>
      <c r="AA265" s="914"/>
      <c r="AB265" s="914"/>
      <c r="AC265" s="914"/>
      <c r="AD265" s="914"/>
      <c r="AE265" s="914"/>
      <c r="AF265" s="914"/>
      <c r="AG265" s="914"/>
      <c r="AH265" s="914"/>
      <c r="AI265" s="914"/>
      <c r="AJ265" s="914"/>
    </row>
    <row r="266" spans="20:36" x14ac:dyDescent="0.25">
      <c r="T266" s="914"/>
      <c r="U266" s="914"/>
      <c r="V266" s="914"/>
      <c r="W266" s="914"/>
      <c r="X266" s="914"/>
      <c r="Y266" s="914"/>
      <c r="Z266" s="914"/>
      <c r="AA266" s="914"/>
      <c r="AB266" s="914"/>
      <c r="AC266" s="914"/>
      <c r="AD266" s="914"/>
      <c r="AE266" s="914"/>
      <c r="AF266" s="914"/>
      <c r="AG266" s="914"/>
      <c r="AH266" s="914"/>
      <c r="AI266" s="914"/>
      <c r="AJ266" s="914"/>
    </row>
    <row r="267" spans="20:36" x14ac:dyDescent="0.25">
      <c r="T267" s="914"/>
      <c r="U267" s="914"/>
      <c r="V267" s="914"/>
      <c r="W267" s="914"/>
      <c r="X267" s="914"/>
      <c r="Y267" s="914"/>
      <c r="Z267" s="914"/>
      <c r="AA267" s="914"/>
      <c r="AB267" s="914"/>
      <c r="AC267" s="914"/>
      <c r="AD267" s="914"/>
      <c r="AE267" s="914"/>
      <c r="AF267" s="914"/>
      <c r="AG267" s="914"/>
      <c r="AH267" s="914"/>
      <c r="AI267" s="914"/>
      <c r="AJ267" s="914"/>
    </row>
    <row r="268" spans="20:36" x14ac:dyDescent="0.25">
      <c r="T268" s="914"/>
      <c r="U268" s="914"/>
      <c r="V268" s="914"/>
      <c r="W268" s="914"/>
      <c r="X268" s="914"/>
      <c r="Y268" s="914"/>
      <c r="Z268" s="914"/>
      <c r="AA268" s="914"/>
      <c r="AB268" s="914"/>
      <c r="AC268" s="914"/>
      <c r="AD268" s="914"/>
      <c r="AE268" s="914"/>
      <c r="AF268" s="914"/>
      <c r="AG268" s="914"/>
      <c r="AH268" s="914"/>
      <c r="AI268" s="914"/>
      <c r="AJ268" s="914"/>
    </row>
    <row r="269" spans="20:36" x14ac:dyDescent="0.25">
      <c r="T269" s="914"/>
      <c r="U269" s="914"/>
      <c r="V269" s="914"/>
      <c r="W269" s="914"/>
      <c r="X269" s="914"/>
      <c r="Y269" s="914"/>
      <c r="Z269" s="914"/>
      <c r="AA269" s="914"/>
      <c r="AB269" s="914"/>
      <c r="AC269" s="914"/>
      <c r="AD269" s="914"/>
      <c r="AE269" s="914"/>
      <c r="AF269" s="914"/>
      <c r="AG269" s="914"/>
      <c r="AH269" s="914"/>
      <c r="AI269" s="914"/>
      <c r="AJ269" s="914"/>
    </row>
    <row r="270" spans="20:36" x14ac:dyDescent="0.25">
      <c r="T270" s="914"/>
      <c r="U270" s="914"/>
      <c r="V270" s="914"/>
      <c r="W270" s="914"/>
      <c r="X270" s="914"/>
      <c r="Y270" s="914"/>
      <c r="Z270" s="914"/>
      <c r="AA270" s="914"/>
      <c r="AB270" s="914"/>
      <c r="AC270" s="914"/>
      <c r="AD270" s="914"/>
      <c r="AE270" s="914"/>
      <c r="AF270" s="914"/>
      <c r="AG270" s="914"/>
      <c r="AH270" s="914"/>
      <c r="AI270" s="914"/>
      <c r="AJ270" s="914"/>
    </row>
    <row r="271" spans="20:36" x14ac:dyDescent="0.25">
      <c r="T271" s="914"/>
      <c r="U271" s="914"/>
      <c r="V271" s="914"/>
      <c r="W271" s="914"/>
      <c r="X271" s="914"/>
      <c r="Y271" s="914"/>
      <c r="Z271" s="914"/>
      <c r="AA271" s="914"/>
      <c r="AB271" s="914"/>
      <c r="AC271" s="914"/>
      <c r="AD271" s="914"/>
      <c r="AE271" s="914"/>
      <c r="AF271" s="914"/>
      <c r="AG271" s="914"/>
      <c r="AH271" s="914"/>
      <c r="AI271" s="914"/>
      <c r="AJ271" s="914"/>
    </row>
    <row r="272" spans="20:36" x14ac:dyDescent="0.25">
      <c r="T272" s="914"/>
      <c r="U272" s="914"/>
      <c r="V272" s="914"/>
      <c r="W272" s="914"/>
      <c r="X272" s="914"/>
      <c r="Y272" s="914"/>
      <c r="Z272" s="914"/>
      <c r="AA272" s="914"/>
      <c r="AB272" s="914"/>
      <c r="AC272" s="914"/>
      <c r="AD272" s="914"/>
      <c r="AE272" s="914"/>
      <c r="AF272" s="914"/>
      <c r="AG272" s="914"/>
      <c r="AH272" s="914"/>
      <c r="AI272" s="914"/>
      <c r="AJ272" s="914"/>
    </row>
    <row r="273" spans="20:36" x14ac:dyDescent="0.25">
      <c r="T273" s="914"/>
      <c r="U273" s="914"/>
      <c r="V273" s="914"/>
      <c r="W273" s="914"/>
      <c r="X273" s="914"/>
      <c r="Y273" s="914"/>
      <c r="Z273" s="914"/>
      <c r="AA273" s="914"/>
      <c r="AB273" s="914"/>
      <c r="AC273" s="914"/>
      <c r="AD273" s="914"/>
      <c r="AE273" s="914"/>
      <c r="AF273" s="914"/>
      <c r="AG273" s="914"/>
      <c r="AH273" s="914"/>
      <c r="AI273" s="914"/>
      <c r="AJ273" s="914"/>
    </row>
    <row r="274" spans="20:36" x14ac:dyDescent="0.25">
      <c r="T274" s="914"/>
      <c r="U274" s="914"/>
      <c r="V274" s="914"/>
      <c r="W274" s="914"/>
      <c r="X274" s="914"/>
      <c r="Y274" s="914"/>
      <c r="Z274" s="914"/>
      <c r="AA274" s="914"/>
      <c r="AB274" s="914"/>
      <c r="AC274" s="914"/>
      <c r="AD274" s="914"/>
      <c r="AE274" s="914"/>
      <c r="AF274" s="914"/>
      <c r="AG274" s="914"/>
      <c r="AH274" s="914"/>
      <c r="AI274" s="914"/>
      <c r="AJ274" s="914"/>
    </row>
    <row r="275" spans="20:36" x14ac:dyDescent="0.25">
      <c r="T275" s="914"/>
      <c r="U275" s="914"/>
      <c r="V275" s="914"/>
      <c r="W275" s="914"/>
      <c r="X275" s="914"/>
      <c r="Y275" s="914"/>
      <c r="Z275" s="914"/>
      <c r="AA275" s="914"/>
      <c r="AB275" s="914"/>
      <c r="AC275" s="914"/>
      <c r="AD275" s="914"/>
      <c r="AE275" s="914"/>
      <c r="AF275" s="914"/>
      <c r="AG275" s="914"/>
      <c r="AH275" s="914"/>
      <c r="AI275" s="914"/>
      <c r="AJ275" s="914"/>
    </row>
    <row r="276" spans="20:36" x14ac:dyDescent="0.25">
      <c r="T276" s="914"/>
      <c r="U276" s="914"/>
      <c r="V276" s="914"/>
      <c r="W276" s="914"/>
      <c r="X276" s="914"/>
      <c r="Y276" s="914"/>
      <c r="Z276" s="914"/>
      <c r="AA276" s="914"/>
      <c r="AB276" s="914"/>
      <c r="AC276" s="914"/>
      <c r="AD276" s="914"/>
      <c r="AE276" s="914"/>
      <c r="AF276" s="914"/>
      <c r="AG276" s="914"/>
      <c r="AH276" s="914"/>
      <c r="AI276" s="914"/>
      <c r="AJ276" s="914"/>
    </row>
    <row r="277" spans="20:36" x14ac:dyDescent="0.25">
      <c r="T277" s="914"/>
      <c r="U277" s="914"/>
      <c r="V277" s="914"/>
      <c r="W277" s="914"/>
      <c r="X277" s="914"/>
      <c r="Y277" s="914"/>
      <c r="Z277" s="914"/>
      <c r="AA277" s="914"/>
      <c r="AB277" s="914"/>
      <c r="AC277" s="914"/>
      <c r="AD277" s="914"/>
      <c r="AE277" s="914"/>
      <c r="AF277" s="914"/>
      <c r="AG277" s="914"/>
      <c r="AH277" s="914"/>
      <c r="AI277" s="914"/>
      <c r="AJ277" s="914"/>
    </row>
    <row r="278" spans="20:36" x14ac:dyDescent="0.25">
      <c r="T278" s="914"/>
      <c r="U278" s="914"/>
      <c r="V278" s="914"/>
      <c r="W278" s="914"/>
      <c r="X278" s="914"/>
      <c r="Y278" s="914"/>
      <c r="Z278" s="914"/>
      <c r="AA278" s="914"/>
      <c r="AB278" s="914"/>
      <c r="AC278" s="914"/>
      <c r="AD278" s="914"/>
      <c r="AE278" s="914"/>
      <c r="AF278" s="914"/>
      <c r="AG278" s="914"/>
      <c r="AH278" s="914"/>
      <c r="AI278" s="914"/>
      <c r="AJ278" s="914"/>
    </row>
    <row r="279" spans="20:36" x14ac:dyDescent="0.25">
      <c r="T279" s="914"/>
      <c r="U279" s="914"/>
      <c r="V279" s="914"/>
      <c r="W279" s="914"/>
      <c r="X279" s="914"/>
      <c r="Y279" s="914"/>
      <c r="Z279" s="914"/>
      <c r="AA279" s="914"/>
      <c r="AB279" s="914"/>
      <c r="AC279" s="914"/>
      <c r="AD279" s="914"/>
      <c r="AE279" s="914"/>
      <c r="AF279" s="914"/>
      <c r="AG279" s="914"/>
      <c r="AH279" s="914"/>
      <c r="AI279" s="914"/>
      <c r="AJ279" s="914"/>
    </row>
    <row r="280" spans="20:36" x14ac:dyDescent="0.25">
      <c r="T280" s="914"/>
      <c r="U280" s="914"/>
      <c r="V280" s="914"/>
      <c r="W280" s="914"/>
      <c r="X280" s="914"/>
      <c r="Y280" s="914"/>
      <c r="Z280" s="914"/>
      <c r="AA280" s="914"/>
      <c r="AB280" s="914"/>
      <c r="AC280" s="914"/>
      <c r="AD280" s="914"/>
      <c r="AE280" s="914"/>
      <c r="AF280" s="914"/>
      <c r="AG280" s="914"/>
      <c r="AH280" s="914"/>
      <c r="AI280" s="914"/>
      <c r="AJ280" s="914"/>
    </row>
    <row r="281" spans="20:36" x14ac:dyDescent="0.25">
      <c r="T281" s="914"/>
      <c r="U281" s="914"/>
      <c r="V281" s="914"/>
      <c r="W281" s="914"/>
      <c r="X281" s="914"/>
      <c r="Y281" s="914"/>
      <c r="Z281" s="914"/>
      <c r="AA281" s="914"/>
      <c r="AB281" s="914"/>
      <c r="AC281" s="914"/>
      <c r="AD281" s="914"/>
      <c r="AE281" s="914"/>
      <c r="AF281" s="914"/>
      <c r="AG281" s="914"/>
      <c r="AH281" s="914"/>
      <c r="AI281" s="914"/>
      <c r="AJ281" s="914"/>
    </row>
    <row r="282" spans="20:36" x14ac:dyDescent="0.25">
      <c r="T282" s="914"/>
      <c r="U282" s="914"/>
      <c r="V282" s="914"/>
      <c r="W282" s="914"/>
      <c r="X282" s="914"/>
      <c r="Y282" s="914"/>
      <c r="Z282" s="914"/>
      <c r="AA282" s="914"/>
      <c r="AB282" s="914"/>
      <c r="AC282" s="914"/>
      <c r="AD282" s="914"/>
      <c r="AE282" s="914"/>
      <c r="AF282" s="914"/>
      <c r="AG282" s="914"/>
      <c r="AH282" s="914"/>
      <c r="AI282" s="914"/>
      <c r="AJ282" s="914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4 C87:S87 D85:S86">
    <cfRule type="cellIs" dxfId="1" priority="2" operator="equal">
      <formula>0</formula>
    </cfRule>
  </conditionalFormatting>
  <conditionalFormatting sqref="C85:C86">
    <cfRule type="cellIs" dxfId="0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 xr:uid="{00000000-0002-0000-0200-000001000000}"/>
  </dataValidations>
  <hyperlinks>
    <hyperlink ref="B23" r:id="rId1" xr:uid="{00000000-0004-0000-0200-000000000000}"/>
    <hyperlink ref="B24" r:id="rId2" xr:uid="{00000000-0004-0000-0200-000001000000}"/>
    <hyperlink ref="B14" r:id="rId3" xr:uid="{00000000-0004-0000-0200-000002000000}"/>
    <hyperlink ref="B20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topLeftCell="A36" zoomScale="85" zoomScaleNormal="85" zoomScaleSheetLayoutView="85" workbookViewId="0">
      <selection activeCell="C56" sqref="C56"/>
    </sheetView>
  </sheetViews>
  <sheetFormatPr defaultColWidth="9.140625" defaultRowHeight="14.25" x14ac:dyDescent="0.25"/>
  <cols>
    <col min="1" max="1" width="57" style="1007" customWidth="1"/>
    <col min="2" max="2" width="10.85546875" style="1007" customWidth="1"/>
    <col min="3" max="3" width="17.7109375" style="1007" customWidth="1"/>
    <col min="4" max="4" width="15.85546875" style="1007" customWidth="1"/>
    <col min="5" max="5" width="16.85546875" style="1007" customWidth="1"/>
    <col min="6" max="6" width="19.5703125" style="1007" customWidth="1"/>
    <col min="7" max="7" width="17.140625" style="1007" customWidth="1"/>
    <col min="8" max="8" width="18.28515625" style="1007" customWidth="1"/>
    <col min="9" max="10" width="15.7109375" style="1007" bestFit="1" customWidth="1"/>
    <col min="11" max="11" width="16.140625" style="1007" customWidth="1"/>
    <col min="12" max="12" width="16.28515625" style="1007" customWidth="1"/>
    <col min="13" max="14" width="19.28515625" style="1007" customWidth="1"/>
    <col min="15" max="15" width="19.5703125" style="1007" bestFit="1" customWidth="1"/>
    <col min="16" max="16384" width="9.140625" style="1007"/>
  </cols>
  <sheetData>
    <row r="1" spans="1:14" x14ac:dyDescent="0.25">
      <c r="A1" s="1007" t="s">
        <v>264</v>
      </c>
      <c r="B1" s="1007" t="s">
        <v>397</v>
      </c>
    </row>
    <row r="3" spans="1:14" x14ac:dyDescent="0.25">
      <c r="A3" s="1008" t="s">
        <v>265</v>
      </c>
    </row>
    <row r="5" spans="1:14" x14ac:dyDescent="0.25">
      <c r="A5" s="1009">
        <v>2022</v>
      </c>
      <c r="B5" s="1009" t="s">
        <v>144</v>
      </c>
      <c r="C5" s="1009" t="s">
        <v>266</v>
      </c>
      <c r="D5" s="1009" t="s">
        <v>83</v>
      </c>
      <c r="E5" s="1009" t="s">
        <v>267</v>
      </c>
      <c r="F5" s="1009" t="s">
        <v>84</v>
      </c>
      <c r="G5" s="1009" t="s">
        <v>268</v>
      </c>
      <c r="H5" s="1009" t="s">
        <v>269</v>
      </c>
      <c r="I5" s="1009" t="s">
        <v>270</v>
      </c>
      <c r="J5" s="1009" t="s">
        <v>85</v>
      </c>
      <c r="K5" s="1009" t="s">
        <v>271</v>
      </c>
      <c r="L5" s="1009" t="s">
        <v>272</v>
      </c>
      <c r="M5" s="1009" t="s">
        <v>273</v>
      </c>
      <c r="N5" s="1009" t="s">
        <v>274</v>
      </c>
    </row>
    <row r="6" spans="1:14" x14ac:dyDescent="0.25">
      <c r="A6" s="1010" t="s">
        <v>275</v>
      </c>
      <c r="B6" s="1011"/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1011"/>
    </row>
    <row r="7" spans="1:14" x14ac:dyDescent="0.25">
      <c r="A7" s="1012" t="s">
        <v>276</v>
      </c>
      <c r="B7" s="1013" t="s">
        <v>277</v>
      </c>
      <c r="C7" s="1014"/>
      <c r="D7" s="1014"/>
      <c r="E7" s="1014"/>
      <c r="F7" s="1014"/>
      <c r="G7" s="1014"/>
      <c r="H7" s="1014"/>
      <c r="I7" s="1014"/>
      <c r="J7" s="1014"/>
      <c r="K7" s="1014"/>
      <c r="L7" s="1014"/>
      <c r="M7" s="1014"/>
      <c r="N7" s="1014"/>
    </row>
    <row r="8" spans="1:14" x14ac:dyDescent="0.25">
      <c r="A8" s="1012" t="s">
        <v>278</v>
      </c>
      <c r="B8" s="1013" t="s">
        <v>279</v>
      </c>
      <c r="C8" s="1015"/>
      <c r="D8" s="1015"/>
      <c r="E8" s="1015"/>
      <c r="F8" s="1015"/>
      <c r="G8" s="1015"/>
      <c r="H8" s="1015"/>
      <c r="I8" s="1015"/>
      <c r="J8" s="1015"/>
      <c r="K8" s="1015"/>
      <c r="L8" s="1016"/>
      <c r="M8" s="1015"/>
      <c r="N8" s="1015"/>
    </row>
    <row r="9" spans="1:14" x14ac:dyDescent="0.25">
      <c r="A9" s="1017" t="s">
        <v>280</v>
      </c>
      <c r="B9" s="1013" t="s">
        <v>281</v>
      </c>
      <c r="C9" s="1018"/>
      <c r="D9" s="1012"/>
      <c r="E9" s="1019"/>
      <c r="F9" s="1018"/>
      <c r="G9" s="1020"/>
      <c r="H9" s="1019"/>
      <c r="I9" s="1019"/>
      <c r="J9" s="1021"/>
      <c r="K9" s="1019"/>
      <c r="L9" s="1019"/>
      <c r="M9" s="1022"/>
      <c r="N9" s="1019"/>
    </row>
    <row r="10" spans="1:14" x14ac:dyDescent="0.25">
      <c r="A10" s="1023" t="s">
        <v>282</v>
      </c>
      <c r="B10" s="1024" t="s">
        <v>283</v>
      </c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</row>
    <row r="11" spans="1:14" x14ac:dyDescent="0.25">
      <c r="A11" s="1025" t="s">
        <v>284</v>
      </c>
      <c r="B11" s="1026" t="s">
        <v>283</v>
      </c>
      <c r="C11" s="1027"/>
      <c r="D11" s="1027"/>
      <c r="E11" s="1027"/>
      <c r="F11" s="1027"/>
      <c r="G11" s="1027"/>
      <c r="H11" s="1027"/>
      <c r="I11" s="1027"/>
      <c r="J11" s="1027"/>
      <c r="K11" s="1027"/>
      <c r="L11" s="1027"/>
      <c r="M11" s="1027"/>
      <c r="N11" s="1027"/>
    </row>
    <row r="12" spans="1:14" x14ac:dyDescent="0.25">
      <c r="A12" s="1017" t="s">
        <v>285</v>
      </c>
      <c r="B12" s="1013" t="s">
        <v>286</v>
      </c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</row>
    <row r="13" spans="1:14" x14ac:dyDescent="0.25">
      <c r="A13" s="1025" t="s">
        <v>287</v>
      </c>
      <c r="B13" s="1026" t="s">
        <v>283</v>
      </c>
      <c r="C13" s="1028"/>
      <c r="D13" s="1028"/>
      <c r="E13" s="1028"/>
      <c r="F13" s="1028"/>
      <c r="G13" s="1028"/>
      <c r="H13" s="1028"/>
      <c r="I13" s="1028"/>
      <c r="J13" s="1028"/>
      <c r="K13" s="1028"/>
      <c r="L13" s="1028"/>
      <c r="M13" s="1029"/>
      <c r="N13" s="1029"/>
    </row>
    <row r="14" spans="1:14" ht="15" customHeight="1" x14ac:dyDescent="0.25">
      <c r="A14" s="1030" t="s">
        <v>288</v>
      </c>
      <c r="B14" s="1026" t="s">
        <v>289</v>
      </c>
      <c r="C14" s="1029"/>
      <c r="D14" s="1029"/>
      <c r="E14" s="1029"/>
      <c r="F14" s="1029"/>
      <c r="G14" s="1029"/>
      <c r="H14" s="1029"/>
      <c r="I14" s="1029"/>
      <c r="J14" s="1029"/>
      <c r="K14" s="1029"/>
      <c r="L14" s="1029"/>
      <c r="M14" s="1029"/>
      <c r="N14" s="1029"/>
    </row>
    <row r="15" spans="1:14" hidden="1" x14ac:dyDescent="0.25">
      <c r="A15" s="1017" t="s">
        <v>290</v>
      </c>
      <c r="B15" s="1013" t="s">
        <v>289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/>
      <c r="M15" s="1012"/>
      <c r="N15" s="1012"/>
    </row>
    <row r="16" spans="1:14" hidden="1" x14ac:dyDescent="0.25">
      <c r="A16" s="1023" t="s">
        <v>291</v>
      </c>
      <c r="B16" s="1024" t="s">
        <v>289</v>
      </c>
      <c r="C16" s="1019"/>
      <c r="D16" s="1019"/>
      <c r="E16" s="1019"/>
      <c r="F16" s="1019"/>
      <c r="G16" s="1019"/>
      <c r="H16" s="1019"/>
      <c r="I16" s="1019"/>
      <c r="J16" s="1019"/>
      <c r="K16" s="1019"/>
      <c r="L16" s="1019"/>
      <c r="M16" s="1019"/>
      <c r="N16" s="1019"/>
    </row>
    <row r="17" spans="1:14" hidden="1" x14ac:dyDescent="0.25">
      <c r="A17" s="1023" t="s">
        <v>292</v>
      </c>
      <c r="B17" s="1024" t="s">
        <v>289</v>
      </c>
      <c r="C17" s="1019"/>
      <c r="D17" s="1019"/>
      <c r="E17" s="1019"/>
      <c r="F17" s="1019"/>
      <c r="G17" s="1019"/>
      <c r="H17" s="1019"/>
      <c r="I17" s="1019"/>
      <c r="J17" s="1019"/>
      <c r="K17" s="1019"/>
      <c r="L17" s="1019"/>
      <c r="M17" s="1019"/>
      <c r="N17" s="1019"/>
    </row>
    <row r="18" spans="1:14" hidden="1" x14ac:dyDescent="0.25">
      <c r="A18" s="1019" t="s">
        <v>293</v>
      </c>
      <c r="B18" s="1024" t="s">
        <v>289</v>
      </c>
      <c r="C18" s="1019"/>
      <c r="D18" s="1019"/>
      <c r="E18" s="1019"/>
      <c r="F18" s="1019"/>
      <c r="G18" s="1019"/>
      <c r="H18" s="1019"/>
      <c r="I18" s="1019"/>
      <c r="J18" s="1019"/>
      <c r="K18" s="1019"/>
      <c r="L18" s="1019"/>
      <c r="M18" s="1019"/>
      <c r="N18" s="1019"/>
    </row>
    <row r="19" spans="1:14" hidden="1" x14ac:dyDescent="0.25">
      <c r="A19" s="1019" t="s">
        <v>294</v>
      </c>
      <c r="B19" s="1024" t="s">
        <v>295</v>
      </c>
      <c r="C19" s="1019"/>
      <c r="D19" s="1019"/>
      <c r="E19" s="1019"/>
      <c r="F19" s="1019"/>
      <c r="G19" s="1019"/>
      <c r="H19" s="1019"/>
      <c r="I19" s="1019"/>
      <c r="J19" s="1019"/>
      <c r="K19" s="1019"/>
      <c r="L19" s="1019"/>
      <c r="M19" s="1019"/>
      <c r="N19" s="1019"/>
    </row>
    <row r="20" spans="1:14" hidden="1" x14ac:dyDescent="0.25">
      <c r="A20" s="1019" t="s">
        <v>296</v>
      </c>
      <c r="B20" s="1024" t="s">
        <v>295</v>
      </c>
      <c r="C20" s="1019"/>
      <c r="D20" s="1019"/>
      <c r="E20" s="1019"/>
      <c r="F20" s="1019"/>
      <c r="G20" s="1019"/>
      <c r="H20" s="1019"/>
      <c r="I20" s="1019"/>
      <c r="J20" s="1019"/>
      <c r="K20" s="1019"/>
      <c r="L20" s="1019"/>
      <c r="M20" s="1019"/>
      <c r="N20" s="1019"/>
    </row>
    <row r="21" spans="1:14" hidden="1" x14ac:dyDescent="0.25">
      <c r="A21" s="1012" t="s">
        <v>297</v>
      </c>
      <c r="B21" s="1013" t="s">
        <v>295</v>
      </c>
      <c r="C21" s="1019"/>
      <c r="D21" s="1019"/>
      <c r="E21" s="1019"/>
      <c r="F21" s="1019"/>
      <c r="G21" s="1019"/>
      <c r="H21" s="1019"/>
      <c r="I21" s="1019"/>
      <c r="J21" s="1019"/>
      <c r="K21" s="1019"/>
      <c r="L21" s="1019"/>
      <c r="M21" s="1019"/>
      <c r="N21" s="1019"/>
    </row>
    <row r="22" spans="1:14" ht="16.5" customHeight="1" x14ac:dyDescent="0.25">
      <c r="A22" s="1031" t="s">
        <v>298</v>
      </c>
      <c r="B22" s="1026" t="s">
        <v>289</v>
      </c>
      <c r="C22" s="1029"/>
      <c r="D22" s="1029"/>
      <c r="E22" s="1029"/>
      <c r="F22" s="1029"/>
      <c r="G22" s="1029"/>
      <c r="H22" s="1029"/>
      <c r="I22" s="1029"/>
      <c r="J22" s="1029"/>
      <c r="K22" s="1029"/>
      <c r="L22" s="1029"/>
      <c r="M22" s="1029"/>
      <c r="N22" s="1029"/>
    </row>
    <row r="23" spans="1:14" ht="17.25" customHeight="1" x14ac:dyDescent="0.25">
      <c r="A23" s="1031" t="s">
        <v>299</v>
      </c>
      <c r="B23" s="1026" t="s">
        <v>289</v>
      </c>
      <c r="C23" s="1029"/>
      <c r="D23" s="1029"/>
      <c r="E23" s="1029"/>
      <c r="F23" s="1029"/>
      <c r="G23" s="1029"/>
      <c r="H23" s="1029"/>
      <c r="I23" s="1029"/>
      <c r="J23" s="1029"/>
      <c r="K23" s="1029"/>
      <c r="L23" s="1029"/>
      <c r="M23" s="1029"/>
      <c r="N23" s="1029"/>
    </row>
    <row r="24" spans="1:14" x14ac:dyDescent="0.25">
      <c r="A24" s="1031" t="s">
        <v>300</v>
      </c>
      <c r="B24" s="1032" t="s">
        <v>295</v>
      </c>
      <c r="C24" s="1031"/>
      <c r="D24" s="1031"/>
      <c r="E24" s="1031"/>
      <c r="F24" s="1031"/>
      <c r="G24" s="1031"/>
      <c r="H24" s="1031"/>
      <c r="I24" s="1031"/>
      <c r="J24" s="1031"/>
      <c r="K24" s="1031"/>
      <c r="L24" s="1031"/>
      <c r="M24" s="1031"/>
      <c r="N24" s="1031"/>
    </row>
    <row r="25" spans="1:14" ht="2.25" customHeight="1" x14ac:dyDescent="0.25">
      <c r="A25" s="1012" t="s">
        <v>301</v>
      </c>
      <c r="B25" s="1013" t="s">
        <v>289</v>
      </c>
      <c r="C25" s="1012"/>
      <c r="D25" s="1012"/>
      <c r="E25" s="1012"/>
      <c r="F25" s="1012"/>
      <c r="G25" s="1012"/>
      <c r="H25" s="1012"/>
      <c r="I25" s="1012"/>
      <c r="J25" s="1012"/>
      <c r="K25" s="1012"/>
      <c r="L25" s="1012"/>
      <c r="M25" s="1012"/>
      <c r="N25" s="1012"/>
    </row>
    <row r="26" spans="1:14" ht="13.5" customHeight="1" x14ac:dyDescent="0.25">
      <c r="A26" s="1012" t="s">
        <v>302</v>
      </c>
      <c r="B26" s="1013" t="s">
        <v>289</v>
      </c>
      <c r="C26" s="1012"/>
      <c r="D26" s="1012"/>
      <c r="E26" s="1012"/>
      <c r="F26" s="1012"/>
      <c r="G26" s="1012"/>
      <c r="H26" s="1012"/>
      <c r="I26" s="1012"/>
      <c r="J26" s="1012"/>
      <c r="K26" s="1012"/>
      <c r="L26" s="1012"/>
      <c r="M26" s="1012"/>
      <c r="N26" s="1012"/>
    </row>
    <row r="27" spans="1:14" x14ac:dyDescent="0.25">
      <c r="A27" s="1012" t="s">
        <v>303</v>
      </c>
      <c r="B27" s="1013" t="s">
        <v>289</v>
      </c>
      <c r="C27" s="1012"/>
      <c r="D27" s="1012"/>
      <c r="E27" s="1012"/>
      <c r="F27" s="1012"/>
      <c r="G27" s="1033"/>
      <c r="H27" s="1012"/>
      <c r="I27" s="1012"/>
      <c r="J27" s="1012"/>
      <c r="K27" s="1012"/>
      <c r="L27" s="1012"/>
      <c r="M27" s="1012"/>
      <c r="N27" s="1012"/>
    </row>
    <row r="28" spans="1:14" x14ac:dyDescent="0.25">
      <c r="A28" s="1019" t="s">
        <v>304</v>
      </c>
      <c r="B28" s="1024" t="s">
        <v>289</v>
      </c>
      <c r="C28" s="1019"/>
      <c r="D28" s="1019"/>
      <c r="E28" s="1019"/>
      <c r="F28" s="1019"/>
      <c r="G28" s="1019"/>
      <c r="H28" s="1019"/>
      <c r="I28" s="1019"/>
      <c r="J28" s="1019"/>
      <c r="K28" s="1019"/>
      <c r="L28" s="1019"/>
      <c r="M28" s="1019"/>
      <c r="N28" s="1019"/>
    </row>
    <row r="29" spans="1:14" x14ac:dyDescent="0.25">
      <c r="A29" s="1012" t="s">
        <v>305</v>
      </c>
      <c r="B29" s="1013" t="s">
        <v>289</v>
      </c>
      <c r="C29" s="1012"/>
      <c r="D29" s="1012"/>
      <c r="E29" s="1012"/>
      <c r="F29" s="1012"/>
      <c r="G29" s="1012"/>
      <c r="H29" s="1012"/>
      <c r="I29" s="1012"/>
      <c r="J29" s="1012"/>
      <c r="K29" s="1012"/>
      <c r="L29" s="1012"/>
      <c r="M29" s="1012"/>
      <c r="N29" s="1012"/>
    </row>
    <row r="30" spans="1:14" x14ac:dyDescent="0.25">
      <c r="A30" s="1031" t="s">
        <v>306</v>
      </c>
      <c r="B30" s="1026" t="s">
        <v>283</v>
      </c>
      <c r="C30" s="1031"/>
      <c r="D30" s="1028"/>
      <c r="E30" s="1031"/>
      <c r="F30" s="1031"/>
      <c r="G30" s="1031"/>
      <c r="H30" s="1031"/>
      <c r="I30" s="1031"/>
      <c r="J30" s="1031"/>
      <c r="K30" s="1031"/>
      <c r="L30" s="1031"/>
      <c r="M30" s="1029"/>
      <c r="N30" s="1028"/>
    </row>
    <row r="31" spans="1:14" x14ac:dyDescent="0.25">
      <c r="A31" s="1034" t="s">
        <v>356</v>
      </c>
      <c r="B31" s="1035"/>
      <c r="C31" s="1036"/>
      <c r="D31" s="1036"/>
      <c r="E31" s="1036"/>
      <c r="F31" s="1036"/>
      <c r="G31" s="1036"/>
      <c r="H31" s="1011"/>
      <c r="I31" s="1036"/>
      <c r="J31" s="1037"/>
      <c r="K31" s="1036"/>
      <c r="L31" s="1036"/>
      <c r="M31" s="1036"/>
      <c r="N31" s="1036"/>
    </row>
    <row r="32" spans="1:14" x14ac:dyDescent="0.25">
      <c r="A32" s="1012" t="s">
        <v>307</v>
      </c>
      <c r="B32" s="1013" t="s">
        <v>308</v>
      </c>
      <c r="C32" s="1019"/>
      <c r="D32" s="1019"/>
      <c r="E32" s="1019"/>
      <c r="F32" s="1019"/>
      <c r="G32" s="1019"/>
      <c r="H32" s="1019"/>
      <c r="I32" s="1019"/>
      <c r="J32" s="1019"/>
      <c r="K32" s="1019"/>
      <c r="L32" s="1019"/>
      <c r="M32" s="1019"/>
      <c r="N32" s="1019"/>
    </row>
    <row r="33" spans="1:14" x14ac:dyDescent="0.25">
      <c r="A33" s="1038" t="s">
        <v>309</v>
      </c>
      <c r="B33" s="1039" t="s">
        <v>208</v>
      </c>
      <c r="C33" s="1038"/>
      <c r="D33" s="1038"/>
      <c r="E33" s="1038"/>
      <c r="F33" s="1038"/>
      <c r="G33" s="1038"/>
      <c r="H33" s="1038"/>
      <c r="I33" s="1038"/>
      <c r="J33" s="1038"/>
      <c r="K33" s="1038"/>
      <c r="L33" s="1038"/>
      <c r="M33" s="1038"/>
      <c r="N33" s="1038"/>
    </row>
    <row r="34" spans="1:14" x14ac:dyDescent="0.25">
      <c r="A34" s="1019" t="s">
        <v>310</v>
      </c>
      <c r="B34" s="1024" t="s">
        <v>308</v>
      </c>
      <c r="C34" s="1014">
        <f>C32*C33/100</f>
        <v>0</v>
      </c>
      <c r="D34" s="1014">
        <f>ROUND((D32*D33/100),3)</f>
        <v>0</v>
      </c>
      <c r="E34" s="1014">
        <f t="shared" ref="E34:N34" si="0">ROUND((E32*E33/100),3)</f>
        <v>0</v>
      </c>
      <c r="F34" s="1014">
        <f t="shared" si="0"/>
        <v>0</v>
      </c>
      <c r="G34" s="1014">
        <f t="shared" si="0"/>
        <v>0</v>
      </c>
      <c r="H34" s="1014">
        <f t="shared" si="0"/>
        <v>0</v>
      </c>
      <c r="I34" s="1014">
        <f t="shared" si="0"/>
        <v>0</v>
      </c>
      <c r="J34" s="1014">
        <f t="shared" si="0"/>
        <v>0</v>
      </c>
      <c r="K34" s="1014">
        <f t="shared" si="0"/>
        <v>0</v>
      </c>
      <c r="L34" s="1014">
        <f t="shared" si="0"/>
        <v>0</v>
      </c>
      <c r="M34" s="1014">
        <f t="shared" si="0"/>
        <v>0</v>
      </c>
      <c r="N34" s="1014">
        <f t="shared" si="0"/>
        <v>0</v>
      </c>
    </row>
    <row r="35" spans="1:14" x14ac:dyDescent="0.25">
      <c r="A35" s="1019" t="s">
        <v>311</v>
      </c>
      <c r="B35" s="1024" t="s">
        <v>308</v>
      </c>
      <c r="C35" s="1014">
        <f t="shared" ref="C35" si="1">C32-C34</f>
        <v>0</v>
      </c>
      <c r="D35" s="1014">
        <f>ROUND((D32-D34),3)</f>
        <v>0</v>
      </c>
      <c r="E35" s="1014">
        <f t="shared" ref="E35:N35" si="2">ROUND((E32-E34),3)</f>
        <v>0</v>
      </c>
      <c r="F35" s="1014">
        <f t="shared" si="2"/>
        <v>0</v>
      </c>
      <c r="G35" s="1014">
        <f t="shared" si="2"/>
        <v>0</v>
      </c>
      <c r="H35" s="1014">
        <f t="shared" si="2"/>
        <v>0</v>
      </c>
      <c r="I35" s="1014">
        <f t="shared" si="2"/>
        <v>0</v>
      </c>
      <c r="J35" s="1014">
        <f t="shared" si="2"/>
        <v>0</v>
      </c>
      <c r="K35" s="1014">
        <f t="shared" si="2"/>
        <v>0</v>
      </c>
      <c r="L35" s="1014">
        <f t="shared" si="2"/>
        <v>0</v>
      </c>
      <c r="M35" s="1014">
        <f t="shared" si="2"/>
        <v>0</v>
      </c>
      <c r="N35" s="1014">
        <f t="shared" si="2"/>
        <v>0</v>
      </c>
    </row>
    <row r="36" spans="1:14" x14ac:dyDescent="0.25">
      <c r="A36" s="1012" t="s">
        <v>312</v>
      </c>
      <c r="B36" s="1013" t="s">
        <v>283</v>
      </c>
      <c r="C36" s="1040">
        <f>C11*C13*(1-C15*C16*C17*C18)-C19-C24-C30</f>
        <v>0</v>
      </c>
      <c r="D36" s="1040">
        <f t="shared" ref="D36:N36" si="3">D11*D13*(1-D15*D16*D17*D18)-D19-D24-D30</f>
        <v>0</v>
      </c>
      <c r="E36" s="1040">
        <f t="shared" si="3"/>
        <v>0</v>
      </c>
      <c r="F36" s="1040">
        <f t="shared" si="3"/>
        <v>0</v>
      </c>
      <c r="G36" s="1040">
        <f t="shared" si="3"/>
        <v>0</v>
      </c>
      <c r="H36" s="1040">
        <f>H11*H13*(1-H15*H16*H17*H18)-H19-H24-H30</f>
        <v>0</v>
      </c>
      <c r="I36" s="1040">
        <f>ROUND((I11*I13*(1-I15*I16*I17*I18)-I19-I24-I30),4)</f>
        <v>0</v>
      </c>
      <c r="J36" s="1040">
        <f t="shared" si="3"/>
        <v>0</v>
      </c>
      <c r="K36" s="1040">
        <f t="shared" si="3"/>
        <v>0</v>
      </c>
      <c r="L36" s="1040">
        <f t="shared" si="3"/>
        <v>0</v>
      </c>
      <c r="M36" s="1040">
        <f t="shared" si="3"/>
        <v>0</v>
      </c>
      <c r="N36" s="1040">
        <f t="shared" si="3"/>
        <v>0</v>
      </c>
    </row>
    <row r="37" spans="1:14" x14ac:dyDescent="0.25">
      <c r="A37" s="1012" t="s">
        <v>313</v>
      </c>
      <c r="B37" s="1013" t="s">
        <v>283</v>
      </c>
      <c r="C37" s="1040">
        <f t="shared" ref="C37:N37" si="4">C13*C10-C36</f>
        <v>0</v>
      </c>
      <c r="D37" s="1040">
        <f t="shared" si="4"/>
        <v>0</v>
      </c>
      <c r="E37" s="1040">
        <f t="shared" si="4"/>
        <v>0</v>
      </c>
      <c r="F37" s="1040">
        <f t="shared" si="4"/>
        <v>0</v>
      </c>
      <c r="G37" s="1040">
        <f t="shared" si="4"/>
        <v>0</v>
      </c>
      <c r="H37" s="1040">
        <f t="shared" si="4"/>
        <v>0</v>
      </c>
      <c r="I37" s="1040">
        <f>ROUND((I13*I10-I36),4)</f>
        <v>0</v>
      </c>
      <c r="J37" s="1040">
        <f t="shared" si="4"/>
        <v>0</v>
      </c>
      <c r="K37" s="1040">
        <f t="shared" si="4"/>
        <v>0</v>
      </c>
      <c r="L37" s="1040">
        <f t="shared" si="4"/>
        <v>0</v>
      </c>
      <c r="M37" s="1040">
        <f t="shared" si="4"/>
        <v>0</v>
      </c>
      <c r="N37" s="1040">
        <f t="shared" si="4"/>
        <v>0</v>
      </c>
    </row>
    <row r="38" spans="1:14" x14ac:dyDescent="0.25">
      <c r="A38" s="1041" t="s">
        <v>359</v>
      </c>
      <c r="B38" s="1042" t="s">
        <v>314</v>
      </c>
      <c r="C38" s="1043">
        <f t="shared" ref="C38:N38" si="5">ROUND(C37*C35,0)</f>
        <v>0</v>
      </c>
      <c r="D38" s="1043">
        <f t="shared" si="5"/>
        <v>0</v>
      </c>
      <c r="E38" s="1043">
        <f t="shared" si="5"/>
        <v>0</v>
      </c>
      <c r="F38" s="1043">
        <f t="shared" si="5"/>
        <v>0</v>
      </c>
      <c r="G38" s="1043">
        <f t="shared" si="5"/>
        <v>0</v>
      </c>
      <c r="H38" s="1043">
        <f t="shared" si="5"/>
        <v>0</v>
      </c>
      <c r="I38" s="1043">
        <f t="shared" si="5"/>
        <v>0</v>
      </c>
      <c r="J38" s="1043">
        <f t="shared" si="5"/>
        <v>0</v>
      </c>
      <c r="K38" s="1043">
        <f t="shared" si="5"/>
        <v>0</v>
      </c>
      <c r="L38" s="1043">
        <f t="shared" si="5"/>
        <v>0</v>
      </c>
      <c r="M38" s="1043">
        <f t="shared" si="5"/>
        <v>0</v>
      </c>
      <c r="N38" s="1043">
        <f t="shared" si="5"/>
        <v>0</v>
      </c>
    </row>
    <row r="39" spans="1:14" x14ac:dyDescent="0.25">
      <c r="A39" s="1034" t="s">
        <v>357</v>
      </c>
      <c r="B39" s="1035"/>
      <c r="C39" s="1036"/>
      <c r="D39" s="1036"/>
      <c r="E39" s="1036"/>
      <c r="F39" s="1036"/>
      <c r="G39" s="1036"/>
      <c r="H39" s="1011"/>
      <c r="I39" s="1036"/>
      <c r="J39" s="1037"/>
      <c r="K39" s="1036"/>
      <c r="L39" s="1036"/>
      <c r="M39" s="1036"/>
      <c r="N39" s="1036"/>
    </row>
    <row r="40" spans="1:14" x14ac:dyDescent="0.25">
      <c r="A40" s="1012" t="s">
        <v>307</v>
      </c>
      <c r="B40" s="1013" t="s">
        <v>308</v>
      </c>
      <c r="C40" s="1019"/>
      <c r="D40" s="1019"/>
      <c r="E40" s="1019"/>
      <c r="F40" s="1019"/>
      <c r="G40" s="1019"/>
      <c r="H40" s="1019"/>
      <c r="I40" s="1019"/>
      <c r="J40" s="1019"/>
      <c r="K40" s="1019"/>
      <c r="L40" s="1019"/>
      <c r="M40" s="1019"/>
      <c r="N40" s="1019"/>
    </row>
    <row r="41" spans="1:14" x14ac:dyDescent="0.25">
      <c r="A41" s="1038" t="s">
        <v>309</v>
      </c>
      <c r="B41" s="1039" t="s">
        <v>208</v>
      </c>
      <c r="C41" s="1038"/>
      <c r="D41" s="1038"/>
      <c r="E41" s="1038"/>
      <c r="F41" s="1038"/>
      <c r="G41" s="1038"/>
      <c r="H41" s="1038"/>
      <c r="I41" s="1038"/>
      <c r="J41" s="1038"/>
      <c r="K41" s="1038"/>
      <c r="L41" s="1038"/>
      <c r="M41" s="1038"/>
      <c r="N41" s="1038"/>
    </row>
    <row r="42" spans="1:14" x14ac:dyDescent="0.25">
      <c r="A42" s="1019" t="s">
        <v>310</v>
      </c>
      <c r="B42" s="1024" t="s">
        <v>308</v>
      </c>
      <c r="C42" s="1014">
        <f>C40*C41/100</f>
        <v>0</v>
      </c>
      <c r="D42" s="1014">
        <f>ROUND((D40*D41/100),3)</f>
        <v>0</v>
      </c>
      <c r="E42" s="1014">
        <f t="shared" ref="E42:N42" si="6">ROUND((E40*E41/100),3)</f>
        <v>0</v>
      </c>
      <c r="F42" s="1014">
        <f t="shared" si="6"/>
        <v>0</v>
      </c>
      <c r="G42" s="1014">
        <f t="shared" si="6"/>
        <v>0</v>
      </c>
      <c r="H42" s="1014">
        <f t="shared" si="6"/>
        <v>0</v>
      </c>
      <c r="I42" s="1014">
        <f t="shared" si="6"/>
        <v>0</v>
      </c>
      <c r="J42" s="1014">
        <f t="shared" si="6"/>
        <v>0</v>
      </c>
      <c r="K42" s="1014">
        <f t="shared" si="6"/>
        <v>0</v>
      </c>
      <c r="L42" s="1014">
        <f t="shared" si="6"/>
        <v>0</v>
      </c>
      <c r="M42" s="1014">
        <f t="shared" si="6"/>
        <v>0</v>
      </c>
      <c r="N42" s="1014">
        <f t="shared" si="6"/>
        <v>0</v>
      </c>
    </row>
    <row r="43" spans="1:14" x14ac:dyDescent="0.25">
      <c r="A43" s="1019" t="s">
        <v>311</v>
      </c>
      <c r="B43" s="1024" t="s">
        <v>308</v>
      </c>
      <c r="C43" s="1014">
        <f t="shared" ref="C43" si="7">C40-C42</f>
        <v>0</v>
      </c>
      <c r="D43" s="1014">
        <f>ROUND((D40-D42),3)</f>
        <v>0</v>
      </c>
      <c r="E43" s="1014">
        <f t="shared" ref="E43:N43" si="8">ROUND((E40-E42),3)</f>
        <v>0</v>
      </c>
      <c r="F43" s="1014">
        <f t="shared" si="8"/>
        <v>0</v>
      </c>
      <c r="G43" s="1014">
        <f t="shared" si="8"/>
        <v>0</v>
      </c>
      <c r="H43" s="1014">
        <f t="shared" si="8"/>
        <v>0</v>
      </c>
      <c r="I43" s="1014">
        <f t="shared" si="8"/>
        <v>0</v>
      </c>
      <c r="J43" s="1014">
        <f t="shared" si="8"/>
        <v>0</v>
      </c>
      <c r="K43" s="1014">
        <f t="shared" si="8"/>
        <v>0</v>
      </c>
      <c r="L43" s="1014">
        <f t="shared" si="8"/>
        <v>0</v>
      </c>
      <c r="M43" s="1014">
        <f t="shared" si="8"/>
        <v>0</v>
      </c>
      <c r="N43" s="1014">
        <f t="shared" si="8"/>
        <v>0</v>
      </c>
    </row>
    <row r="44" spans="1:14" x14ac:dyDescent="0.25">
      <c r="A44" s="1019" t="s">
        <v>315</v>
      </c>
      <c r="B44" s="1024" t="s">
        <v>283</v>
      </c>
      <c r="C44" s="1044">
        <f>C11*C13*(1-C15*C16*C17*C18)-C19-C24-C30</f>
        <v>0</v>
      </c>
      <c r="D44" s="1044">
        <f t="shared" ref="D44:N44" si="9">D11*D13*(1-D15*D16*D17*D18)-D19-D24-D30</f>
        <v>0</v>
      </c>
      <c r="E44" s="1044">
        <f t="shared" si="9"/>
        <v>0</v>
      </c>
      <c r="F44" s="1044">
        <f t="shared" si="9"/>
        <v>0</v>
      </c>
      <c r="G44" s="1044">
        <f t="shared" si="9"/>
        <v>0</v>
      </c>
      <c r="H44" s="1044">
        <f t="shared" si="9"/>
        <v>0</v>
      </c>
      <c r="I44" s="1044">
        <f>ROUND((I11*I13*(1-I15*I16*I17*I18)-I19-I24-I30),4)</f>
        <v>0</v>
      </c>
      <c r="J44" s="1044">
        <f t="shared" si="9"/>
        <v>0</v>
      </c>
      <c r="K44" s="1044">
        <f t="shared" si="9"/>
        <v>0</v>
      </c>
      <c r="L44" s="1044">
        <f t="shared" si="9"/>
        <v>0</v>
      </c>
      <c r="M44" s="1044">
        <f t="shared" si="9"/>
        <v>0</v>
      </c>
      <c r="N44" s="1044">
        <f t="shared" si="9"/>
        <v>0</v>
      </c>
    </row>
    <row r="45" spans="1:14" x14ac:dyDescent="0.25">
      <c r="A45" s="1012" t="s">
        <v>313</v>
      </c>
      <c r="B45" s="1013" t="s">
        <v>283</v>
      </c>
      <c r="C45" s="1040">
        <f t="shared" ref="C45:N45" si="10">C10*C13-C44</f>
        <v>0</v>
      </c>
      <c r="D45" s="1040">
        <f t="shared" si="10"/>
        <v>0</v>
      </c>
      <c r="E45" s="1040">
        <f t="shared" si="10"/>
        <v>0</v>
      </c>
      <c r="F45" s="1040">
        <f t="shared" si="10"/>
        <v>0</v>
      </c>
      <c r="G45" s="1040">
        <f t="shared" si="10"/>
        <v>0</v>
      </c>
      <c r="H45" s="1040">
        <f t="shared" si="10"/>
        <v>0</v>
      </c>
      <c r="I45" s="1040">
        <f>ROUND((I10*I13-I44),4)</f>
        <v>0</v>
      </c>
      <c r="J45" s="1040">
        <f t="shared" si="10"/>
        <v>0</v>
      </c>
      <c r="K45" s="1040">
        <f t="shared" si="10"/>
        <v>0</v>
      </c>
      <c r="L45" s="1040">
        <f t="shared" si="10"/>
        <v>0</v>
      </c>
      <c r="M45" s="1040">
        <f t="shared" si="10"/>
        <v>0</v>
      </c>
      <c r="N45" s="1040">
        <f t="shared" si="10"/>
        <v>0</v>
      </c>
    </row>
    <row r="46" spans="1:14" x14ac:dyDescent="0.25">
      <c r="A46" s="1041" t="s">
        <v>360</v>
      </c>
      <c r="B46" s="1042" t="s">
        <v>314</v>
      </c>
      <c r="C46" s="1043">
        <f>ROUND(C45*C43,0)</f>
        <v>0</v>
      </c>
      <c r="D46" s="1043">
        <f>ROUND(D45*D43,0)</f>
        <v>0</v>
      </c>
      <c r="E46" s="1043">
        <f>ROUND(E45*E43,0)</f>
        <v>0</v>
      </c>
      <c r="F46" s="1043">
        <f t="shared" ref="F46:N46" si="11">ROUND(F45*F43,0)</f>
        <v>0</v>
      </c>
      <c r="G46" s="1043">
        <f t="shared" si="11"/>
        <v>0</v>
      </c>
      <c r="H46" s="1043">
        <f t="shared" si="11"/>
        <v>0</v>
      </c>
      <c r="I46" s="1043">
        <f t="shared" si="11"/>
        <v>0</v>
      </c>
      <c r="J46" s="1043">
        <f t="shared" si="11"/>
        <v>0</v>
      </c>
      <c r="K46" s="1043">
        <f t="shared" si="11"/>
        <v>0</v>
      </c>
      <c r="L46" s="1043">
        <f t="shared" si="11"/>
        <v>0</v>
      </c>
      <c r="M46" s="1043">
        <f t="shared" si="11"/>
        <v>0</v>
      </c>
      <c r="N46" s="1043">
        <f t="shared" si="11"/>
        <v>0</v>
      </c>
    </row>
    <row r="47" spans="1:14" x14ac:dyDescent="0.25">
      <c r="A47" s="1034" t="s">
        <v>358</v>
      </c>
      <c r="B47" s="1035"/>
      <c r="C47" s="1036"/>
      <c r="D47" s="1036"/>
      <c r="E47" s="1036"/>
      <c r="F47" s="1036"/>
      <c r="G47" s="1036"/>
      <c r="H47" s="1011"/>
      <c r="I47" s="1036"/>
      <c r="J47" s="1037"/>
      <c r="K47" s="1036"/>
      <c r="L47" s="1036"/>
      <c r="M47" s="1036"/>
      <c r="N47" s="1036"/>
    </row>
    <row r="48" spans="1:14" x14ac:dyDescent="0.25">
      <c r="A48" s="1012" t="s">
        <v>307</v>
      </c>
      <c r="B48" s="1013" t="s">
        <v>308</v>
      </c>
      <c r="C48" s="1019"/>
      <c r="D48" s="1019"/>
      <c r="E48" s="1019"/>
      <c r="F48" s="1045"/>
      <c r="G48" s="1019"/>
      <c r="H48" s="1019"/>
      <c r="I48" s="1019"/>
      <c r="J48" s="1019"/>
      <c r="K48" s="1019"/>
      <c r="L48" s="1019"/>
      <c r="M48" s="1019"/>
      <c r="N48" s="1019"/>
    </row>
    <row r="49" spans="1:15" x14ac:dyDescent="0.25">
      <c r="A49" s="1038" t="s">
        <v>309</v>
      </c>
      <c r="B49" s="1039" t="s">
        <v>208</v>
      </c>
      <c r="C49" s="1038"/>
      <c r="D49" s="1038"/>
      <c r="E49" s="1038"/>
      <c r="F49" s="1038"/>
      <c r="G49" s="1038"/>
      <c r="H49" s="1038"/>
      <c r="I49" s="1038"/>
      <c r="J49" s="1038"/>
      <c r="K49" s="1038"/>
      <c r="L49" s="1038"/>
      <c r="M49" s="1038"/>
      <c r="N49" s="1038"/>
    </row>
    <row r="50" spans="1:15" x14ac:dyDescent="0.25">
      <c r="A50" s="1019" t="s">
        <v>310</v>
      </c>
      <c r="B50" s="1024" t="s">
        <v>308</v>
      </c>
      <c r="C50" s="1014">
        <f>C48*C49/100</f>
        <v>0</v>
      </c>
      <c r="D50" s="1014">
        <f>ROUND((D48*D49/100),3)</f>
        <v>0</v>
      </c>
      <c r="E50" s="1014">
        <f t="shared" ref="E50:H50" si="12">E48*E49/100</f>
        <v>0</v>
      </c>
      <c r="F50" s="1014">
        <f t="shared" si="12"/>
        <v>0</v>
      </c>
      <c r="G50" s="1014">
        <f t="shared" si="12"/>
        <v>0</v>
      </c>
      <c r="H50" s="1014">
        <f t="shared" si="12"/>
        <v>0</v>
      </c>
      <c r="I50" s="1014">
        <f>ROUND((I48*I49/100),3)</f>
        <v>0</v>
      </c>
      <c r="J50" s="1014">
        <f t="shared" ref="J50:N50" si="13">ROUND((J48*J49/100),3)</f>
        <v>0</v>
      </c>
      <c r="K50" s="1014">
        <f t="shared" si="13"/>
        <v>0</v>
      </c>
      <c r="L50" s="1014">
        <f t="shared" si="13"/>
        <v>0</v>
      </c>
      <c r="M50" s="1014">
        <f t="shared" si="13"/>
        <v>0</v>
      </c>
      <c r="N50" s="1014">
        <f t="shared" si="13"/>
        <v>0</v>
      </c>
    </row>
    <row r="51" spans="1:15" x14ac:dyDescent="0.25">
      <c r="A51" s="1019" t="s">
        <v>311</v>
      </c>
      <c r="B51" s="1024" t="s">
        <v>308</v>
      </c>
      <c r="C51" s="1014">
        <f t="shared" ref="C51:H51" si="14">C48-C50</f>
        <v>0</v>
      </c>
      <c r="D51" s="1014">
        <f>ROUND((D48-D50),3)</f>
        <v>0</v>
      </c>
      <c r="E51" s="1014">
        <f t="shared" si="14"/>
        <v>0</v>
      </c>
      <c r="F51" s="1014">
        <f t="shared" si="14"/>
        <v>0</v>
      </c>
      <c r="G51" s="1014">
        <f t="shared" si="14"/>
        <v>0</v>
      </c>
      <c r="H51" s="1014">
        <f t="shared" si="14"/>
        <v>0</v>
      </c>
      <c r="I51" s="1014">
        <f>ROUND((I48-I50),3)</f>
        <v>0</v>
      </c>
      <c r="J51" s="1014">
        <f t="shared" ref="J51:N51" si="15">ROUND((J48-J50),3)</f>
        <v>0</v>
      </c>
      <c r="K51" s="1014">
        <f t="shared" si="15"/>
        <v>0</v>
      </c>
      <c r="L51" s="1014">
        <f t="shared" si="15"/>
        <v>0</v>
      </c>
      <c r="M51" s="1014">
        <f t="shared" si="15"/>
        <v>0</v>
      </c>
      <c r="N51" s="1014">
        <f t="shared" si="15"/>
        <v>0</v>
      </c>
    </row>
    <row r="52" spans="1:15" x14ac:dyDescent="0.25">
      <c r="A52" s="1038" t="s">
        <v>316</v>
      </c>
      <c r="B52" s="1039"/>
      <c r="C52" s="1046"/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</row>
    <row r="53" spans="1:15" x14ac:dyDescent="0.25">
      <c r="A53" s="1012" t="s">
        <v>312</v>
      </c>
      <c r="B53" s="1013" t="s">
        <v>283</v>
      </c>
      <c r="C53" s="1040">
        <f>C11*C13*(1-C16*C52*C18)-C19-C24-C30</f>
        <v>0</v>
      </c>
      <c r="D53" s="1040">
        <f t="shared" ref="D53:N53" si="16">D11*D13*(1-D16*D52*D18)-D19-D24-D30</f>
        <v>0</v>
      </c>
      <c r="E53" s="1040">
        <f t="shared" si="16"/>
        <v>0</v>
      </c>
      <c r="F53" s="1040">
        <f t="shared" si="16"/>
        <v>0</v>
      </c>
      <c r="G53" s="1040">
        <f t="shared" si="16"/>
        <v>0</v>
      </c>
      <c r="H53" s="1040">
        <f t="shared" si="16"/>
        <v>0</v>
      </c>
      <c r="I53" s="1040">
        <f>ROUND((I11*I13*(1-I16*I52*I18)-I19-I24-I30),4)</f>
        <v>0</v>
      </c>
      <c r="J53" s="1040">
        <f t="shared" si="16"/>
        <v>0</v>
      </c>
      <c r="K53" s="1040">
        <f t="shared" si="16"/>
        <v>0</v>
      </c>
      <c r="L53" s="1040">
        <f t="shared" si="16"/>
        <v>0</v>
      </c>
      <c r="M53" s="1040">
        <f t="shared" si="16"/>
        <v>0</v>
      </c>
      <c r="N53" s="1040">
        <f t="shared" si="16"/>
        <v>0</v>
      </c>
    </row>
    <row r="54" spans="1:15" x14ac:dyDescent="0.25">
      <c r="A54" s="1012" t="s">
        <v>313</v>
      </c>
      <c r="B54" s="1013" t="s">
        <v>283</v>
      </c>
      <c r="C54" s="1040">
        <f t="shared" ref="C54:N54" si="17">C10*C13-C53</f>
        <v>0</v>
      </c>
      <c r="D54" s="1040">
        <f t="shared" si="17"/>
        <v>0</v>
      </c>
      <c r="E54" s="1040">
        <f t="shared" si="17"/>
        <v>0</v>
      </c>
      <c r="F54" s="1040">
        <f t="shared" si="17"/>
        <v>0</v>
      </c>
      <c r="G54" s="1040">
        <f t="shared" si="17"/>
        <v>0</v>
      </c>
      <c r="H54" s="1040">
        <f t="shared" si="17"/>
        <v>0</v>
      </c>
      <c r="I54" s="1040">
        <f>ROUND((I10*I13-I53),4)</f>
        <v>0</v>
      </c>
      <c r="J54" s="1040">
        <f t="shared" si="17"/>
        <v>0</v>
      </c>
      <c r="K54" s="1040">
        <f t="shared" si="17"/>
        <v>0</v>
      </c>
      <c r="L54" s="1040">
        <f t="shared" si="17"/>
        <v>0</v>
      </c>
      <c r="M54" s="1040">
        <f t="shared" si="17"/>
        <v>0</v>
      </c>
      <c r="N54" s="1040">
        <f t="shared" si="17"/>
        <v>0</v>
      </c>
    </row>
    <row r="55" spans="1:15" x14ac:dyDescent="0.25">
      <c r="A55" s="1041" t="s">
        <v>361</v>
      </c>
      <c r="B55" s="1042" t="s">
        <v>314</v>
      </c>
      <c r="C55" s="1043">
        <f t="shared" ref="C55:H55" si="18">ROUND(C54*C51,0)</f>
        <v>0</v>
      </c>
      <c r="D55" s="1043">
        <f t="shared" si="18"/>
        <v>0</v>
      </c>
      <c r="E55" s="1043">
        <f t="shared" si="18"/>
        <v>0</v>
      </c>
      <c r="F55" s="1043">
        <f t="shared" si="18"/>
        <v>0</v>
      </c>
      <c r="G55" s="1043">
        <f t="shared" si="18"/>
        <v>0</v>
      </c>
      <c r="H55" s="1043">
        <f t="shared" si="18"/>
        <v>0</v>
      </c>
      <c r="I55" s="1043">
        <f>ROUND(I54*I51,0)</f>
        <v>0</v>
      </c>
      <c r="J55" s="1043">
        <f t="shared" ref="J55" si="19">ROUND(J54*J51,0)</f>
        <v>0</v>
      </c>
      <c r="K55" s="1043">
        <f>ROUND(K54*K51,0)</f>
        <v>0</v>
      </c>
      <c r="L55" s="1043">
        <f>ROUND(L54*L51,0)</f>
        <v>0</v>
      </c>
      <c r="M55" s="1043">
        <f>ROUND(M54*M51,0)</f>
        <v>0</v>
      </c>
      <c r="N55" s="1043">
        <f>ROUND(N54*N51,0)</f>
        <v>0</v>
      </c>
    </row>
    <row r="56" spans="1:15" x14ac:dyDescent="0.25">
      <c r="A56" s="1047" t="s">
        <v>317</v>
      </c>
      <c r="B56" s="1048"/>
      <c r="C56" s="1049">
        <f>C38+C46+C55</f>
        <v>0</v>
      </c>
      <c r="D56" s="1049">
        <f t="shared" ref="D56:N56" si="20">D38+D46+D55</f>
        <v>0</v>
      </c>
      <c r="E56" s="1049">
        <f t="shared" si="20"/>
        <v>0</v>
      </c>
      <c r="F56" s="1049">
        <f t="shared" si="20"/>
        <v>0</v>
      </c>
      <c r="G56" s="1049">
        <f t="shared" si="20"/>
        <v>0</v>
      </c>
      <c r="H56" s="1049">
        <f t="shared" si="20"/>
        <v>0</v>
      </c>
      <c r="I56" s="1049">
        <f t="shared" si="20"/>
        <v>0</v>
      </c>
      <c r="J56" s="1049">
        <f t="shared" si="20"/>
        <v>0</v>
      </c>
      <c r="K56" s="1049">
        <f t="shared" si="20"/>
        <v>0</v>
      </c>
      <c r="L56" s="1049">
        <f t="shared" si="20"/>
        <v>0</v>
      </c>
      <c r="M56" s="1049">
        <f t="shared" si="20"/>
        <v>0</v>
      </c>
      <c r="N56" s="1049">
        <f t="shared" si="20"/>
        <v>0</v>
      </c>
      <c r="O56" s="1050"/>
    </row>
    <row r="57" spans="1:15" x14ac:dyDescent="0.25">
      <c r="A57" s="1007" t="s">
        <v>318</v>
      </c>
      <c r="C57" s="1007">
        <f t="shared" ref="C57:N57" si="21">C32+C40+C48</f>
        <v>0</v>
      </c>
      <c r="D57" s="1007">
        <f t="shared" si="21"/>
        <v>0</v>
      </c>
      <c r="E57" s="1007">
        <f t="shared" si="21"/>
        <v>0</v>
      </c>
      <c r="F57" s="1007">
        <f t="shared" si="21"/>
        <v>0</v>
      </c>
      <c r="G57" s="1007">
        <f t="shared" si="21"/>
        <v>0</v>
      </c>
      <c r="H57" s="1007">
        <f t="shared" si="21"/>
        <v>0</v>
      </c>
      <c r="I57" s="1007">
        <f t="shared" si="21"/>
        <v>0</v>
      </c>
      <c r="J57" s="1007">
        <f t="shared" si="21"/>
        <v>0</v>
      </c>
      <c r="K57" s="1007">
        <f t="shared" si="21"/>
        <v>0</v>
      </c>
      <c r="L57" s="1007">
        <f t="shared" si="21"/>
        <v>0</v>
      </c>
      <c r="M57" s="1007">
        <f t="shared" si="21"/>
        <v>0</v>
      </c>
      <c r="N57" s="1007">
        <f t="shared" si="21"/>
        <v>0</v>
      </c>
    </row>
    <row r="58" spans="1:15" x14ac:dyDescent="0.25">
      <c r="A58" s="1007" t="s">
        <v>356</v>
      </c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0"/>
    </row>
    <row r="59" spans="1:15" x14ac:dyDescent="0.25">
      <c r="A59" s="1007" t="s">
        <v>357</v>
      </c>
      <c r="C59" s="1051"/>
      <c r="D59" s="1051"/>
      <c r="E59" s="1051"/>
      <c r="F59" s="1051"/>
      <c r="G59" s="1051"/>
      <c r="H59" s="1051"/>
      <c r="I59" s="1051"/>
      <c r="J59" s="1051"/>
      <c r="K59" s="1051"/>
      <c r="L59" s="1051"/>
      <c r="M59" s="1051"/>
      <c r="N59" s="1051"/>
    </row>
    <row r="60" spans="1:15" x14ac:dyDescent="0.25">
      <c r="A60" s="1007" t="s">
        <v>358</v>
      </c>
      <c r="C60" s="1051"/>
      <c r="D60" s="1051"/>
      <c r="E60" s="1051"/>
      <c r="F60" s="1051"/>
      <c r="G60" s="1051"/>
      <c r="H60" s="1051"/>
      <c r="I60" s="1051"/>
      <c r="J60" s="1051"/>
      <c r="K60" s="1051"/>
      <c r="L60" s="1051"/>
      <c r="M60" s="1051"/>
      <c r="N60" s="1051"/>
    </row>
    <row r="61" spans="1:15" x14ac:dyDescent="0.25">
      <c r="A61" s="1052" t="s">
        <v>319</v>
      </c>
      <c r="B61" s="1052"/>
      <c r="C61" s="1053">
        <f>C58+C59+C60</f>
        <v>0</v>
      </c>
      <c r="D61" s="1053">
        <f>SUM(D58:D60)</f>
        <v>0</v>
      </c>
      <c r="E61" s="1053">
        <f t="shared" ref="E61:J61" si="22">E58+E59+E60</f>
        <v>0</v>
      </c>
      <c r="F61" s="1053">
        <f t="shared" si="22"/>
        <v>0</v>
      </c>
      <c r="G61" s="1053">
        <f t="shared" si="22"/>
        <v>0</v>
      </c>
      <c r="H61" s="1053">
        <f t="shared" si="22"/>
        <v>0</v>
      </c>
      <c r="I61" s="1053">
        <f t="shared" si="22"/>
        <v>0</v>
      </c>
      <c r="J61" s="1053">
        <f t="shared" si="22"/>
        <v>0</v>
      </c>
      <c r="K61" s="1053">
        <f>K58+K59+K60</f>
        <v>0</v>
      </c>
      <c r="L61" s="1053">
        <f t="shared" ref="L61:N61" si="23">L58+L59+L60</f>
        <v>0</v>
      </c>
      <c r="M61" s="1053">
        <f t="shared" si="23"/>
        <v>0</v>
      </c>
      <c r="N61" s="1053">
        <f t="shared" si="23"/>
        <v>0</v>
      </c>
    </row>
    <row r="62" spans="1:15" x14ac:dyDescent="0.25">
      <c r="A62" s="1007" t="s">
        <v>356</v>
      </c>
      <c r="C62" s="1051">
        <f t="shared" ref="C62:M62" si="24">C38-C58</f>
        <v>0</v>
      </c>
      <c r="D62" s="1051">
        <f t="shared" si="24"/>
        <v>0</v>
      </c>
      <c r="E62" s="1051">
        <f t="shared" si="24"/>
        <v>0</v>
      </c>
      <c r="F62" s="1051">
        <f t="shared" si="24"/>
        <v>0</v>
      </c>
      <c r="G62" s="1051">
        <f t="shared" si="24"/>
        <v>0</v>
      </c>
      <c r="H62" s="1051">
        <f t="shared" si="24"/>
        <v>0</v>
      </c>
      <c r="I62" s="1051">
        <f t="shared" si="24"/>
        <v>0</v>
      </c>
      <c r="J62" s="1051">
        <f t="shared" si="24"/>
        <v>0</v>
      </c>
      <c r="K62" s="1051">
        <f t="shared" si="24"/>
        <v>0</v>
      </c>
      <c r="L62" s="1051">
        <f t="shared" si="24"/>
        <v>0</v>
      </c>
      <c r="M62" s="1051">
        <f t="shared" si="24"/>
        <v>0</v>
      </c>
      <c r="N62" s="1051"/>
    </row>
    <row r="63" spans="1:15" x14ac:dyDescent="0.25">
      <c r="A63" s="1007" t="s">
        <v>357</v>
      </c>
      <c r="C63" s="1051">
        <f t="shared" ref="C63:M63" si="25">C46-C59</f>
        <v>0</v>
      </c>
      <c r="D63" s="1051">
        <f t="shared" si="25"/>
        <v>0</v>
      </c>
      <c r="E63" s="1051">
        <f t="shared" si="25"/>
        <v>0</v>
      </c>
      <c r="F63" s="1051">
        <f t="shared" si="25"/>
        <v>0</v>
      </c>
      <c r="G63" s="1051">
        <f t="shared" si="25"/>
        <v>0</v>
      </c>
      <c r="H63" s="1051">
        <f t="shared" si="25"/>
        <v>0</v>
      </c>
      <c r="I63" s="1051">
        <f t="shared" si="25"/>
        <v>0</v>
      </c>
      <c r="J63" s="1051">
        <f t="shared" si="25"/>
        <v>0</v>
      </c>
      <c r="K63" s="1051">
        <f t="shared" si="25"/>
        <v>0</v>
      </c>
      <c r="L63" s="1051">
        <f t="shared" si="25"/>
        <v>0</v>
      </c>
      <c r="M63" s="1051">
        <f t="shared" si="25"/>
        <v>0</v>
      </c>
      <c r="N63" s="1051"/>
    </row>
    <row r="64" spans="1:15" x14ac:dyDescent="0.25">
      <c r="A64" s="1007" t="s">
        <v>358</v>
      </c>
      <c r="C64" s="1051">
        <f t="shared" ref="C64:M64" si="26">C55-C60</f>
        <v>0</v>
      </c>
      <c r="D64" s="1051">
        <f t="shared" si="26"/>
        <v>0</v>
      </c>
      <c r="E64" s="1051">
        <f t="shared" si="26"/>
        <v>0</v>
      </c>
      <c r="F64" s="1051">
        <f t="shared" si="26"/>
        <v>0</v>
      </c>
      <c r="G64" s="1051">
        <f t="shared" si="26"/>
        <v>0</v>
      </c>
      <c r="H64" s="1051">
        <f t="shared" si="26"/>
        <v>0</v>
      </c>
      <c r="I64" s="1051">
        <f t="shared" si="26"/>
        <v>0</v>
      </c>
      <c r="J64" s="1051">
        <f t="shared" si="26"/>
        <v>0</v>
      </c>
      <c r="K64" s="1051">
        <f t="shared" si="26"/>
        <v>0</v>
      </c>
      <c r="L64" s="1051">
        <f t="shared" si="26"/>
        <v>0</v>
      </c>
      <c r="M64" s="1051">
        <f t="shared" si="26"/>
        <v>0</v>
      </c>
      <c r="N64" s="1051"/>
    </row>
    <row r="65" spans="1:14" x14ac:dyDescent="0.25">
      <c r="A65" s="1052" t="s">
        <v>320</v>
      </c>
      <c r="B65" s="1052"/>
      <c r="C65" s="1053">
        <f t="shared" ref="C65:N65" si="27">C62+C63+C64</f>
        <v>0</v>
      </c>
      <c r="D65" s="1053">
        <f t="shared" si="27"/>
        <v>0</v>
      </c>
      <c r="E65" s="1053">
        <f t="shared" si="27"/>
        <v>0</v>
      </c>
      <c r="F65" s="1053">
        <f t="shared" si="27"/>
        <v>0</v>
      </c>
      <c r="G65" s="1053">
        <f t="shared" si="27"/>
        <v>0</v>
      </c>
      <c r="H65" s="1053">
        <f t="shared" si="27"/>
        <v>0</v>
      </c>
      <c r="I65" s="1053">
        <f t="shared" si="27"/>
        <v>0</v>
      </c>
      <c r="J65" s="1053">
        <f t="shared" si="27"/>
        <v>0</v>
      </c>
      <c r="K65" s="1053">
        <f t="shared" si="27"/>
        <v>0</v>
      </c>
      <c r="L65" s="1053">
        <f t="shared" si="27"/>
        <v>0</v>
      </c>
      <c r="M65" s="1053">
        <f t="shared" si="27"/>
        <v>0</v>
      </c>
      <c r="N65" s="1053">
        <f t="shared" si="27"/>
        <v>0</v>
      </c>
    </row>
    <row r="66" spans="1:14" x14ac:dyDescent="0.25">
      <c r="A66" s="1007" t="s">
        <v>356</v>
      </c>
      <c r="C66" s="1051"/>
      <c r="D66" s="1051"/>
      <c r="E66" s="1051"/>
      <c r="G66" s="1051"/>
      <c r="H66" s="1051"/>
      <c r="I66" s="1051"/>
      <c r="J66" s="1051"/>
      <c r="K66" s="1051"/>
      <c r="L66" s="1051"/>
      <c r="M66" s="1051"/>
      <c r="N66" s="1051"/>
    </row>
    <row r="67" spans="1:14" x14ac:dyDescent="0.25">
      <c r="A67" s="1007" t="s">
        <v>357</v>
      </c>
      <c r="C67" s="1051"/>
      <c r="D67" s="1051"/>
      <c r="E67" s="1051"/>
      <c r="G67" s="1051"/>
      <c r="H67" s="1051"/>
      <c r="I67" s="1051"/>
      <c r="J67" s="1051"/>
      <c r="K67" s="1051"/>
      <c r="L67" s="1051"/>
      <c r="M67" s="1051"/>
      <c r="N67" s="1051"/>
    </row>
    <row r="68" spans="1:14" x14ac:dyDescent="0.25">
      <c r="A68" s="1007" t="s">
        <v>358</v>
      </c>
      <c r="C68" s="1051"/>
      <c r="D68" s="1051"/>
      <c r="E68" s="1051"/>
      <c r="G68" s="1051"/>
      <c r="H68" s="1051"/>
      <c r="I68" s="1051"/>
      <c r="J68" s="1051"/>
      <c r="K68" s="1051"/>
      <c r="L68" s="1051"/>
      <c r="M68" s="1051"/>
      <c r="N68" s="1051"/>
    </row>
    <row r="69" spans="1:14" x14ac:dyDescent="0.25">
      <c r="A69" s="1052" t="s">
        <v>319</v>
      </c>
      <c r="B69" s="1052"/>
      <c r="C69" s="1053"/>
      <c r="D69" s="1053"/>
      <c r="E69" s="1053">
        <f>SUM(E66:E68)</f>
        <v>0</v>
      </c>
      <c r="F69" s="1052"/>
      <c r="G69" s="1053"/>
      <c r="H69" s="1053"/>
      <c r="I69" s="1053"/>
      <c r="J69" s="1053"/>
      <c r="K69" s="1053"/>
      <c r="L69" s="1053"/>
      <c r="M69" s="1053"/>
      <c r="N69" s="1053"/>
    </row>
    <row r="70" spans="1:14" x14ac:dyDescent="0.25">
      <c r="A70" s="1007" t="s">
        <v>356</v>
      </c>
      <c r="C70" s="1051"/>
      <c r="E70" s="1051">
        <f>E38-E66</f>
        <v>0</v>
      </c>
      <c r="G70" s="1051"/>
      <c r="H70" s="1051"/>
      <c r="I70" s="1051"/>
      <c r="J70" s="1051"/>
      <c r="K70" s="1051"/>
      <c r="L70" s="1051"/>
      <c r="M70" s="1051"/>
      <c r="N70" s="1051"/>
    </row>
    <row r="71" spans="1:14" x14ac:dyDescent="0.25">
      <c r="A71" s="1007" t="s">
        <v>357</v>
      </c>
      <c r="E71" s="1051">
        <f>E46-E67</f>
        <v>0</v>
      </c>
    </row>
    <row r="72" spans="1:14" x14ac:dyDescent="0.25">
      <c r="A72" s="1007" t="s">
        <v>358</v>
      </c>
      <c r="E72" s="1051">
        <f>E55-E68</f>
        <v>0</v>
      </c>
    </row>
    <row r="73" spans="1:14" x14ac:dyDescent="0.25">
      <c r="A73" s="1052" t="s">
        <v>320</v>
      </c>
      <c r="B73" s="1052"/>
      <c r="C73" s="1052"/>
      <c r="D73" s="1052"/>
      <c r="E73" s="1053">
        <f>E70+E71+E72</f>
        <v>0</v>
      </c>
      <c r="F73" s="1052"/>
    </row>
    <row r="74" spans="1:14" x14ac:dyDescent="0.25">
      <c r="C74" s="1007" t="e">
        <f t="shared" ref="C74:M74" si="28">C56/C57</f>
        <v>#DIV/0!</v>
      </c>
      <c r="D74" s="1007" t="e">
        <f t="shared" si="28"/>
        <v>#DIV/0!</v>
      </c>
      <c r="E74" s="1007" t="e">
        <f t="shared" si="28"/>
        <v>#DIV/0!</v>
      </c>
      <c r="F74" s="1007" t="e">
        <f t="shared" si="28"/>
        <v>#DIV/0!</v>
      </c>
      <c r="G74" s="1007" t="e">
        <f t="shared" si="28"/>
        <v>#DIV/0!</v>
      </c>
      <c r="H74" s="1007" t="e">
        <f t="shared" si="28"/>
        <v>#DIV/0!</v>
      </c>
      <c r="I74" s="1007" t="e">
        <f t="shared" si="28"/>
        <v>#DIV/0!</v>
      </c>
      <c r="J74" s="1007" t="e">
        <f t="shared" si="28"/>
        <v>#DIV/0!</v>
      </c>
      <c r="K74" s="1007" t="e">
        <f t="shared" si="28"/>
        <v>#DIV/0!</v>
      </c>
      <c r="L74" s="1007" t="e">
        <f t="shared" si="28"/>
        <v>#DIV/0!</v>
      </c>
      <c r="M74" s="1007" t="e">
        <f t="shared" si="28"/>
        <v>#DIV/0!</v>
      </c>
      <c r="N74" s="1007" t="e">
        <f>N56/N57</f>
        <v>#DIV/0!</v>
      </c>
    </row>
    <row r="75" spans="1:14" x14ac:dyDescent="0.25">
      <c r="E75" s="1051"/>
    </row>
    <row r="76" spans="1:14" x14ac:dyDescent="0.25">
      <c r="E76" s="1051"/>
    </row>
    <row r="77" spans="1:14" x14ac:dyDescent="0.25">
      <c r="E77" s="1051"/>
    </row>
    <row r="78" spans="1:14" x14ac:dyDescent="0.25">
      <c r="E78" s="1051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78"/>
  <sheetViews>
    <sheetView zoomScale="85" zoomScaleNormal="85" zoomScaleSheetLayoutView="85" workbookViewId="0">
      <selection activeCell="C13" sqref="C13"/>
    </sheetView>
  </sheetViews>
  <sheetFormatPr defaultColWidth="9.140625" defaultRowHeight="14.25" x14ac:dyDescent="0.25"/>
  <cols>
    <col min="1" max="1" width="57" style="1007" customWidth="1"/>
    <col min="2" max="2" width="10.85546875" style="1007" customWidth="1"/>
    <col min="3" max="3" width="24" style="1007" customWidth="1"/>
    <col min="4" max="4" width="15.85546875" style="1007" customWidth="1"/>
    <col min="5" max="5" width="16.85546875" style="1007" customWidth="1"/>
    <col min="6" max="6" width="19.5703125" style="1007" customWidth="1"/>
    <col min="7" max="7" width="17.140625" style="1007" customWidth="1"/>
    <col min="8" max="8" width="18.28515625" style="1007" customWidth="1"/>
    <col min="9" max="10" width="15.7109375" style="1007" bestFit="1" customWidth="1"/>
    <col min="11" max="11" width="16.140625" style="1007" customWidth="1"/>
    <col min="12" max="12" width="16.28515625" style="1007" customWidth="1"/>
    <col min="13" max="14" width="19.28515625" style="1007" customWidth="1"/>
    <col min="15" max="15" width="19.5703125" style="1007" bestFit="1" customWidth="1"/>
    <col min="16" max="16384" width="9.140625" style="1007"/>
  </cols>
  <sheetData>
    <row r="1" spans="1:14" x14ac:dyDescent="0.25">
      <c r="A1" s="1007" t="s">
        <v>355</v>
      </c>
    </row>
    <row r="3" spans="1:14" x14ac:dyDescent="0.25">
      <c r="A3" s="1008" t="s">
        <v>265</v>
      </c>
    </row>
    <row r="5" spans="1:14" x14ac:dyDescent="0.25">
      <c r="A5" s="1009">
        <v>2022</v>
      </c>
      <c r="B5" s="1009" t="s">
        <v>144</v>
      </c>
      <c r="C5" s="1009" t="s">
        <v>266</v>
      </c>
      <c r="D5" s="1009" t="s">
        <v>83</v>
      </c>
      <c r="E5" s="1009" t="s">
        <v>267</v>
      </c>
      <c r="F5" s="1009" t="s">
        <v>84</v>
      </c>
      <c r="G5" s="1009" t="s">
        <v>268</v>
      </c>
      <c r="H5" s="1009" t="s">
        <v>269</v>
      </c>
      <c r="I5" s="1009" t="s">
        <v>270</v>
      </c>
      <c r="J5" s="1009" t="s">
        <v>85</v>
      </c>
      <c r="K5" s="1009" t="s">
        <v>271</v>
      </c>
      <c r="L5" s="1009" t="s">
        <v>272</v>
      </c>
      <c r="M5" s="1009" t="s">
        <v>273</v>
      </c>
      <c r="N5" s="1009" t="s">
        <v>274</v>
      </c>
    </row>
    <row r="6" spans="1:14" x14ac:dyDescent="0.25">
      <c r="A6" s="1010" t="s">
        <v>275</v>
      </c>
      <c r="B6" s="1011"/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1011"/>
    </row>
    <row r="7" spans="1:14" x14ac:dyDescent="0.25">
      <c r="A7" s="1012" t="s">
        <v>276</v>
      </c>
      <c r="B7" s="1013" t="s">
        <v>277</v>
      </c>
      <c r="C7" s="1021">
        <v>47.915401624109649</v>
      </c>
      <c r="D7" s="1014"/>
      <c r="E7" s="1014"/>
      <c r="F7" s="1014"/>
      <c r="G7" s="1014"/>
      <c r="H7" s="1014"/>
      <c r="I7" s="1014"/>
      <c r="J7" s="1014"/>
      <c r="K7" s="1014"/>
      <c r="L7" s="1014"/>
      <c r="M7" s="1014"/>
      <c r="N7" s="1014"/>
    </row>
    <row r="8" spans="1:14" x14ac:dyDescent="0.25">
      <c r="A8" s="1012" t="s">
        <v>278</v>
      </c>
      <c r="B8" s="1013" t="s">
        <v>279</v>
      </c>
      <c r="C8" s="1191">
        <v>178.06923138231386</v>
      </c>
      <c r="D8" s="1015"/>
      <c r="E8" s="1015"/>
      <c r="F8" s="1015"/>
      <c r="G8" s="1015"/>
      <c r="H8" s="1015"/>
      <c r="I8" s="1015"/>
      <c r="J8" s="1015"/>
      <c r="K8" s="1015"/>
      <c r="L8" s="1016"/>
      <c r="M8" s="1015"/>
      <c r="N8" s="1015"/>
    </row>
    <row r="9" spans="1:14" x14ac:dyDescent="0.25">
      <c r="A9" s="1017" t="s">
        <v>280</v>
      </c>
      <c r="B9" s="1013" t="s">
        <v>281</v>
      </c>
      <c r="C9" s="1192">
        <v>67.821415943746501</v>
      </c>
      <c r="D9" s="1018"/>
      <c r="E9" s="1054"/>
      <c r="F9" s="1018"/>
      <c r="G9" s="1055"/>
      <c r="H9" s="1054"/>
      <c r="I9" s="1054"/>
      <c r="J9" s="1054"/>
      <c r="K9" s="1054"/>
      <c r="L9" s="1054"/>
      <c r="M9" s="1056"/>
      <c r="N9" s="1054"/>
    </row>
    <row r="10" spans="1:14" x14ac:dyDescent="0.25">
      <c r="A10" s="1023" t="s">
        <v>282</v>
      </c>
      <c r="B10" s="1024" t="s">
        <v>283</v>
      </c>
      <c r="C10" s="1021">
        <v>222.65191692190791</v>
      </c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</row>
    <row r="11" spans="1:14" x14ac:dyDescent="0.25">
      <c r="A11" s="1025" t="s">
        <v>284</v>
      </c>
      <c r="B11" s="1026" t="s">
        <v>283</v>
      </c>
      <c r="C11" s="1193">
        <v>178.94497631547227</v>
      </c>
      <c r="D11" s="1027"/>
      <c r="E11" s="1027"/>
      <c r="F11" s="1027"/>
      <c r="G11" s="1027"/>
      <c r="H11" s="1027"/>
      <c r="I11" s="1027"/>
      <c r="J11" s="1027"/>
      <c r="K11" s="1027"/>
      <c r="L11" s="1027"/>
      <c r="M11" s="1027"/>
      <c r="N11" s="1027"/>
    </row>
    <row r="12" spans="1:14" x14ac:dyDescent="0.25">
      <c r="A12" s="1017" t="s">
        <v>285</v>
      </c>
      <c r="B12" s="1013" t="s">
        <v>286</v>
      </c>
      <c r="C12" s="1021">
        <v>63.653119587394691</v>
      </c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</row>
    <row r="13" spans="1:14" x14ac:dyDescent="0.25">
      <c r="A13" s="1025" t="s">
        <v>287</v>
      </c>
      <c r="B13" s="1026" t="s">
        <v>283</v>
      </c>
      <c r="C13" s="1194">
        <v>29.423874654761708</v>
      </c>
      <c r="D13" s="1028"/>
      <c r="E13" s="1028"/>
      <c r="F13" s="1028"/>
      <c r="G13" s="1028"/>
      <c r="H13" s="1028"/>
      <c r="I13" s="1028"/>
      <c r="J13" s="1028"/>
      <c r="K13" s="1028"/>
      <c r="L13" s="1028"/>
      <c r="M13" s="1029"/>
      <c r="N13" s="1029"/>
    </row>
    <row r="14" spans="1:14" ht="15" customHeight="1" x14ac:dyDescent="0.25">
      <c r="A14" s="1030" t="s">
        <v>288</v>
      </c>
      <c r="B14" s="1026" t="s">
        <v>289</v>
      </c>
      <c r="C14" s="1194">
        <v>791.10651574260021</v>
      </c>
      <c r="D14" s="1029"/>
      <c r="E14" s="1029"/>
      <c r="F14" s="1029"/>
      <c r="G14" s="1029"/>
      <c r="H14" s="1029"/>
      <c r="I14" s="1029"/>
      <c r="J14" s="1029"/>
      <c r="K14" s="1029"/>
      <c r="L14" s="1029"/>
      <c r="M14" s="1029"/>
      <c r="N14" s="1029"/>
    </row>
    <row r="15" spans="1:14" hidden="1" x14ac:dyDescent="0.25">
      <c r="A15" s="1017" t="s">
        <v>290</v>
      </c>
      <c r="B15" s="1013" t="s">
        <v>289</v>
      </c>
      <c r="C15" s="1192">
        <v>10.760548261445091</v>
      </c>
      <c r="D15" s="1012"/>
      <c r="E15" s="1012"/>
      <c r="F15" s="1012"/>
      <c r="G15" s="1012"/>
      <c r="H15" s="1012"/>
      <c r="I15" s="1012"/>
      <c r="J15" s="1012"/>
      <c r="K15" s="1012"/>
      <c r="L15" s="1012"/>
      <c r="M15" s="1012"/>
      <c r="N15" s="1012"/>
    </row>
    <row r="16" spans="1:14" hidden="1" x14ac:dyDescent="0.25">
      <c r="A16" s="1023" t="s">
        <v>291</v>
      </c>
      <c r="B16" s="1024" t="s">
        <v>289</v>
      </c>
      <c r="C16" s="1021">
        <v>10.760548261445091</v>
      </c>
      <c r="D16" s="1019"/>
      <c r="E16" s="1019"/>
      <c r="F16" s="1019"/>
      <c r="G16" s="1019"/>
      <c r="H16" s="1019"/>
      <c r="I16" s="1019"/>
      <c r="J16" s="1019"/>
      <c r="K16" s="1019"/>
      <c r="L16" s="1019"/>
      <c r="M16" s="1019"/>
      <c r="N16" s="1019"/>
    </row>
    <row r="17" spans="1:14" hidden="1" x14ac:dyDescent="0.25">
      <c r="A17" s="1023" t="s">
        <v>292</v>
      </c>
      <c r="B17" s="1024" t="s">
        <v>289</v>
      </c>
      <c r="C17" s="1021">
        <v>10.760548261445091</v>
      </c>
      <c r="D17" s="1019"/>
      <c r="E17" s="1019"/>
      <c r="F17" s="1019"/>
      <c r="G17" s="1019"/>
      <c r="H17" s="1019"/>
      <c r="I17" s="1019"/>
      <c r="J17" s="1019"/>
      <c r="K17" s="1019"/>
      <c r="L17" s="1019"/>
      <c r="M17" s="1019"/>
      <c r="N17" s="1019"/>
    </row>
    <row r="18" spans="1:14" hidden="1" x14ac:dyDescent="0.25">
      <c r="A18" s="1019" t="s">
        <v>293</v>
      </c>
      <c r="B18" s="1024" t="s">
        <v>289</v>
      </c>
      <c r="C18" s="1021">
        <v>10.760548261445091</v>
      </c>
      <c r="D18" s="1019"/>
      <c r="E18" s="1019"/>
      <c r="F18" s="1019"/>
      <c r="G18" s="1019"/>
      <c r="H18" s="1019"/>
      <c r="I18" s="1019"/>
      <c r="J18" s="1019"/>
      <c r="K18" s="1019"/>
      <c r="L18" s="1019"/>
      <c r="M18" s="1019"/>
      <c r="N18" s="1019"/>
    </row>
    <row r="19" spans="1:14" hidden="1" x14ac:dyDescent="0.25">
      <c r="A19" s="1019" t="s">
        <v>294</v>
      </c>
      <c r="B19" s="1024" t="s">
        <v>295</v>
      </c>
      <c r="C19" s="1021">
        <v>158.15495924931969</v>
      </c>
      <c r="D19" s="1019"/>
      <c r="E19" s="1019"/>
      <c r="F19" s="1019"/>
      <c r="G19" s="1019"/>
      <c r="H19" s="1019"/>
      <c r="I19" s="1019"/>
      <c r="J19" s="1019"/>
      <c r="K19" s="1019"/>
      <c r="L19" s="1019"/>
      <c r="M19" s="1019"/>
      <c r="N19" s="1019"/>
    </row>
    <row r="20" spans="1:14" hidden="1" x14ac:dyDescent="0.25">
      <c r="A20" s="1019" t="s">
        <v>296</v>
      </c>
      <c r="B20" s="1024" t="s">
        <v>295</v>
      </c>
      <c r="C20" s="1021">
        <v>76.567167504361663</v>
      </c>
      <c r="D20" s="1019"/>
      <c r="E20" s="1019"/>
      <c r="F20" s="1019"/>
      <c r="G20" s="1019"/>
      <c r="H20" s="1019"/>
      <c r="I20" s="1019"/>
      <c r="J20" s="1019"/>
      <c r="K20" s="1019"/>
      <c r="L20" s="1019"/>
      <c r="M20" s="1019"/>
      <c r="N20" s="1019"/>
    </row>
    <row r="21" spans="1:14" hidden="1" x14ac:dyDescent="0.25">
      <c r="A21" s="1012" t="s">
        <v>297</v>
      </c>
      <c r="B21" s="1013" t="s">
        <v>295</v>
      </c>
      <c r="C21" s="1021">
        <v>71.067989773030476</v>
      </c>
      <c r="D21" s="1019"/>
      <c r="E21" s="1019"/>
      <c r="F21" s="1019"/>
      <c r="G21" s="1019"/>
      <c r="H21" s="1019"/>
      <c r="I21" s="1019"/>
      <c r="J21" s="1019"/>
      <c r="K21" s="1019"/>
      <c r="L21" s="1019"/>
      <c r="M21" s="1019"/>
      <c r="N21" s="1019"/>
    </row>
    <row r="22" spans="1:14" ht="16.5" customHeight="1" x14ac:dyDescent="0.25">
      <c r="A22" s="1031" t="s">
        <v>298</v>
      </c>
      <c r="B22" s="1026" t="s">
        <v>289</v>
      </c>
      <c r="C22" s="1194">
        <v>710.18889503476248</v>
      </c>
      <c r="D22" s="1029"/>
      <c r="E22" s="1029"/>
      <c r="F22" s="1029"/>
      <c r="G22" s="1029"/>
      <c r="H22" s="1029"/>
      <c r="I22" s="1029"/>
      <c r="J22" s="1029"/>
      <c r="K22" s="1029"/>
      <c r="L22" s="1029"/>
      <c r="M22" s="1029"/>
      <c r="N22" s="1029"/>
    </row>
    <row r="23" spans="1:14" ht="17.25" customHeight="1" x14ac:dyDescent="0.25">
      <c r="A23" s="1031" t="s">
        <v>299</v>
      </c>
      <c r="B23" s="1026" t="s">
        <v>289</v>
      </c>
      <c r="C23" s="1194">
        <v>189.71246342361709</v>
      </c>
      <c r="D23" s="1029"/>
      <c r="E23" s="1029"/>
      <c r="F23" s="1029"/>
      <c r="G23" s="1029"/>
      <c r="H23" s="1029"/>
      <c r="I23" s="1029"/>
      <c r="J23" s="1029"/>
      <c r="K23" s="1029"/>
      <c r="L23" s="1029"/>
      <c r="M23" s="1029"/>
      <c r="N23" s="1029"/>
    </row>
    <row r="24" spans="1:14" x14ac:dyDescent="0.25">
      <c r="A24" s="1031" t="s">
        <v>300</v>
      </c>
      <c r="B24" s="1032" t="s">
        <v>295</v>
      </c>
      <c r="C24" s="1194">
        <v>216.10487638798816</v>
      </c>
      <c r="D24" s="1031"/>
      <c r="E24" s="1031"/>
      <c r="F24" s="1031"/>
      <c r="G24" s="1031"/>
      <c r="H24" s="1031"/>
      <c r="I24" s="1031"/>
      <c r="J24" s="1031"/>
      <c r="K24" s="1031"/>
      <c r="L24" s="1031"/>
      <c r="M24" s="1031"/>
      <c r="N24" s="1031"/>
    </row>
    <row r="25" spans="1:14" ht="2.25" customHeight="1" x14ac:dyDescent="0.25">
      <c r="A25" s="1012" t="s">
        <v>301</v>
      </c>
      <c r="B25" s="1013" t="s">
        <v>289</v>
      </c>
      <c r="C25" s="1192">
        <v>9.5948732214170036</v>
      </c>
      <c r="D25" s="1012"/>
      <c r="E25" s="1012"/>
      <c r="F25" s="1012"/>
      <c r="G25" s="1012"/>
      <c r="H25" s="1012"/>
      <c r="I25" s="1012"/>
      <c r="J25" s="1012"/>
      <c r="K25" s="1012"/>
      <c r="L25" s="1012"/>
      <c r="M25" s="1012"/>
      <c r="N25" s="1012"/>
    </row>
    <row r="26" spans="1:14" ht="13.5" customHeight="1" x14ac:dyDescent="0.25">
      <c r="A26" s="1012" t="s">
        <v>302</v>
      </c>
      <c r="B26" s="1013" t="s">
        <v>289</v>
      </c>
      <c r="C26" s="1192">
        <v>9.5948732214170036</v>
      </c>
      <c r="D26" s="1012"/>
      <c r="E26" s="1012"/>
      <c r="F26" s="1012"/>
      <c r="G26" s="1012"/>
      <c r="H26" s="1012"/>
      <c r="I26" s="1012"/>
      <c r="J26" s="1012"/>
      <c r="K26" s="1012"/>
      <c r="L26" s="1012"/>
      <c r="M26" s="1012"/>
      <c r="N26" s="1012"/>
    </row>
    <row r="27" spans="1:14" x14ac:dyDescent="0.25">
      <c r="A27" s="1012" t="s">
        <v>303</v>
      </c>
      <c r="B27" s="1013" t="s">
        <v>289</v>
      </c>
      <c r="C27" s="1192">
        <v>89.846569967965166</v>
      </c>
      <c r="D27" s="1012"/>
      <c r="E27" s="1012"/>
      <c r="F27" s="1012"/>
      <c r="G27" s="1033"/>
      <c r="H27" s="1012"/>
      <c r="I27" s="1012"/>
      <c r="J27" s="1012"/>
      <c r="K27" s="1012"/>
      <c r="L27" s="1012"/>
      <c r="M27" s="1012"/>
      <c r="N27" s="1012"/>
    </row>
    <row r="28" spans="1:14" x14ac:dyDescent="0.25">
      <c r="A28" s="1019" t="s">
        <v>304</v>
      </c>
      <c r="B28" s="1024" t="s">
        <v>289</v>
      </c>
      <c r="C28" s="1021">
        <v>10.374828624452226</v>
      </c>
      <c r="D28" s="1019"/>
      <c r="E28" s="1019"/>
      <c r="F28" s="1019"/>
      <c r="G28" s="1019"/>
      <c r="H28" s="1019"/>
      <c r="I28" s="1019"/>
      <c r="J28" s="1019"/>
      <c r="K28" s="1019"/>
      <c r="L28" s="1019"/>
      <c r="M28" s="1019"/>
      <c r="N28" s="1019"/>
    </row>
    <row r="29" spans="1:14" x14ac:dyDescent="0.25">
      <c r="A29" s="1012" t="s">
        <v>305</v>
      </c>
      <c r="B29" s="1013" t="s">
        <v>289</v>
      </c>
      <c r="C29" s="1192">
        <v>10.180462623951216</v>
      </c>
      <c r="D29" s="1012"/>
      <c r="E29" s="1012"/>
      <c r="F29" s="1012"/>
      <c r="G29" s="1012"/>
      <c r="H29" s="1012"/>
      <c r="I29" s="1012"/>
      <c r="J29" s="1012"/>
      <c r="K29" s="1012"/>
      <c r="L29" s="1012"/>
      <c r="M29" s="1012"/>
      <c r="N29" s="1012"/>
    </row>
    <row r="30" spans="1:14" x14ac:dyDescent="0.25">
      <c r="A30" s="1031" t="s">
        <v>306</v>
      </c>
      <c r="B30" s="1026" t="s">
        <v>283</v>
      </c>
      <c r="C30" s="1194">
        <v>479.8326121752886</v>
      </c>
      <c r="D30" s="1028"/>
      <c r="E30" s="1031"/>
      <c r="F30" s="1031"/>
      <c r="G30" s="1031"/>
      <c r="H30" s="1031"/>
      <c r="I30" s="1031"/>
      <c r="J30" s="1031"/>
      <c r="K30" s="1031"/>
      <c r="L30" s="1031"/>
      <c r="M30" s="1029"/>
      <c r="N30" s="1028"/>
    </row>
    <row r="31" spans="1:14" x14ac:dyDescent="0.25">
      <c r="A31" s="1034" t="s">
        <v>356</v>
      </c>
      <c r="B31" s="1035"/>
      <c r="C31" s="1195">
        <v>9.5948732214170036</v>
      </c>
      <c r="D31" s="1036"/>
      <c r="E31" s="1036"/>
      <c r="F31" s="1036"/>
      <c r="G31" s="1036"/>
      <c r="H31" s="1011"/>
      <c r="I31" s="1036"/>
      <c r="J31" s="1037"/>
      <c r="K31" s="1036"/>
      <c r="L31" s="1036"/>
      <c r="M31" s="1036"/>
      <c r="N31" s="1036"/>
    </row>
    <row r="32" spans="1:14" x14ac:dyDescent="0.25">
      <c r="A32" s="1012" t="s">
        <v>307</v>
      </c>
      <c r="B32" s="1013" t="s">
        <v>308</v>
      </c>
      <c r="C32" s="1021">
        <v>373.8656179757179</v>
      </c>
      <c r="D32" s="1019"/>
      <c r="E32" s="1019"/>
      <c r="F32" s="1019"/>
      <c r="G32" s="1019"/>
      <c r="H32" s="1019"/>
      <c r="I32" s="1019"/>
      <c r="J32" s="1019"/>
      <c r="K32" s="1019"/>
      <c r="L32" s="1019"/>
      <c r="M32" s="1019"/>
      <c r="N32" s="1019"/>
    </row>
    <row r="33" spans="1:14" x14ac:dyDescent="0.25">
      <c r="A33" s="1038" t="s">
        <v>309</v>
      </c>
      <c r="B33" s="1039" t="s">
        <v>208</v>
      </c>
      <c r="C33" s="1038">
        <v>1.0999999999999999E-2</v>
      </c>
      <c r="D33" s="1038"/>
      <c r="E33" s="1038"/>
      <c r="F33" s="1038"/>
      <c r="G33" s="1038"/>
      <c r="H33" s="1038"/>
      <c r="I33" s="1038"/>
      <c r="J33" s="1038"/>
      <c r="K33" s="1038"/>
      <c r="L33" s="1038"/>
      <c r="M33" s="1038"/>
      <c r="N33" s="1038"/>
    </row>
    <row r="34" spans="1:14" x14ac:dyDescent="0.25">
      <c r="A34" s="1019" t="s">
        <v>310</v>
      </c>
      <c r="B34" s="1024" t="s">
        <v>308</v>
      </c>
      <c r="C34" s="1014">
        <f>C32*C33/100</f>
        <v>4.1125217977328966E-2</v>
      </c>
      <c r="D34" s="1014">
        <f>ROUND((D32*D33/100),3)</f>
        <v>0</v>
      </c>
      <c r="E34" s="1014">
        <f t="shared" ref="E34:N34" si="0">ROUND((E32*E33/100),3)</f>
        <v>0</v>
      </c>
      <c r="F34" s="1014">
        <f t="shared" si="0"/>
        <v>0</v>
      </c>
      <c r="G34" s="1014">
        <f t="shared" si="0"/>
        <v>0</v>
      </c>
      <c r="H34" s="1014">
        <f t="shared" si="0"/>
        <v>0</v>
      </c>
      <c r="I34" s="1014">
        <f t="shared" si="0"/>
        <v>0</v>
      </c>
      <c r="J34" s="1014">
        <f t="shared" si="0"/>
        <v>0</v>
      </c>
      <c r="K34" s="1014">
        <f t="shared" si="0"/>
        <v>0</v>
      </c>
      <c r="L34" s="1014">
        <f t="shared" si="0"/>
        <v>0</v>
      </c>
      <c r="M34" s="1014">
        <f t="shared" si="0"/>
        <v>0</v>
      </c>
      <c r="N34" s="1014">
        <f t="shared" si="0"/>
        <v>0</v>
      </c>
    </row>
    <row r="35" spans="1:14" x14ac:dyDescent="0.25">
      <c r="A35" s="1019" t="s">
        <v>311</v>
      </c>
      <c r="B35" s="1024" t="s">
        <v>308</v>
      </c>
      <c r="C35" s="1014">
        <f t="shared" ref="C35" si="1">C32-C34</f>
        <v>373.82449275774059</v>
      </c>
      <c r="D35" s="1014">
        <f>ROUND((D32-D34),3)</f>
        <v>0</v>
      </c>
      <c r="E35" s="1014">
        <f t="shared" ref="E35:N35" si="2">ROUND((E32-E34),3)</f>
        <v>0</v>
      </c>
      <c r="F35" s="1014">
        <f t="shared" si="2"/>
        <v>0</v>
      </c>
      <c r="G35" s="1014">
        <f t="shared" si="2"/>
        <v>0</v>
      </c>
      <c r="H35" s="1014">
        <f t="shared" si="2"/>
        <v>0</v>
      </c>
      <c r="I35" s="1014">
        <f t="shared" si="2"/>
        <v>0</v>
      </c>
      <c r="J35" s="1014">
        <f t="shared" si="2"/>
        <v>0</v>
      </c>
      <c r="K35" s="1014">
        <f t="shared" si="2"/>
        <v>0</v>
      </c>
      <c r="L35" s="1014">
        <f t="shared" si="2"/>
        <v>0</v>
      </c>
      <c r="M35" s="1014">
        <f t="shared" si="2"/>
        <v>0</v>
      </c>
      <c r="N35" s="1014">
        <f t="shared" si="2"/>
        <v>0</v>
      </c>
    </row>
    <row r="36" spans="1:14" x14ac:dyDescent="0.25">
      <c r="A36" s="1012" t="s">
        <v>312</v>
      </c>
      <c r="B36" s="1013" t="s">
        <v>283</v>
      </c>
      <c r="C36" s="1040">
        <f>C11*C13*(1-C15*C16*C17*C18)-C19-C24-C30</f>
        <v>-70587830.149790719</v>
      </c>
      <c r="D36" s="1040">
        <f t="shared" ref="D36:N36" si="3">D11*D13*(1-D15*D16*D17*D18)-D19-D24-D30</f>
        <v>0</v>
      </c>
      <c r="E36" s="1040">
        <f t="shared" si="3"/>
        <v>0</v>
      </c>
      <c r="F36" s="1040">
        <f t="shared" si="3"/>
        <v>0</v>
      </c>
      <c r="G36" s="1040">
        <f t="shared" si="3"/>
        <v>0</v>
      </c>
      <c r="H36" s="1040">
        <f>H11*H13*(1-H15*H16*H17*H18)-H19-H24-H30</f>
        <v>0</v>
      </c>
      <c r="I36" s="1040">
        <f>ROUND((I11*I13*(1-I15*I16*I17*I18)-I19-I24-I30),4)</f>
        <v>0</v>
      </c>
      <c r="J36" s="1040">
        <f t="shared" si="3"/>
        <v>0</v>
      </c>
      <c r="K36" s="1040">
        <f t="shared" si="3"/>
        <v>0</v>
      </c>
      <c r="L36" s="1040">
        <f t="shared" si="3"/>
        <v>0</v>
      </c>
      <c r="M36" s="1040">
        <f t="shared" si="3"/>
        <v>0</v>
      </c>
      <c r="N36" s="1040">
        <f t="shared" si="3"/>
        <v>0</v>
      </c>
    </row>
    <row r="37" spans="1:14" x14ac:dyDescent="0.25">
      <c r="A37" s="1012" t="s">
        <v>313</v>
      </c>
      <c r="B37" s="1013" t="s">
        <v>283</v>
      </c>
      <c r="C37" s="1040">
        <f t="shared" ref="C37:N37" si="4">C13*C10-C36</f>
        <v>70594381.431885868</v>
      </c>
      <c r="D37" s="1040">
        <f t="shared" si="4"/>
        <v>0</v>
      </c>
      <c r="E37" s="1040">
        <f t="shared" si="4"/>
        <v>0</v>
      </c>
      <c r="F37" s="1040">
        <f t="shared" si="4"/>
        <v>0</v>
      </c>
      <c r="G37" s="1040">
        <f t="shared" si="4"/>
        <v>0</v>
      </c>
      <c r="H37" s="1040">
        <f t="shared" si="4"/>
        <v>0</v>
      </c>
      <c r="I37" s="1040">
        <f>ROUND((I13*I10-I36),4)</f>
        <v>0</v>
      </c>
      <c r="J37" s="1040">
        <f t="shared" si="4"/>
        <v>0</v>
      </c>
      <c r="K37" s="1040">
        <f t="shared" si="4"/>
        <v>0</v>
      </c>
      <c r="L37" s="1040">
        <f t="shared" si="4"/>
        <v>0</v>
      </c>
      <c r="M37" s="1040">
        <f t="shared" si="4"/>
        <v>0</v>
      </c>
      <c r="N37" s="1040">
        <f t="shared" si="4"/>
        <v>0</v>
      </c>
    </row>
    <row r="38" spans="1:14" x14ac:dyDescent="0.25">
      <c r="A38" s="1041" t="s">
        <v>359</v>
      </c>
      <c r="B38" s="1042" t="s">
        <v>314</v>
      </c>
      <c r="C38" s="1043">
        <f t="shared" ref="C38:N38" si="5">ROUND(C37*C35,0)</f>
        <v>26389908830</v>
      </c>
      <c r="D38" s="1043">
        <f t="shared" si="5"/>
        <v>0</v>
      </c>
      <c r="E38" s="1043">
        <f t="shared" si="5"/>
        <v>0</v>
      </c>
      <c r="F38" s="1043">
        <f t="shared" si="5"/>
        <v>0</v>
      </c>
      <c r="G38" s="1043">
        <f t="shared" si="5"/>
        <v>0</v>
      </c>
      <c r="H38" s="1043">
        <f t="shared" si="5"/>
        <v>0</v>
      </c>
      <c r="I38" s="1043">
        <f t="shared" si="5"/>
        <v>0</v>
      </c>
      <c r="J38" s="1043">
        <f t="shared" si="5"/>
        <v>0</v>
      </c>
      <c r="K38" s="1043">
        <f t="shared" si="5"/>
        <v>0</v>
      </c>
      <c r="L38" s="1043">
        <f t="shared" si="5"/>
        <v>0</v>
      </c>
      <c r="M38" s="1043">
        <f t="shared" si="5"/>
        <v>0</v>
      </c>
      <c r="N38" s="1043">
        <f t="shared" si="5"/>
        <v>0</v>
      </c>
    </row>
    <row r="39" spans="1:14" x14ac:dyDescent="0.25">
      <c r="A39" s="1034" t="s">
        <v>357</v>
      </c>
      <c r="B39" s="1035"/>
      <c r="C39" s="1036"/>
      <c r="D39" s="1036"/>
      <c r="E39" s="1036"/>
      <c r="F39" s="1036"/>
      <c r="G39" s="1036"/>
      <c r="H39" s="1011"/>
      <c r="I39" s="1036"/>
      <c r="J39" s="1037"/>
      <c r="K39" s="1036"/>
      <c r="L39" s="1036"/>
      <c r="M39" s="1036"/>
      <c r="N39" s="1036"/>
    </row>
    <row r="40" spans="1:14" x14ac:dyDescent="0.25">
      <c r="A40" s="1012" t="s">
        <v>307</v>
      </c>
      <c r="B40" s="1013" t="s">
        <v>308</v>
      </c>
      <c r="C40" s="1019">
        <v>4439.7745024138048</v>
      </c>
      <c r="D40" s="1019"/>
      <c r="E40" s="1019"/>
      <c r="F40" s="1019"/>
      <c r="G40" s="1019"/>
      <c r="H40" s="1019"/>
      <c r="I40" s="1019"/>
      <c r="J40" s="1019"/>
      <c r="K40" s="1019"/>
      <c r="L40" s="1019"/>
      <c r="M40" s="1019"/>
      <c r="N40" s="1019"/>
    </row>
    <row r="41" spans="1:14" x14ac:dyDescent="0.25">
      <c r="A41" s="1038" t="s">
        <v>309</v>
      </c>
      <c r="B41" s="1039" t="s">
        <v>208</v>
      </c>
      <c r="C41" s="1038">
        <v>1.2E-2</v>
      </c>
      <c r="D41" s="1038"/>
      <c r="E41" s="1038"/>
      <c r="F41" s="1038"/>
      <c r="G41" s="1038"/>
      <c r="H41" s="1038"/>
      <c r="I41" s="1038"/>
      <c r="J41" s="1038"/>
      <c r="K41" s="1038"/>
      <c r="L41" s="1038"/>
      <c r="M41" s="1038"/>
      <c r="N41" s="1038"/>
    </row>
    <row r="42" spans="1:14" x14ac:dyDescent="0.25">
      <c r="A42" s="1019" t="s">
        <v>310</v>
      </c>
      <c r="B42" s="1024" t="s">
        <v>308</v>
      </c>
      <c r="C42" s="1014">
        <f>C40*C41/100</f>
        <v>0.5327729402896566</v>
      </c>
      <c r="D42" s="1014">
        <f>ROUND((D40*D41/100),3)</f>
        <v>0</v>
      </c>
      <c r="E42" s="1014">
        <f t="shared" ref="E42:N42" si="6">ROUND((E40*E41/100),3)</f>
        <v>0</v>
      </c>
      <c r="F42" s="1014">
        <f t="shared" si="6"/>
        <v>0</v>
      </c>
      <c r="G42" s="1014">
        <f t="shared" si="6"/>
        <v>0</v>
      </c>
      <c r="H42" s="1014">
        <f t="shared" si="6"/>
        <v>0</v>
      </c>
      <c r="I42" s="1014">
        <f t="shared" si="6"/>
        <v>0</v>
      </c>
      <c r="J42" s="1014">
        <f t="shared" si="6"/>
        <v>0</v>
      </c>
      <c r="K42" s="1014">
        <f t="shared" si="6"/>
        <v>0</v>
      </c>
      <c r="L42" s="1014">
        <f t="shared" si="6"/>
        <v>0</v>
      </c>
      <c r="M42" s="1014">
        <f t="shared" si="6"/>
        <v>0</v>
      </c>
      <c r="N42" s="1014">
        <f t="shared" si="6"/>
        <v>0</v>
      </c>
    </row>
    <row r="43" spans="1:14" x14ac:dyDescent="0.25">
      <c r="A43" s="1019" t="s">
        <v>311</v>
      </c>
      <c r="B43" s="1024" t="s">
        <v>308</v>
      </c>
      <c r="C43" s="1014">
        <f t="shared" ref="C43" si="7">C40-C42</f>
        <v>4439.2417294735151</v>
      </c>
      <c r="D43" s="1014">
        <f>ROUND((D40-D42),3)</f>
        <v>0</v>
      </c>
      <c r="E43" s="1014">
        <f t="shared" ref="E43:N43" si="8">ROUND((E40-E42),3)</f>
        <v>0</v>
      </c>
      <c r="F43" s="1014">
        <f t="shared" si="8"/>
        <v>0</v>
      </c>
      <c r="G43" s="1014">
        <f t="shared" si="8"/>
        <v>0</v>
      </c>
      <c r="H43" s="1014">
        <f t="shared" si="8"/>
        <v>0</v>
      </c>
      <c r="I43" s="1014">
        <f t="shared" si="8"/>
        <v>0</v>
      </c>
      <c r="J43" s="1014">
        <f t="shared" si="8"/>
        <v>0</v>
      </c>
      <c r="K43" s="1014">
        <f t="shared" si="8"/>
        <v>0</v>
      </c>
      <c r="L43" s="1014">
        <f t="shared" si="8"/>
        <v>0</v>
      </c>
      <c r="M43" s="1014">
        <f t="shared" si="8"/>
        <v>0</v>
      </c>
      <c r="N43" s="1014">
        <f t="shared" si="8"/>
        <v>0</v>
      </c>
    </row>
    <row r="44" spans="1:14" x14ac:dyDescent="0.25">
      <c r="A44" s="1019" t="s">
        <v>315</v>
      </c>
      <c r="B44" s="1024" t="s">
        <v>283</v>
      </c>
      <c r="C44" s="1044">
        <f>C11*C13*(1-C15*C16*C17*C18)-C19-C24-C30</f>
        <v>-70587830.149790719</v>
      </c>
      <c r="D44" s="1044">
        <f t="shared" ref="D44:N44" si="9">D11*D13*(1-D15*D16*D17*D18)-D19-D24-D30</f>
        <v>0</v>
      </c>
      <c r="E44" s="1044">
        <f t="shared" si="9"/>
        <v>0</v>
      </c>
      <c r="F44" s="1044">
        <f t="shared" si="9"/>
        <v>0</v>
      </c>
      <c r="G44" s="1044">
        <f t="shared" si="9"/>
        <v>0</v>
      </c>
      <c r="H44" s="1044">
        <f t="shared" si="9"/>
        <v>0</v>
      </c>
      <c r="I44" s="1044">
        <f>ROUND((I11*I13*(1-I15*I16*I17*I18)-I19-I24-I30),4)</f>
        <v>0</v>
      </c>
      <c r="J44" s="1044">
        <f t="shared" si="9"/>
        <v>0</v>
      </c>
      <c r="K44" s="1044">
        <f t="shared" si="9"/>
        <v>0</v>
      </c>
      <c r="L44" s="1044">
        <f t="shared" si="9"/>
        <v>0</v>
      </c>
      <c r="M44" s="1044">
        <f t="shared" si="9"/>
        <v>0</v>
      </c>
      <c r="N44" s="1044">
        <f t="shared" si="9"/>
        <v>0</v>
      </c>
    </row>
    <row r="45" spans="1:14" x14ac:dyDescent="0.25">
      <c r="A45" s="1012" t="s">
        <v>313</v>
      </c>
      <c r="B45" s="1013" t="s">
        <v>283</v>
      </c>
      <c r="C45" s="1040">
        <f t="shared" ref="C45:N45" si="10">C10*C13-C44</f>
        <v>70594381.431885868</v>
      </c>
      <c r="D45" s="1040">
        <f t="shared" si="10"/>
        <v>0</v>
      </c>
      <c r="E45" s="1040">
        <f t="shared" si="10"/>
        <v>0</v>
      </c>
      <c r="F45" s="1040">
        <f t="shared" si="10"/>
        <v>0</v>
      </c>
      <c r="G45" s="1040">
        <f t="shared" si="10"/>
        <v>0</v>
      </c>
      <c r="H45" s="1040">
        <f t="shared" si="10"/>
        <v>0</v>
      </c>
      <c r="I45" s="1040">
        <f>ROUND((I10*I13-I44),4)</f>
        <v>0</v>
      </c>
      <c r="J45" s="1040">
        <f t="shared" si="10"/>
        <v>0</v>
      </c>
      <c r="K45" s="1040">
        <f t="shared" si="10"/>
        <v>0</v>
      </c>
      <c r="L45" s="1040">
        <f t="shared" si="10"/>
        <v>0</v>
      </c>
      <c r="M45" s="1040">
        <f t="shared" si="10"/>
        <v>0</v>
      </c>
      <c r="N45" s="1040">
        <f t="shared" si="10"/>
        <v>0</v>
      </c>
    </row>
    <row r="46" spans="1:14" x14ac:dyDescent="0.25">
      <c r="A46" s="1041" t="s">
        <v>360</v>
      </c>
      <c r="B46" s="1042" t="s">
        <v>314</v>
      </c>
      <c r="C46" s="1043">
        <f>ROUND(C45*C43,0)</f>
        <v>313385523919</v>
      </c>
      <c r="D46" s="1043">
        <f>ROUND(D45*D43,0)</f>
        <v>0</v>
      </c>
      <c r="E46" s="1043">
        <f>ROUND(E45*E43,0)</f>
        <v>0</v>
      </c>
      <c r="F46" s="1043">
        <f t="shared" ref="F46:N46" si="11">ROUND(F45*F43,0)</f>
        <v>0</v>
      </c>
      <c r="G46" s="1043">
        <f t="shared" si="11"/>
        <v>0</v>
      </c>
      <c r="H46" s="1043">
        <f t="shared" si="11"/>
        <v>0</v>
      </c>
      <c r="I46" s="1043">
        <f t="shared" si="11"/>
        <v>0</v>
      </c>
      <c r="J46" s="1043">
        <f t="shared" si="11"/>
        <v>0</v>
      </c>
      <c r="K46" s="1043">
        <f t="shared" si="11"/>
        <v>0</v>
      </c>
      <c r="L46" s="1043">
        <f t="shared" si="11"/>
        <v>0</v>
      </c>
      <c r="M46" s="1043">
        <f t="shared" si="11"/>
        <v>0</v>
      </c>
      <c r="N46" s="1043">
        <f t="shared" si="11"/>
        <v>0</v>
      </c>
    </row>
    <row r="47" spans="1:14" x14ac:dyDescent="0.25">
      <c r="A47" s="1034" t="s">
        <v>358</v>
      </c>
      <c r="B47" s="1035"/>
      <c r="C47" s="1036"/>
      <c r="D47" s="1036"/>
      <c r="E47" s="1036"/>
      <c r="F47" s="1036"/>
      <c r="G47" s="1036"/>
      <c r="H47" s="1011"/>
      <c r="I47" s="1036"/>
      <c r="J47" s="1037"/>
      <c r="K47" s="1036"/>
      <c r="L47" s="1036"/>
      <c r="M47" s="1036"/>
      <c r="N47" s="1036"/>
    </row>
    <row r="48" spans="1:14" x14ac:dyDescent="0.25">
      <c r="A48" s="1012" t="s">
        <v>307</v>
      </c>
      <c r="B48" s="1013" t="s">
        <v>308</v>
      </c>
      <c r="C48" s="1019">
        <v>49.945304706089914</v>
      </c>
      <c r="D48" s="1019"/>
      <c r="E48" s="1019"/>
      <c r="F48" s="1045"/>
      <c r="G48" s="1019"/>
      <c r="H48" s="1019"/>
      <c r="I48" s="1019"/>
      <c r="J48" s="1019"/>
      <c r="K48" s="1019"/>
      <c r="L48" s="1019"/>
      <c r="M48" s="1019"/>
      <c r="N48" s="1019"/>
    </row>
    <row r="49" spans="1:15" x14ac:dyDescent="0.25">
      <c r="A49" s="1038" t="s">
        <v>309</v>
      </c>
      <c r="B49" s="1039" t="s">
        <v>208</v>
      </c>
      <c r="C49" s="1038">
        <v>1.4E-2</v>
      </c>
      <c r="D49" s="1038"/>
      <c r="E49" s="1038"/>
      <c r="F49" s="1038"/>
      <c r="G49" s="1038"/>
      <c r="H49" s="1038"/>
      <c r="I49" s="1038"/>
      <c r="J49" s="1038"/>
      <c r="K49" s="1038"/>
      <c r="L49" s="1038"/>
      <c r="M49" s="1038"/>
      <c r="N49" s="1038"/>
    </row>
    <row r="50" spans="1:15" x14ac:dyDescent="0.25">
      <c r="A50" s="1019" t="s">
        <v>310</v>
      </c>
      <c r="B50" s="1024" t="s">
        <v>308</v>
      </c>
      <c r="C50" s="1014">
        <f>C48*C49/100</f>
        <v>6.9923426588525883E-3</v>
      </c>
      <c r="D50" s="1014">
        <f>ROUND((D48*D49/100),3)</f>
        <v>0</v>
      </c>
      <c r="E50" s="1014">
        <f t="shared" ref="E50:H50" si="12">E48*E49/100</f>
        <v>0</v>
      </c>
      <c r="F50" s="1014">
        <f t="shared" si="12"/>
        <v>0</v>
      </c>
      <c r="G50" s="1014">
        <f t="shared" si="12"/>
        <v>0</v>
      </c>
      <c r="H50" s="1014">
        <f t="shared" si="12"/>
        <v>0</v>
      </c>
      <c r="I50" s="1014">
        <f>ROUND((I48*I49/100),3)</f>
        <v>0</v>
      </c>
      <c r="J50" s="1014">
        <f t="shared" ref="J50:N50" si="13">ROUND((J48*J49/100),3)</f>
        <v>0</v>
      </c>
      <c r="K50" s="1014">
        <f t="shared" si="13"/>
        <v>0</v>
      </c>
      <c r="L50" s="1014">
        <f t="shared" si="13"/>
        <v>0</v>
      </c>
      <c r="M50" s="1014">
        <f t="shared" si="13"/>
        <v>0</v>
      </c>
      <c r="N50" s="1014">
        <f t="shared" si="13"/>
        <v>0</v>
      </c>
    </row>
    <row r="51" spans="1:15" x14ac:dyDescent="0.25">
      <c r="A51" s="1019" t="s">
        <v>311</v>
      </c>
      <c r="B51" s="1024" t="s">
        <v>308</v>
      </c>
      <c r="C51" s="1014">
        <f t="shared" ref="C51:H51" si="14">C48-C50</f>
        <v>49.938312363431059</v>
      </c>
      <c r="D51" s="1014">
        <f>ROUND((D48-D50),3)</f>
        <v>0</v>
      </c>
      <c r="E51" s="1014">
        <f t="shared" si="14"/>
        <v>0</v>
      </c>
      <c r="F51" s="1014">
        <f t="shared" si="14"/>
        <v>0</v>
      </c>
      <c r="G51" s="1014">
        <f t="shared" si="14"/>
        <v>0</v>
      </c>
      <c r="H51" s="1014">
        <f t="shared" si="14"/>
        <v>0</v>
      </c>
      <c r="I51" s="1014">
        <f>ROUND((I48-I50),3)</f>
        <v>0</v>
      </c>
      <c r="J51" s="1014">
        <f t="shared" ref="J51:N51" si="15">ROUND((J48-J50),3)</f>
        <v>0</v>
      </c>
      <c r="K51" s="1014">
        <f t="shared" si="15"/>
        <v>0</v>
      </c>
      <c r="L51" s="1014">
        <f t="shared" si="15"/>
        <v>0</v>
      </c>
      <c r="M51" s="1014">
        <f t="shared" si="15"/>
        <v>0</v>
      </c>
      <c r="N51" s="1014">
        <f t="shared" si="15"/>
        <v>0</v>
      </c>
    </row>
    <row r="52" spans="1:15" x14ac:dyDescent="0.25">
      <c r="A52" s="1038" t="s">
        <v>316</v>
      </c>
      <c r="B52" s="1039"/>
      <c r="C52" s="1046">
        <v>0.38500000000000001</v>
      </c>
      <c r="D52" s="1046"/>
      <c r="E52" s="1046"/>
      <c r="F52" s="1046"/>
      <c r="G52" s="1046"/>
      <c r="H52" s="1046"/>
      <c r="I52" s="1046"/>
      <c r="J52" s="1046"/>
      <c r="K52" s="1046"/>
      <c r="L52" s="1046"/>
      <c r="M52" s="1046"/>
      <c r="N52" s="1046"/>
    </row>
    <row r="53" spans="1:15" x14ac:dyDescent="0.25">
      <c r="A53" s="1012" t="s">
        <v>312</v>
      </c>
      <c r="B53" s="1013" t="s">
        <v>283</v>
      </c>
      <c r="C53" s="1040">
        <f>C11*C13*(1-C16*C52*C18)-C19-C24-C30</f>
        <v>-230308.19187993454</v>
      </c>
      <c r="D53" s="1040">
        <f t="shared" ref="D53:N53" si="16">D11*D13*(1-D16*D52*D18)-D19-D24-D30</f>
        <v>0</v>
      </c>
      <c r="E53" s="1040">
        <f t="shared" si="16"/>
        <v>0</v>
      </c>
      <c r="F53" s="1040">
        <f t="shared" si="16"/>
        <v>0</v>
      </c>
      <c r="G53" s="1040">
        <f t="shared" si="16"/>
        <v>0</v>
      </c>
      <c r="H53" s="1040">
        <f t="shared" si="16"/>
        <v>0</v>
      </c>
      <c r="I53" s="1040">
        <f>ROUND((I11*I13*(1-I16*I52*I18)-I19-I24-I30),4)</f>
        <v>0</v>
      </c>
      <c r="J53" s="1040">
        <f t="shared" si="16"/>
        <v>0</v>
      </c>
      <c r="K53" s="1040">
        <f t="shared" si="16"/>
        <v>0</v>
      </c>
      <c r="L53" s="1040">
        <f t="shared" si="16"/>
        <v>0</v>
      </c>
      <c r="M53" s="1040">
        <f t="shared" si="16"/>
        <v>0</v>
      </c>
      <c r="N53" s="1040">
        <f t="shared" si="16"/>
        <v>0</v>
      </c>
    </row>
    <row r="54" spans="1:15" x14ac:dyDescent="0.25">
      <c r="A54" s="1012" t="s">
        <v>313</v>
      </c>
      <c r="B54" s="1013" t="s">
        <v>283</v>
      </c>
      <c r="C54" s="1040">
        <f t="shared" ref="C54:N54" si="17">C10*C13-C53</f>
        <v>236859.47397508717</v>
      </c>
      <c r="D54" s="1040">
        <f t="shared" si="17"/>
        <v>0</v>
      </c>
      <c r="E54" s="1040">
        <f t="shared" si="17"/>
        <v>0</v>
      </c>
      <c r="F54" s="1040">
        <f t="shared" si="17"/>
        <v>0</v>
      </c>
      <c r="G54" s="1040">
        <f t="shared" si="17"/>
        <v>0</v>
      </c>
      <c r="H54" s="1040">
        <f t="shared" si="17"/>
        <v>0</v>
      </c>
      <c r="I54" s="1040">
        <f>ROUND((I10*I13-I53),4)</f>
        <v>0</v>
      </c>
      <c r="J54" s="1040">
        <f t="shared" si="17"/>
        <v>0</v>
      </c>
      <c r="K54" s="1040">
        <f t="shared" si="17"/>
        <v>0</v>
      </c>
      <c r="L54" s="1040">
        <f t="shared" si="17"/>
        <v>0</v>
      </c>
      <c r="M54" s="1040">
        <f t="shared" si="17"/>
        <v>0</v>
      </c>
      <c r="N54" s="1040">
        <f t="shared" si="17"/>
        <v>0</v>
      </c>
    </row>
    <row r="55" spans="1:15" x14ac:dyDescent="0.25">
      <c r="A55" s="1041" t="s">
        <v>361</v>
      </c>
      <c r="B55" s="1042" t="s">
        <v>314</v>
      </c>
      <c r="C55" s="1043">
        <f t="shared" ref="C55:H55" si="18">ROUND(C54*C51,0)</f>
        <v>11828362</v>
      </c>
      <c r="D55" s="1043">
        <f t="shared" si="18"/>
        <v>0</v>
      </c>
      <c r="E55" s="1043">
        <f t="shared" si="18"/>
        <v>0</v>
      </c>
      <c r="F55" s="1043">
        <f t="shared" si="18"/>
        <v>0</v>
      </c>
      <c r="G55" s="1043">
        <f t="shared" si="18"/>
        <v>0</v>
      </c>
      <c r="H55" s="1043">
        <f t="shared" si="18"/>
        <v>0</v>
      </c>
      <c r="I55" s="1043">
        <f>ROUND(I54*I51,0)</f>
        <v>0</v>
      </c>
      <c r="J55" s="1043">
        <f t="shared" ref="J55" si="19">ROUND(J54*J51,0)</f>
        <v>0</v>
      </c>
      <c r="K55" s="1043">
        <f>ROUND(K54*K51,0)</f>
        <v>0</v>
      </c>
      <c r="L55" s="1043">
        <f>ROUND(L54*L51,0)</f>
        <v>0</v>
      </c>
      <c r="M55" s="1043">
        <f>ROUND(M54*M51,0)</f>
        <v>0</v>
      </c>
      <c r="N55" s="1043">
        <f>ROUND(N54*N51,0)</f>
        <v>0</v>
      </c>
    </row>
    <row r="56" spans="1:15" x14ac:dyDescent="0.25">
      <c r="A56" s="1047" t="s">
        <v>317</v>
      </c>
      <c r="B56" s="1048"/>
      <c r="C56" s="1049">
        <f>C38+C46+C55</f>
        <v>339787261111</v>
      </c>
      <c r="D56" s="1049">
        <f t="shared" ref="D56:N56" si="20">D38+D46+D55</f>
        <v>0</v>
      </c>
      <c r="E56" s="1049">
        <f t="shared" si="20"/>
        <v>0</v>
      </c>
      <c r="F56" s="1049">
        <f t="shared" si="20"/>
        <v>0</v>
      </c>
      <c r="G56" s="1049">
        <f t="shared" si="20"/>
        <v>0</v>
      </c>
      <c r="H56" s="1049">
        <f t="shared" si="20"/>
        <v>0</v>
      </c>
      <c r="I56" s="1049">
        <f t="shared" si="20"/>
        <v>0</v>
      </c>
      <c r="J56" s="1049">
        <f t="shared" si="20"/>
        <v>0</v>
      </c>
      <c r="K56" s="1049">
        <f t="shared" si="20"/>
        <v>0</v>
      </c>
      <c r="L56" s="1049">
        <f t="shared" si="20"/>
        <v>0</v>
      </c>
      <c r="M56" s="1049">
        <f t="shared" si="20"/>
        <v>0</v>
      </c>
      <c r="N56" s="1049">
        <f t="shared" si="20"/>
        <v>0</v>
      </c>
      <c r="O56" s="1050"/>
    </row>
    <row r="57" spans="1:15" x14ac:dyDescent="0.25">
      <c r="A57" s="1007" t="s">
        <v>318</v>
      </c>
      <c r="C57" s="1007">
        <f t="shared" ref="C57:N57" si="21">C32+C40+C48</f>
        <v>4863.5854250956127</v>
      </c>
      <c r="D57" s="1007">
        <f t="shared" si="21"/>
        <v>0</v>
      </c>
      <c r="E57" s="1007">
        <f t="shared" si="21"/>
        <v>0</v>
      </c>
      <c r="F57" s="1007">
        <f t="shared" si="21"/>
        <v>0</v>
      </c>
      <c r="G57" s="1007">
        <f t="shared" si="21"/>
        <v>0</v>
      </c>
      <c r="H57" s="1007">
        <f t="shared" si="21"/>
        <v>0</v>
      </c>
      <c r="I57" s="1007">
        <f t="shared" si="21"/>
        <v>0</v>
      </c>
      <c r="J57" s="1007">
        <f t="shared" si="21"/>
        <v>0</v>
      </c>
      <c r="K57" s="1007">
        <f t="shared" si="21"/>
        <v>0</v>
      </c>
      <c r="L57" s="1007">
        <f t="shared" si="21"/>
        <v>0</v>
      </c>
      <c r="M57" s="1007">
        <f t="shared" si="21"/>
        <v>0</v>
      </c>
      <c r="N57" s="1007">
        <f t="shared" si="21"/>
        <v>0</v>
      </c>
    </row>
    <row r="58" spans="1:15" x14ac:dyDescent="0.25">
      <c r="A58" s="1007" t="s">
        <v>356</v>
      </c>
      <c r="C58" s="1051">
        <v>33644741.478737436</v>
      </c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</row>
    <row r="59" spans="1:15" x14ac:dyDescent="0.25">
      <c r="A59" s="1007" t="s">
        <v>357</v>
      </c>
      <c r="C59" s="1051">
        <v>38081497.687929966</v>
      </c>
      <c r="D59" s="1051"/>
      <c r="E59" s="1051"/>
      <c r="F59" s="1051"/>
      <c r="G59" s="1051"/>
      <c r="H59" s="1051"/>
      <c r="I59" s="1051"/>
      <c r="J59" s="1051"/>
      <c r="K59" s="1051"/>
      <c r="L59" s="1051"/>
      <c r="M59" s="1051"/>
      <c r="N59" s="1051"/>
    </row>
    <row r="60" spans="1:15" x14ac:dyDescent="0.25">
      <c r="A60" s="1007" t="s">
        <v>358</v>
      </c>
      <c r="C60" s="1051">
        <v>8189764.1021180823</v>
      </c>
      <c r="D60" s="1051"/>
      <c r="E60" s="1051"/>
      <c r="F60" s="1051"/>
      <c r="G60" s="1051"/>
      <c r="H60" s="1051"/>
      <c r="I60" s="1051"/>
      <c r="J60" s="1051"/>
      <c r="K60" s="1051"/>
      <c r="L60" s="1051"/>
      <c r="M60" s="1051"/>
      <c r="N60" s="1051"/>
    </row>
    <row r="61" spans="1:15" x14ac:dyDescent="0.25">
      <c r="A61" s="1052" t="s">
        <v>319</v>
      </c>
      <c r="B61" s="1052"/>
      <c r="C61" s="1053">
        <f>C58+C59+C60</f>
        <v>79916003.268785477</v>
      </c>
      <c r="D61" s="1053">
        <f>SUM(D58:D60)</f>
        <v>0</v>
      </c>
      <c r="E61" s="1053">
        <f t="shared" ref="E61:J61" si="22">E58+E59+E60</f>
        <v>0</v>
      </c>
      <c r="F61" s="1053">
        <f t="shared" si="22"/>
        <v>0</v>
      </c>
      <c r="G61" s="1053">
        <f t="shared" si="22"/>
        <v>0</v>
      </c>
      <c r="H61" s="1053">
        <f t="shared" si="22"/>
        <v>0</v>
      </c>
      <c r="I61" s="1053">
        <f t="shared" si="22"/>
        <v>0</v>
      </c>
      <c r="J61" s="1053">
        <f t="shared" si="22"/>
        <v>0</v>
      </c>
      <c r="K61" s="1053">
        <f>K58+K59+K60</f>
        <v>0</v>
      </c>
      <c r="L61" s="1053">
        <f t="shared" ref="L61:N61" si="23">L58+L59+L60</f>
        <v>0</v>
      </c>
      <c r="M61" s="1053">
        <f t="shared" si="23"/>
        <v>0</v>
      </c>
      <c r="N61" s="1053">
        <f t="shared" si="23"/>
        <v>0</v>
      </c>
    </row>
    <row r="62" spans="1:15" x14ac:dyDescent="0.25">
      <c r="A62" s="1007" t="s">
        <v>356</v>
      </c>
      <c r="C62" s="1051">
        <f t="shared" ref="C62:M62" si="24">C38-C58</f>
        <v>26356264088.521263</v>
      </c>
      <c r="D62" s="1051">
        <f t="shared" si="24"/>
        <v>0</v>
      </c>
      <c r="E62" s="1051">
        <f t="shared" si="24"/>
        <v>0</v>
      </c>
      <c r="F62" s="1051">
        <f t="shared" si="24"/>
        <v>0</v>
      </c>
      <c r="G62" s="1051">
        <f t="shared" si="24"/>
        <v>0</v>
      </c>
      <c r="H62" s="1051">
        <f t="shared" si="24"/>
        <v>0</v>
      </c>
      <c r="I62" s="1051">
        <f t="shared" si="24"/>
        <v>0</v>
      </c>
      <c r="J62" s="1051">
        <f t="shared" si="24"/>
        <v>0</v>
      </c>
      <c r="K62" s="1051">
        <f t="shared" si="24"/>
        <v>0</v>
      </c>
      <c r="L62" s="1051">
        <f t="shared" si="24"/>
        <v>0</v>
      </c>
      <c r="M62" s="1051">
        <f t="shared" si="24"/>
        <v>0</v>
      </c>
      <c r="N62" s="1051"/>
    </row>
    <row r="63" spans="1:15" x14ac:dyDescent="0.25">
      <c r="A63" s="1007" t="s">
        <v>357</v>
      </c>
      <c r="C63" s="1051">
        <f t="shared" ref="C63:M63" si="25">C46-C59</f>
        <v>313347442421.31207</v>
      </c>
      <c r="D63" s="1051">
        <f t="shared" si="25"/>
        <v>0</v>
      </c>
      <c r="E63" s="1051">
        <f t="shared" si="25"/>
        <v>0</v>
      </c>
      <c r="F63" s="1051">
        <f t="shared" si="25"/>
        <v>0</v>
      </c>
      <c r="G63" s="1051">
        <f t="shared" si="25"/>
        <v>0</v>
      </c>
      <c r="H63" s="1051">
        <f t="shared" si="25"/>
        <v>0</v>
      </c>
      <c r="I63" s="1051">
        <f t="shared" si="25"/>
        <v>0</v>
      </c>
      <c r="J63" s="1051">
        <f t="shared" si="25"/>
        <v>0</v>
      </c>
      <c r="K63" s="1051">
        <f t="shared" si="25"/>
        <v>0</v>
      </c>
      <c r="L63" s="1051">
        <f t="shared" si="25"/>
        <v>0</v>
      </c>
      <c r="M63" s="1051">
        <f t="shared" si="25"/>
        <v>0</v>
      </c>
      <c r="N63" s="1051"/>
    </row>
    <row r="64" spans="1:15" x14ac:dyDescent="0.25">
      <c r="A64" s="1007" t="s">
        <v>358</v>
      </c>
      <c r="C64" s="1051">
        <f t="shared" ref="C64:M64" si="26">C55-C60</f>
        <v>3638597.8978819177</v>
      </c>
      <c r="D64" s="1051">
        <f t="shared" si="26"/>
        <v>0</v>
      </c>
      <c r="E64" s="1051">
        <f t="shared" si="26"/>
        <v>0</v>
      </c>
      <c r="F64" s="1051">
        <f t="shared" si="26"/>
        <v>0</v>
      </c>
      <c r="G64" s="1051">
        <f t="shared" si="26"/>
        <v>0</v>
      </c>
      <c r="H64" s="1051">
        <f t="shared" si="26"/>
        <v>0</v>
      </c>
      <c r="I64" s="1051">
        <f t="shared" si="26"/>
        <v>0</v>
      </c>
      <c r="J64" s="1051">
        <f t="shared" si="26"/>
        <v>0</v>
      </c>
      <c r="K64" s="1051">
        <f t="shared" si="26"/>
        <v>0</v>
      </c>
      <c r="L64" s="1051">
        <f t="shared" si="26"/>
        <v>0</v>
      </c>
      <c r="M64" s="1051">
        <f t="shared" si="26"/>
        <v>0</v>
      </c>
      <c r="N64" s="1051"/>
    </row>
    <row r="65" spans="1:14" x14ac:dyDescent="0.25">
      <c r="A65" s="1052" t="s">
        <v>320</v>
      </c>
      <c r="B65" s="1052"/>
      <c r="C65" s="1053">
        <f t="shared" ref="C65:N65" si="27">C62+C63+C64</f>
        <v>339707345107.7312</v>
      </c>
      <c r="D65" s="1053">
        <f t="shared" si="27"/>
        <v>0</v>
      </c>
      <c r="E65" s="1053">
        <f t="shared" si="27"/>
        <v>0</v>
      </c>
      <c r="F65" s="1053">
        <f t="shared" si="27"/>
        <v>0</v>
      </c>
      <c r="G65" s="1053">
        <f t="shared" si="27"/>
        <v>0</v>
      </c>
      <c r="H65" s="1053">
        <f t="shared" si="27"/>
        <v>0</v>
      </c>
      <c r="I65" s="1053">
        <f t="shared" si="27"/>
        <v>0</v>
      </c>
      <c r="J65" s="1053">
        <f t="shared" si="27"/>
        <v>0</v>
      </c>
      <c r="K65" s="1053">
        <f t="shared" si="27"/>
        <v>0</v>
      </c>
      <c r="L65" s="1053">
        <f t="shared" si="27"/>
        <v>0</v>
      </c>
      <c r="M65" s="1053">
        <f t="shared" si="27"/>
        <v>0</v>
      </c>
      <c r="N65" s="1053">
        <f t="shared" si="27"/>
        <v>0</v>
      </c>
    </row>
    <row r="66" spans="1:14" x14ac:dyDescent="0.25">
      <c r="A66" s="1007" t="s">
        <v>356</v>
      </c>
      <c r="C66" s="1051">
        <v>38932001.688754454</v>
      </c>
      <c r="D66" s="1051"/>
      <c r="E66" s="1051"/>
      <c r="G66" s="1051"/>
      <c r="H66" s="1051"/>
      <c r="I66" s="1051"/>
      <c r="J66" s="1051"/>
      <c r="K66" s="1051"/>
      <c r="L66" s="1051"/>
      <c r="M66" s="1051"/>
      <c r="N66" s="1051"/>
    </row>
    <row r="67" spans="1:14" x14ac:dyDescent="0.25">
      <c r="A67" s="1007" t="s">
        <v>357</v>
      </c>
      <c r="C67" s="1051">
        <v>42844330.222648509</v>
      </c>
      <c r="D67" s="1051"/>
      <c r="E67" s="1051"/>
      <c r="G67" s="1051"/>
      <c r="H67" s="1051"/>
      <c r="I67" s="1051"/>
      <c r="J67" s="1051"/>
      <c r="K67" s="1051"/>
      <c r="L67" s="1051"/>
      <c r="M67" s="1051"/>
      <c r="N67" s="1051"/>
    </row>
    <row r="68" spans="1:14" x14ac:dyDescent="0.25">
      <c r="A68" s="1007" t="s">
        <v>358</v>
      </c>
      <c r="C68" s="1051">
        <v>9471224.6662457101</v>
      </c>
      <c r="D68" s="1051"/>
      <c r="E68" s="1051"/>
      <c r="G68" s="1051"/>
      <c r="H68" s="1051"/>
      <c r="I68" s="1051"/>
      <c r="J68" s="1051"/>
      <c r="K68" s="1051"/>
      <c r="L68" s="1051"/>
      <c r="M68" s="1051"/>
      <c r="N68" s="1051"/>
    </row>
    <row r="69" spans="1:14" x14ac:dyDescent="0.25">
      <c r="A69" s="1052" t="s">
        <v>319</v>
      </c>
      <c r="B69" s="1052"/>
      <c r="C69" s="1053">
        <f t="shared" ref="C69" si="28">SUM(C66:C68)</f>
        <v>91247556.577648684</v>
      </c>
      <c r="D69" s="1053"/>
      <c r="E69" s="1053">
        <f>SUM(E66:E68)</f>
        <v>0</v>
      </c>
      <c r="F69" s="1052"/>
      <c r="G69" s="1053"/>
      <c r="H69" s="1053"/>
      <c r="I69" s="1053"/>
      <c r="J69" s="1053"/>
      <c r="K69" s="1053"/>
      <c r="L69" s="1053"/>
      <c r="M69" s="1053"/>
      <c r="N69" s="1053"/>
    </row>
    <row r="70" spans="1:14" x14ac:dyDescent="0.25">
      <c r="A70" s="1007" t="s">
        <v>356</v>
      </c>
      <c r="C70" s="1051">
        <v>574146.85980723891</v>
      </c>
      <c r="E70" s="1051">
        <f>E38-E66</f>
        <v>0</v>
      </c>
      <c r="G70" s="1051"/>
      <c r="H70" s="1051"/>
      <c r="I70" s="1051"/>
      <c r="J70" s="1051"/>
      <c r="K70" s="1051"/>
      <c r="L70" s="1051"/>
      <c r="M70" s="1051"/>
      <c r="N70" s="1051"/>
    </row>
    <row r="71" spans="1:14" x14ac:dyDescent="0.25">
      <c r="A71" s="1007" t="s">
        <v>357</v>
      </c>
      <c r="C71" s="1007">
        <v>1053454.6858621365</v>
      </c>
      <c r="E71" s="1051">
        <f>E46-E67</f>
        <v>0</v>
      </c>
    </row>
    <row r="72" spans="1:14" x14ac:dyDescent="0.25">
      <c r="A72" s="1007" t="s">
        <v>358</v>
      </c>
      <c r="C72" s="1007">
        <v>2626.7734694438568</v>
      </c>
      <c r="E72" s="1051">
        <f>E55-E68</f>
        <v>0</v>
      </c>
    </row>
    <row r="73" spans="1:14" x14ac:dyDescent="0.25">
      <c r="A73" s="1052" t="s">
        <v>320</v>
      </c>
      <c r="B73" s="1052"/>
      <c r="C73" s="1053">
        <f t="shared" ref="C73" si="29">C70+C71+C72</f>
        <v>1630228.3191388194</v>
      </c>
      <c r="D73" s="1052"/>
      <c r="E73" s="1053">
        <f>E70+E71+E72</f>
        <v>0</v>
      </c>
      <c r="F73" s="1052"/>
    </row>
    <row r="74" spans="1:14" x14ac:dyDescent="0.25">
      <c r="C74" s="1007">
        <f t="shared" ref="C74:M74" si="30">C56/C57</f>
        <v>69863533.054797769</v>
      </c>
      <c r="D74" s="1007" t="e">
        <f t="shared" si="30"/>
        <v>#DIV/0!</v>
      </c>
      <c r="E74" s="1007" t="e">
        <f t="shared" si="30"/>
        <v>#DIV/0!</v>
      </c>
      <c r="F74" s="1007" t="e">
        <f t="shared" si="30"/>
        <v>#DIV/0!</v>
      </c>
      <c r="G74" s="1007" t="e">
        <f t="shared" si="30"/>
        <v>#DIV/0!</v>
      </c>
      <c r="H74" s="1007" t="e">
        <f t="shared" si="30"/>
        <v>#DIV/0!</v>
      </c>
      <c r="I74" s="1007" t="e">
        <f t="shared" si="30"/>
        <v>#DIV/0!</v>
      </c>
      <c r="J74" s="1007" t="e">
        <f t="shared" si="30"/>
        <v>#DIV/0!</v>
      </c>
      <c r="K74" s="1007" t="e">
        <f t="shared" si="30"/>
        <v>#DIV/0!</v>
      </c>
      <c r="L74" s="1007" t="e">
        <f t="shared" si="30"/>
        <v>#DIV/0!</v>
      </c>
      <c r="M74" s="1007" t="e">
        <f t="shared" si="30"/>
        <v>#DIV/0!</v>
      </c>
      <c r="N74" s="1007" t="e">
        <f>N56/N57</f>
        <v>#DIV/0!</v>
      </c>
    </row>
    <row r="75" spans="1:14" x14ac:dyDescent="0.25">
      <c r="E75" s="1051"/>
    </row>
    <row r="76" spans="1:14" x14ac:dyDescent="0.25">
      <c r="E76" s="1051"/>
    </row>
    <row r="77" spans="1:14" x14ac:dyDescent="0.25">
      <c r="E77" s="1051"/>
    </row>
    <row r="78" spans="1:14" x14ac:dyDescent="0.25">
      <c r="A78" s="1065"/>
      <c r="E78" s="1051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6"/>
  <sheetViews>
    <sheetView view="pageBreakPreview" zoomScale="85" zoomScaleNormal="85" zoomScaleSheetLayoutView="85" workbookViewId="0">
      <pane xSplit="1" ySplit="5" topLeftCell="C42" activePane="bottomRight" state="frozen"/>
      <selection activeCell="C12" sqref="C12"/>
      <selection pane="topRight" activeCell="C12" sqref="C12"/>
      <selection pane="bottomLeft" activeCell="C12" sqref="C12"/>
      <selection pane="bottomRight" activeCell="C81" sqref="C81"/>
    </sheetView>
  </sheetViews>
  <sheetFormatPr defaultColWidth="9.140625" defaultRowHeight="14.25" x14ac:dyDescent="0.25"/>
  <cols>
    <col min="1" max="1" width="52.5703125" style="1007" customWidth="1"/>
    <col min="2" max="2" width="12.140625" style="1007" customWidth="1"/>
    <col min="3" max="3" width="15" style="1007" customWidth="1"/>
    <col min="4" max="4" width="15.85546875" style="1007" customWidth="1"/>
    <col min="5" max="5" width="16.85546875" style="1007" customWidth="1"/>
    <col min="6" max="6" width="18" style="1007" customWidth="1"/>
    <col min="7" max="7" width="19.5703125" style="1007" customWidth="1"/>
    <col min="8" max="8" width="17.140625" style="1007" customWidth="1"/>
    <col min="9" max="9" width="18.28515625" style="1007" customWidth="1"/>
    <col min="10" max="11" width="15.7109375" style="1007" customWidth="1"/>
    <col min="12" max="12" width="17.5703125" style="1007" customWidth="1"/>
    <col min="13" max="15" width="19.28515625" style="1007" customWidth="1"/>
    <col min="16" max="16" width="15.140625" style="1007" bestFit="1" customWidth="1"/>
    <col min="17" max="16384" width="9.140625" style="1007"/>
  </cols>
  <sheetData>
    <row r="1" spans="1:15" x14ac:dyDescent="0.25">
      <c r="A1" s="1008" t="s">
        <v>354</v>
      </c>
    </row>
    <row r="3" spans="1:15" x14ac:dyDescent="0.25">
      <c r="A3" s="1008" t="s">
        <v>265</v>
      </c>
    </row>
    <row r="5" spans="1:15" x14ac:dyDescent="0.25">
      <c r="A5" s="1009">
        <v>2022</v>
      </c>
      <c r="B5" s="1009" t="s">
        <v>144</v>
      </c>
      <c r="C5" s="1009" t="s">
        <v>266</v>
      </c>
      <c r="D5" s="1009" t="s">
        <v>83</v>
      </c>
      <c r="E5" s="1057" t="s">
        <v>321</v>
      </c>
      <c r="F5" s="1009" t="s">
        <v>267</v>
      </c>
      <c r="G5" s="1009" t="s">
        <v>84</v>
      </c>
      <c r="H5" s="1009" t="s">
        <v>268</v>
      </c>
      <c r="I5" s="1009" t="s">
        <v>269</v>
      </c>
      <c r="J5" s="1009" t="s">
        <v>270</v>
      </c>
      <c r="K5" s="1009" t="s">
        <v>85</v>
      </c>
      <c r="L5" s="1009" t="s">
        <v>271</v>
      </c>
      <c r="M5" s="1009" t="s">
        <v>272</v>
      </c>
      <c r="N5" s="1009" t="s">
        <v>273</v>
      </c>
      <c r="O5" s="1009" t="s">
        <v>274</v>
      </c>
    </row>
    <row r="6" spans="1:15" x14ac:dyDescent="0.25">
      <c r="A6" s="1010" t="s">
        <v>275</v>
      </c>
      <c r="B6" s="1011"/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1011"/>
      <c r="O6" s="1011"/>
    </row>
    <row r="7" spans="1:15" x14ac:dyDescent="0.25">
      <c r="A7" s="1012" t="s">
        <v>276</v>
      </c>
      <c r="B7" s="1013" t="s">
        <v>277</v>
      </c>
      <c r="C7" s="1185">
        <v>47.915401624109649</v>
      </c>
      <c r="D7" s="1045"/>
      <c r="E7" s="1045"/>
      <c r="F7" s="1045"/>
      <c r="G7" s="1045"/>
      <c r="H7" s="1045"/>
      <c r="I7" s="1045"/>
      <c r="J7" s="1045"/>
      <c r="K7" s="1045"/>
      <c r="L7" s="1045"/>
      <c r="M7" s="1045"/>
      <c r="N7" s="1045"/>
      <c r="O7" s="1045"/>
    </row>
    <row r="8" spans="1:15" x14ac:dyDescent="0.25">
      <c r="A8" s="1012" t="s">
        <v>278</v>
      </c>
      <c r="B8" s="1013" t="s">
        <v>279</v>
      </c>
      <c r="C8" s="1186">
        <v>178.06923138231386</v>
      </c>
      <c r="D8" s="1016"/>
      <c r="E8" s="1045"/>
      <c r="F8" s="1016"/>
      <c r="G8" s="1016"/>
      <c r="H8" s="1016"/>
      <c r="I8" s="1016"/>
      <c r="J8" s="1016"/>
      <c r="K8" s="1016"/>
      <c r="L8" s="1016"/>
      <c r="M8" s="1016"/>
      <c r="N8" s="1016"/>
      <c r="O8" s="1016"/>
    </row>
    <row r="9" spans="1:15" x14ac:dyDescent="0.25">
      <c r="A9" s="1017" t="s">
        <v>280</v>
      </c>
      <c r="B9" s="1013" t="s">
        <v>281</v>
      </c>
      <c r="C9" s="1012">
        <v>67.821415943746501</v>
      </c>
      <c r="D9" s="1019"/>
      <c r="E9" s="1045"/>
      <c r="F9" s="1021"/>
      <c r="G9" s="1021"/>
      <c r="H9" s="1021"/>
      <c r="I9" s="1021"/>
      <c r="J9" s="1021"/>
      <c r="K9" s="1021"/>
      <c r="L9" s="1021"/>
      <c r="M9" s="1021"/>
      <c r="N9" s="1021"/>
      <c r="O9" s="1021"/>
    </row>
    <row r="10" spans="1:15" x14ac:dyDescent="0.25">
      <c r="A10" s="1017" t="s">
        <v>322</v>
      </c>
      <c r="B10" s="1013" t="s">
        <v>283</v>
      </c>
      <c r="C10" s="1012">
        <v>222.65191692190791</v>
      </c>
      <c r="D10" s="1019"/>
      <c r="E10" s="1045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</row>
    <row r="11" spans="1:15" x14ac:dyDescent="0.25">
      <c r="A11" s="1017" t="s">
        <v>323</v>
      </c>
      <c r="B11" s="1013" t="s">
        <v>283</v>
      </c>
      <c r="C11" s="1012">
        <v>178.94497631547227</v>
      </c>
      <c r="D11" s="1019"/>
      <c r="E11" s="1045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</row>
    <row r="12" spans="1:15" x14ac:dyDescent="0.25">
      <c r="A12" s="1017" t="s">
        <v>285</v>
      </c>
      <c r="B12" s="1013" t="s">
        <v>286</v>
      </c>
      <c r="C12" s="1012">
        <v>63.653119587394691</v>
      </c>
      <c r="D12" s="1019"/>
      <c r="E12" s="1045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</row>
    <row r="13" spans="1:15" x14ac:dyDescent="0.25">
      <c r="A13" s="1058" t="s">
        <v>324</v>
      </c>
      <c r="B13" s="1059" t="s">
        <v>283</v>
      </c>
      <c r="C13" s="1060">
        <f>ROUND((C9-15)/261*C12,4)</f>
        <v>12.882199999999999</v>
      </c>
      <c r="D13" s="1060">
        <f t="shared" ref="D13:O13" si="0">ROUND((D9-15)/261*D12,4)</f>
        <v>0</v>
      </c>
      <c r="E13" s="1062">
        <f>ROUND((E9-15)/261*E12,4)</f>
        <v>0</v>
      </c>
      <c r="F13" s="1062">
        <f>ROUND((F9-15)/261*F12,4)</f>
        <v>0</v>
      </c>
      <c r="G13" s="1060">
        <f t="shared" si="0"/>
        <v>0</v>
      </c>
      <c r="H13" s="1060">
        <f t="shared" si="0"/>
        <v>0</v>
      </c>
      <c r="I13" s="1060">
        <f t="shared" si="0"/>
        <v>0</v>
      </c>
      <c r="J13" s="1060">
        <f t="shared" si="0"/>
        <v>0</v>
      </c>
      <c r="K13" s="1060">
        <f t="shared" si="0"/>
        <v>0</v>
      </c>
      <c r="L13" s="1060">
        <f t="shared" si="0"/>
        <v>0</v>
      </c>
      <c r="M13" s="1062">
        <f t="shared" si="0"/>
        <v>0</v>
      </c>
      <c r="N13" s="1062">
        <f t="shared" si="0"/>
        <v>0</v>
      </c>
      <c r="O13" s="1062">
        <f t="shared" si="0"/>
        <v>0</v>
      </c>
    </row>
    <row r="14" spans="1:15" x14ac:dyDescent="0.25">
      <c r="A14" s="1017" t="s">
        <v>140</v>
      </c>
      <c r="B14" s="1013" t="s">
        <v>289</v>
      </c>
      <c r="C14" s="1012">
        <v>1</v>
      </c>
      <c r="D14" s="1019"/>
      <c r="E14" s="1019"/>
      <c r="F14" s="1019"/>
      <c r="G14" s="1019"/>
      <c r="H14" s="1019"/>
      <c r="I14" s="1019"/>
      <c r="J14" s="1019"/>
      <c r="K14" s="1019"/>
      <c r="L14" s="1019"/>
      <c r="M14" s="1019"/>
      <c r="N14" s="1019"/>
      <c r="O14" s="1019"/>
    </row>
    <row r="15" spans="1:15" x14ac:dyDescent="0.25">
      <c r="A15" s="1017" t="s">
        <v>145</v>
      </c>
      <c r="B15" s="1013" t="s">
        <v>289</v>
      </c>
      <c r="C15" s="1012">
        <v>1</v>
      </c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</row>
    <row r="16" spans="1:15" x14ac:dyDescent="0.25">
      <c r="A16" s="1017" t="s">
        <v>151</v>
      </c>
      <c r="B16" s="1013" t="s">
        <v>289</v>
      </c>
      <c r="C16" s="1012">
        <v>1</v>
      </c>
      <c r="D16" s="1019"/>
      <c r="E16" s="1019"/>
      <c r="F16" s="1019"/>
      <c r="G16" s="1019"/>
      <c r="H16" s="1019"/>
      <c r="I16" s="1019"/>
      <c r="J16" s="1019"/>
      <c r="K16" s="1019"/>
      <c r="L16" s="1019"/>
      <c r="M16" s="1019"/>
      <c r="N16" s="1019"/>
      <c r="O16" s="1019"/>
    </row>
    <row r="17" spans="1:15" x14ac:dyDescent="0.25">
      <c r="A17" s="1012" t="s">
        <v>142</v>
      </c>
      <c r="B17" s="1013" t="s">
        <v>289</v>
      </c>
      <c r="C17" s="1012">
        <v>1</v>
      </c>
      <c r="D17" s="1019"/>
      <c r="E17" s="1019"/>
      <c r="F17" s="1019"/>
      <c r="G17" s="1019"/>
      <c r="H17" s="1019"/>
      <c r="I17" s="1019"/>
      <c r="J17" s="1019"/>
      <c r="K17" s="1019"/>
      <c r="L17" s="1019"/>
      <c r="M17" s="1019"/>
      <c r="N17" s="1019"/>
      <c r="O17" s="1019"/>
    </row>
    <row r="18" spans="1:15" x14ac:dyDescent="0.25">
      <c r="A18" s="1012" t="s">
        <v>325</v>
      </c>
      <c r="B18" s="1013" t="s">
        <v>295</v>
      </c>
      <c r="C18" s="1012">
        <v>158.15495924931969</v>
      </c>
      <c r="D18" s="1019"/>
      <c r="E18" s="1189"/>
      <c r="F18" s="1019"/>
      <c r="G18" s="1019"/>
      <c r="H18" s="1019"/>
      <c r="I18" s="1019"/>
      <c r="J18" s="1019"/>
      <c r="K18" s="1019"/>
      <c r="L18" s="1019"/>
      <c r="M18" s="1019"/>
      <c r="N18" s="1019"/>
      <c r="O18" s="1019"/>
    </row>
    <row r="19" spans="1:15" x14ac:dyDescent="0.25">
      <c r="A19" s="1012" t="s">
        <v>296</v>
      </c>
      <c r="B19" s="1013" t="s">
        <v>295</v>
      </c>
      <c r="C19" s="1012">
        <v>76.567167504361663</v>
      </c>
      <c r="D19" s="1019"/>
      <c r="E19" s="1189"/>
      <c r="F19" s="1019"/>
      <c r="G19" s="1019"/>
      <c r="H19" s="1019"/>
      <c r="I19" s="1019"/>
      <c r="J19" s="1019"/>
      <c r="K19" s="1019"/>
      <c r="L19" s="1019"/>
      <c r="M19" s="1019"/>
      <c r="N19" s="1019"/>
      <c r="O19" s="1019"/>
    </row>
    <row r="20" spans="1:15" x14ac:dyDescent="0.25">
      <c r="A20" s="1012" t="s">
        <v>297</v>
      </c>
      <c r="B20" s="1013" t="s">
        <v>295</v>
      </c>
      <c r="C20" s="1012">
        <v>71.067989773030476</v>
      </c>
      <c r="D20" s="1019"/>
      <c r="E20" s="1189"/>
      <c r="F20" s="1019"/>
      <c r="G20" s="1019"/>
      <c r="H20" s="1019"/>
      <c r="I20" s="1019"/>
      <c r="J20" s="1019"/>
      <c r="K20" s="1019"/>
      <c r="L20" s="1019"/>
      <c r="M20" s="1019"/>
      <c r="N20" s="1019"/>
      <c r="O20" s="1019"/>
    </row>
    <row r="21" spans="1:15" ht="0.75" customHeight="1" x14ac:dyDescent="0.25">
      <c r="A21" s="1012" t="s">
        <v>326</v>
      </c>
      <c r="B21" s="1013" t="s">
        <v>289</v>
      </c>
      <c r="C21" s="1012">
        <v>9.5948732214170036</v>
      </c>
      <c r="D21" s="1187"/>
      <c r="E21" s="1189">
        <f t="shared" ref="E21:E22" si="1">LOG10((((D21+10)*2)^2)/3)^3</f>
        <v>9.5948732214170036</v>
      </c>
      <c r="F21" s="1019"/>
      <c r="G21" s="1019"/>
      <c r="H21" s="1019"/>
      <c r="I21" s="1019"/>
      <c r="J21" s="1019"/>
      <c r="K21" s="1019"/>
      <c r="L21" s="1019"/>
      <c r="M21" s="1019"/>
      <c r="N21" s="1019"/>
      <c r="O21" s="1019"/>
    </row>
    <row r="22" spans="1:15" hidden="1" x14ac:dyDescent="0.25">
      <c r="A22" s="1012" t="s">
        <v>327</v>
      </c>
      <c r="B22" s="1013" t="s">
        <v>289</v>
      </c>
      <c r="C22" s="1012">
        <v>9.5948732214170036</v>
      </c>
      <c r="D22" s="1012"/>
      <c r="E22" s="1189">
        <f t="shared" si="1"/>
        <v>9.5948732214170036</v>
      </c>
      <c r="F22" s="1019"/>
      <c r="G22" s="1019"/>
      <c r="H22" s="1019"/>
      <c r="I22" s="1019"/>
      <c r="J22" s="1019"/>
      <c r="K22" s="1019"/>
      <c r="L22" s="1019"/>
      <c r="M22" s="1019"/>
      <c r="N22" s="1019"/>
      <c r="O22" s="1019"/>
    </row>
    <row r="23" spans="1:15" x14ac:dyDescent="0.25">
      <c r="A23" s="1060" t="s">
        <v>328</v>
      </c>
      <c r="B23" s="1059" t="s">
        <v>295</v>
      </c>
      <c r="C23" s="1062">
        <v>216.10487638798816</v>
      </c>
      <c r="D23" s="1060"/>
      <c r="E23" s="1060"/>
      <c r="F23" s="1060"/>
      <c r="G23" s="1060"/>
      <c r="H23" s="1060"/>
      <c r="I23" s="1060"/>
      <c r="J23" s="1060"/>
      <c r="K23" s="1060"/>
      <c r="L23" s="1060"/>
      <c r="M23" s="1060"/>
      <c r="N23" s="1060"/>
      <c r="O23" s="1060"/>
    </row>
    <row r="24" spans="1:15" x14ac:dyDescent="0.25">
      <c r="A24" s="1012" t="s">
        <v>301</v>
      </c>
      <c r="B24" s="1013" t="s">
        <v>289</v>
      </c>
      <c r="C24" s="1012">
        <v>1</v>
      </c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</row>
    <row r="25" spans="1:15" x14ac:dyDescent="0.25">
      <c r="A25" s="1012" t="s">
        <v>302</v>
      </c>
      <c r="B25" s="1013" t="s">
        <v>289</v>
      </c>
      <c r="C25" s="1012">
        <v>0</v>
      </c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</row>
    <row r="26" spans="1:15" x14ac:dyDescent="0.25">
      <c r="A26" s="1012" t="s">
        <v>303</v>
      </c>
      <c r="B26" s="1013" t="s">
        <v>289</v>
      </c>
      <c r="C26" s="1019">
        <f>ROUNDDOWN(29.2+30%*(C8-182.5),1)</f>
        <v>27.8</v>
      </c>
      <c r="D26" s="1019"/>
      <c r="E26" s="1019"/>
      <c r="F26" s="1019"/>
      <c r="G26" s="1019"/>
      <c r="H26" s="1019"/>
      <c r="I26" s="1019"/>
      <c r="J26" s="1019"/>
      <c r="K26" s="1019"/>
      <c r="L26" s="1019"/>
      <c r="M26" s="1019"/>
      <c r="N26" s="1019"/>
      <c r="O26" s="1019"/>
    </row>
    <row r="27" spans="1:15" x14ac:dyDescent="0.25">
      <c r="A27" s="1012" t="s">
        <v>304</v>
      </c>
      <c r="B27" s="1013" t="s">
        <v>289</v>
      </c>
      <c r="C27" s="1012">
        <v>0.10374828624452226</v>
      </c>
      <c r="D27" s="1019"/>
      <c r="E27" s="1014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</row>
    <row r="28" spans="1:15" x14ac:dyDescent="0.25">
      <c r="A28" s="1012" t="s">
        <v>329</v>
      </c>
      <c r="B28" s="1013" t="s">
        <v>289</v>
      </c>
      <c r="C28" s="1012">
        <v>0.10180462623951217</v>
      </c>
      <c r="D28" s="1019"/>
      <c r="E28" s="1014"/>
      <c r="F28" s="1019"/>
      <c r="G28" s="1019"/>
      <c r="H28" s="1019"/>
      <c r="I28" s="1019"/>
      <c r="J28" s="1019"/>
      <c r="K28" s="1019"/>
      <c r="L28" s="1019"/>
      <c r="M28" s="1019"/>
      <c r="N28" s="1019"/>
      <c r="O28" s="1019"/>
    </row>
    <row r="29" spans="1:15" x14ac:dyDescent="0.25">
      <c r="A29" s="1060" t="s">
        <v>306</v>
      </c>
      <c r="B29" s="1059" t="s">
        <v>283</v>
      </c>
      <c r="C29" s="1060">
        <f t="shared" ref="C29" si="2">ROUND(C26*C12*C27-C25,4)</f>
        <v>183.58850000000001</v>
      </c>
      <c r="D29" s="1060">
        <f t="shared" ref="D29:O29" si="3">ROUND(D26*D12*D27-D25,4)</f>
        <v>0</v>
      </c>
      <c r="E29" s="1062">
        <f t="shared" si="3"/>
        <v>0</v>
      </c>
      <c r="F29" s="1062">
        <f t="shared" si="3"/>
        <v>0</v>
      </c>
      <c r="G29" s="1060">
        <f t="shared" si="3"/>
        <v>0</v>
      </c>
      <c r="H29" s="1062">
        <f t="shared" si="3"/>
        <v>0</v>
      </c>
      <c r="I29" s="1060">
        <f t="shared" si="3"/>
        <v>0</v>
      </c>
      <c r="J29" s="1060">
        <f>ROUND(J26*J12*J27-J25,4)</f>
        <v>0</v>
      </c>
      <c r="K29" s="1060">
        <f t="shared" si="3"/>
        <v>0</v>
      </c>
      <c r="L29" s="1060">
        <f t="shared" si="3"/>
        <v>0</v>
      </c>
      <c r="M29" s="1060">
        <f t="shared" si="3"/>
        <v>0</v>
      </c>
      <c r="N29" s="1060">
        <f t="shared" si="3"/>
        <v>0</v>
      </c>
      <c r="O29" s="1060">
        <f t="shared" si="3"/>
        <v>0</v>
      </c>
    </row>
    <row r="30" spans="1:15" x14ac:dyDescent="0.25">
      <c r="A30" s="1034" t="s">
        <v>343</v>
      </c>
      <c r="B30" s="1035"/>
      <c r="C30" s="1036"/>
      <c r="D30" s="1036"/>
      <c r="E30" s="1036"/>
      <c r="F30" s="1036"/>
      <c r="G30" s="1036"/>
      <c r="H30" s="1036"/>
      <c r="I30" s="1011"/>
      <c r="J30" s="1036"/>
      <c r="K30" s="1037"/>
      <c r="L30" s="1036"/>
      <c r="M30" s="1036"/>
      <c r="N30" s="1036"/>
      <c r="O30" s="1036"/>
    </row>
    <row r="31" spans="1:15" x14ac:dyDescent="0.25">
      <c r="A31" s="1012" t="s">
        <v>307</v>
      </c>
      <c r="B31" s="1013" t="s">
        <v>308</v>
      </c>
      <c r="C31" s="1012">
        <v>141.7521991805761</v>
      </c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</row>
    <row r="32" spans="1:15" x14ac:dyDescent="0.25">
      <c r="A32" s="1063" t="s">
        <v>309</v>
      </c>
      <c r="B32" s="1064" t="s">
        <v>208</v>
      </c>
      <c r="C32" s="1063">
        <v>1.6E-2</v>
      </c>
      <c r="D32" s="1063"/>
      <c r="E32" s="1063"/>
      <c r="F32" s="1063"/>
      <c r="G32" s="1063"/>
      <c r="H32" s="1063"/>
      <c r="I32" s="1063"/>
      <c r="J32" s="1063"/>
      <c r="K32" s="1063"/>
      <c r="L32" s="1063"/>
      <c r="M32" s="1063"/>
      <c r="N32" s="1063"/>
      <c r="O32" s="1063"/>
    </row>
    <row r="33" spans="1:15" x14ac:dyDescent="0.25">
      <c r="A33" s="1012" t="s">
        <v>310</v>
      </c>
      <c r="B33" s="1013" t="s">
        <v>308</v>
      </c>
      <c r="C33" s="1014">
        <f>C31*C32/100</f>
        <v>2.2680351868892178E-2</v>
      </c>
      <c r="D33" s="1014"/>
      <c r="E33" s="1014"/>
      <c r="F33" s="1065"/>
      <c r="G33" s="1065"/>
      <c r="H33" s="1065"/>
      <c r="I33" s="1065"/>
      <c r="J33" s="1065"/>
      <c r="K33" s="1065"/>
      <c r="L33" s="1065"/>
      <c r="M33" s="1065"/>
      <c r="N33" s="1065"/>
      <c r="O33" s="1065"/>
    </row>
    <row r="34" spans="1:15" x14ac:dyDescent="0.25">
      <c r="A34" s="1012" t="s">
        <v>311</v>
      </c>
      <c r="B34" s="1013" t="s">
        <v>308</v>
      </c>
      <c r="C34" s="1014">
        <f t="shared" ref="C34" si="4">C31-C33</f>
        <v>141.7295188287072</v>
      </c>
      <c r="D34" s="1014"/>
      <c r="E34" s="1014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</row>
    <row r="35" spans="1:15" x14ac:dyDescent="0.25">
      <c r="A35" s="1012" t="s">
        <v>312</v>
      </c>
      <c r="B35" s="1013" t="s">
        <v>283</v>
      </c>
      <c r="C35" s="1044">
        <f>ROUND(C11*C13*(1-C14*C15*C16*C17)-C18-C23-C29,4)</f>
        <v>-557.84829999999999</v>
      </c>
      <c r="D35" s="1044"/>
      <c r="E35" s="1044"/>
      <c r="F35" s="1040"/>
      <c r="G35" s="1040"/>
      <c r="H35" s="1040"/>
      <c r="I35" s="1040"/>
      <c r="J35" s="1040"/>
      <c r="K35" s="1040"/>
      <c r="L35" s="1040"/>
      <c r="M35" s="1040"/>
      <c r="N35" s="1040"/>
      <c r="O35" s="1040"/>
    </row>
    <row r="36" spans="1:15" x14ac:dyDescent="0.25">
      <c r="A36" s="1012" t="s">
        <v>331</v>
      </c>
      <c r="B36" s="1013" t="s">
        <v>289</v>
      </c>
      <c r="C36" s="1044">
        <v>1</v>
      </c>
      <c r="D36" s="1044"/>
      <c r="E36" s="1044"/>
      <c r="F36" s="1040"/>
      <c r="G36" s="1040"/>
      <c r="H36" s="1040"/>
      <c r="I36" s="1040"/>
      <c r="J36" s="1040"/>
      <c r="K36" s="1040"/>
      <c r="L36" s="1040"/>
      <c r="M36" s="1040"/>
      <c r="N36" s="1040"/>
      <c r="O36" s="1040"/>
    </row>
    <row r="37" spans="1:15" x14ac:dyDescent="0.25">
      <c r="A37" s="1012" t="s">
        <v>332</v>
      </c>
      <c r="B37" s="1013" t="s">
        <v>289</v>
      </c>
      <c r="C37" s="1044">
        <v>1</v>
      </c>
      <c r="D37" s="1044"/>
      <c r="E37" s="1044"/>
      <c r="F37" s="1040"/>
      <c r="G37" s="1040"/>
      <c r="H37" s="1040"/>
      <c r="I37" s="1040"/>
      <c r="J37" s="1040"/>
      <c r="K37" s="1040"/>
      <c r="L37" s="1040"/>
      <c r="M37" s="1040"/>
      <c r="N37" s="1040"/>
      <c r="O37" s="1040"/>
    </row>
    <row r="38" spans="1:15" s="1066" customFormat="1" ht="18" customHeight="1" x14ac:dyDescent="0.25">
      <c r="A38" s="1023" t="s">
        <v>333</v>
      </c>
      <c r="B38" s="1024"/>
      <c r="C38" s="1044">
        <f>0.5*(C9-15)*C12*7.3*C36-C7*C12+C23*C37</f>
        <v>9438.3449430567562</v>
      </c>
      <c r="D38" s="1044"/>
      <c r="E38" s="1044"/>
      <c r="F38" s="1044"/>
      <c r="G38" s="1044"/>
      <c r="H38" s="1044"/>
      <c r="I38" s="1044"/>
      <c r="J38" s="1044"/>
      <c r="K38" s="1044"/>
      <c r="L38" s="1044"/>
      <c r="M38" s="1044"/>
      <c r="N38" s="1044"/>
      <c r="O38" s="1044"/>
    </row>
    <row r="39" spans="1:15" x14ac:dyDescent="0.25">
      <c r="A39" s="1067" t="s">
        <v>344</v>
      </c>
      <c r="B39" s="1068" t="s">
        <v>314</v>
      </c>
      <c r="C39" s="1067">
        <f>C34*C38</f>
        <v>1337692.087318796</v>
      </c>
      <c r="D39" s="1069">
        <f>ROUND(D34*D38,0)</f>
        <v>0</v>
      </c>
      <c r="E39" s="1069">
        <f>ROUND(E34*E38,0)</f>
        <v>0</v>
      </c>
      <c r="F39" s="1069">
        <f>ROUND(F34*F38,0)</f>
        <v>0</v>
      </c>
      <c r="G39" s="1069">
        <f t="shared" ref="G39:O39" si="5">ROUND(G34*G38,0)</f>
        <v>0</v>
      </c>
      <c r="H39" s="1069">
        <f t="shared" si="5"/>
        <v>0</v>
      </c>
      <c r="I39" s="1069">
        <f t="shared" si="5"/>
        <v>0</v>
      </c>
      <c r="J39" s="1069">
        <f t="shared" si="5"/>
        <v>0</v>
      </c>
      <c r="K39" s="1069">
        <f t="shared" si="5"/>
        <v>0</v>
      </c>
      <c r="L39" s="1069">
        <f>ROUND(L34*L38,0)</f>
        <v>0</v>
      </c>
      <c r="M39" s="1069">
        <f t="shared" si="5"/>
        <v>0</v>
      </c>
      <c r="N39" s="1069">
        <f t="shared" si="5"/>
        <v>0</v>
      </c>
      <c r="O39" s="1069">
        <f t="shared" si="5"/>
        <v>0</v>
      </c>
    </row>
    <row r="40" spans="1:15" x14ac:dyDescent="0.25">
      <c r="A40" s="1034" t="s">
        <v>345</v>
      </c>
      <c r="B40" s="1035"/>
      <c r="C40" s="1036"/>
      <c r="D40" s="1036"/>
      <c r="E40" s="1036"/>
      <c r="F40" s="1036"/>
      <c r="G40" s="1036"/>
      <c r="H40" s="1036"/>
      <c r="I40" s="1011"/>
      <c r="J40" s="1036"/>
      <c r="K40" s="1037"/>
      <c r="L40" s="1036"/>
      <c r="M40" s="1036"/>
      <c r="N40" s="1036"/>
      <c r="O40" s="1036"/>
    </row>
    <row r="41" spans="1:15" x14ac:dyDescent="0.25">
      <c r="A41" s="1012" t="s">
        <v>307</v>
      </c>
      <c r="B41" s="1013" t="s">
        <v>308</v>
      </c>
      <c r="C41" s="1012">
        <v>334.91101487735591</v>
      </c>
      <c r="D41" s="1022"/>
      <c r="E41" s="1019"/>
      <c r="F41" s="1019"/>
      <c r="G41" s="1019"/>
      <c r="H41" s="1019"/>
      <c r="I41" s="1019"/>
      <c r="J41" s="1019"/>
      <c r="K41" s="1019"/>
      <c r="L41" s="1019"/>
      <c r="M41" s="1019"/>
      <c r="N41" s="1019"/>
      <c r="O41" s="1019"/>
    </row>
    <row r="42" spans="1:15" x14ac:dyDescent="0.25">
      <c r="A42" s="1063" t="s">
        <v>309</v>
      </c>
      <c r="B42" s="1064" t="s">
        <v>208</v>
      </c>
      <c r="C42" s="1063">
        <v>1.7000000000000001E-2</v>
      </c>
      <c r="D42" s="1063"/>
      <c r="E42" s="1063"/>
      <c r="F42" s="1063"/>
      <c r="G42" s="1063"/>
      <c r="H42" s="1063"/>
      <c r="I42" s="1063"/>
      <c r="J42" s="1063"/>
      <c r="K42" s="1063"/>
      <c r="L42" s="1063"/>
      <c r="M42" s="1063"/>
      <c r="N42" s="1063"/>
      <c r="O42" s="1063"/>
    </row>
    <row r="43" spans="1:15" x14ac:dyDescent="0.25">
      <c r="A43" s="1012" t="s">
        <v>310</v>
      </c>
      <c r="B43" s="1013" t="s">
        <v>308</v>
      </c>
      <c r="C43" s="1014">
        <f>C41*C42/100</f>
        <v>5.6934872529150506E-2</v>
      </c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</row>
    <row r="44" spans="1:15" x14ac:dyDescent="0.25">
      <c r="A44" s="1012" t="s">
        <v>311</v>
      </c>
      <c r="B44" s="1013" t="s">
        <v>308</v>
      </c>
      <c r="C44" s="1014">
        <f t="shared" ref="C44" si="6">C41-C43</f>
        <v>334.85408000482676</v>
      </c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</row>
    <row r="45" spans="1:15" x14ac:dyDescent="0.25">
      <c r="A45" s="1012" t="s">
        <v>140</v>
      </c>
      <c r="B45" s="1013" t="s">
        <v>289</v>
      </c>
      <c r="C45" s="1188">
        <v>7.6919907608858112E-2</v>
      </c>
      <c r="D45" s="1188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</row>
    <row r="46" spans="1:15" x14ac:dyDescent="0.25">
      <c r="A46" s="1012" t="s">
        <v>312</v>
      </c>
      <c r="B46" s="1013" t="s">
        <v>283</v>
      </c>
      <c r="C46" s="1044">
        <f t="shared" ref="C46" si="7">ROUND(C11*C13*(1-C45*C15*C16*C17)-C18-C23-C29,4)</f>
        <v>1570.0405000000001</v>
      </c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</row>
    <row r="47" spans="1:15" x14ac:dyDescent="0.25">
      <c r="A47" s="1012" t="s">
        <v>313</v>
      </c>
      <c r="B47" s="1013" t="s">
        <v>283</v>
      </c>
      <c r="C47" s="1044">
        <f t="shared" ref="C47" si="8">C10*C13-C46</f>
        <v>1298.2060241714021</v>
      </c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</row>
    <row r="48" spans="1:15" x14ac:dyDescent="0.25">
      <c r="A48" s="1067" t="s">
        <v>346</v>
      </c>
      <c r="B48" s="1068" t="s">
        <v>314</v>
      </c>
      <c r="C48" s="1067">
        <f>ROUND(C47*C44,0)</f>
        <v>434710</v>
      </c>
      <c r="D48" s="1069">
        <f>ROUND(D47*D44,0)</f>
        <v>0</v>
      </c>
      <c r="E48" s="1069">
        <f>ROUND(E47*E44,0)</f>
        <v>0</v>
      </c>
      <c r="F48" s="1069">
        <f>ROUND(F47*F44,0)</f>
        <v>0</v>
      </c>
      <c r="G48" s="1069">
        <f t="shared" ref="G48:O48" si="9">ROUND(G47*G44,0)</f>
        <v>0</v>
      </c>
      <c r="H48" s="1069">
        <f t="shared" si="9"/>
        <v>0</v>
      </c>
      <c r="I48" s="1069">
        <f t="shared" si="9"/>
        <v>0</v>
      </c>
      <c r="J48" s="1069">
        <f t="shared" si="9"/>
        <v>0</v>
      </c>
      <c r="K48" s="1069">
        <f t="shared" si="9"/>
        <v>0</v>
      </c>
      <c r="L48" s="1069">
        <f t="shared" si="9"/>
        <v>0</v>
      </c>
      <c r="M48" s="1069">
        <f t="shared" si="9"/>
        <v>0</v>
      </c>
      <c r="N48" s="1069">
        <f t="shared" si="9"/>
        <v>0</v>
      </c>
      <c r="O48" s="1069">
        <f t="shared" si="9"/>
        <v>0</v>
      </c>
    </row>
    <row r="49" spans="1:15" x14ac:dyDescent="0.25">
      <c r="A49" s="1034" t="s">
        <v>350</v>
      </c>
      <c r="B49" s="1035"/>
      <c r="C49" s="1036"/>
      <c r="D49" s="1036"/>
      <c r="E49" s="1036"/>
      <c r="F49" s="1036"/>
      <c r="G49" s="1036"/>
      <c r="H49" s="1036"/>
      <c r="I49" s="1011"/>
      <c r="J49" s="1036"/>
      <c r="K49" s="1037"/>
      <c r="L49" s="1036"/>
      <c r="M49" s="1036"/>
      <c r="N49" s="1036"/>
      <c r="O49" s="1036"/>
    </row>
    <row r="50" spans="1:15" x14ac:dyDescent="0.25">
      <c r="A50" s="1012" t="s">
        <v>307</v>
      </c>
      <c r="B50" s="1013" t="s">
        <v>308</v>
      </c>
      <c r="C50" s="1012">
        <v>92.314756773454931</v>
      </c>
      <c r="D50" s="1019"/>
      <c r="E50" s="1019"/>
      <c r="F50" s="1019"/>
      <c r="G50" s="1045"/>
      <c r="H50" s="1019"/>
      <c r="I50" s="1019"/>
      <c r="J50" s="1019"/>
      <c r="K50" s="1019"/>
      <c r="L50" s="1019"/>
      <c r="M50" s="1019"/>
      <c r="N50" s="1019"/>
      <c r="O50" s="1019"/>
    </row>
    <row r="51" spans="1:15" x14ac:dyDescent="0.25">
      <c r="A51" s="1063" t="s">
        <v>309</v>
      </c>
      <c r="B51" s="1064" t="s">
        <v>208</v>
      </c>
      <c r="C51" s="1063">
        <v>1.7000000000000001E-2</v>
      </c>
      <c r="D51" s="1063"/>
      <c r="E51" s="1063"/>
      <c r="F51" s="1063"/>
      <c r="G51" s="1063"/>
      <c r="H51" s="1063"/>
      <c r="I51" s="1063"/>
      <c r="J51" s="1063"/>
      <c r="K51" s="1063"/>
      <c r="L51" s="1063"/>
      <c r="M51" s="1063"/>
      <c r="N51" s="1063"/>
      <c r="O51" s="1063"/>
    </row>
    <row r="52" spans="1:15" x14ac:dyDescent="0.25">
      <c r="A52" s="1012" t="s">
        <v>310</v>
      </c>
      <c r="B52" s="1013" t="s">
        <v>308</v>
      </c>
      <c r="C52" s="1014">
        <f>C50*C51/100</f>
        <v>1.5693508651487342E-2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</row>
    <row r="53" spans="1:15" x14ac:dyDescent="0.25">
      <c r="A53" s="1012" t="s">
        <v>311</v>
      </c>
      <c r="B53" s="1013" t="s">
        <v>308</v>
      </c>
      <c r="C53" s="1014">
        <f t="shared" ref="C53" si="10">C50-C52</f>
        <v>92.299063264803451</v>
      </c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</row>
    <row r="54" spans="1:15" x14ac:dyDescent="0.25">
      <c r="A54" s="1012" t="s">
        <v>312</v>
      </c>
      <c r="B54" s="1013" t="s">
        <v>283</v>
      </c>
      <c r="C54" s="1044">
        <f t="shared" ref="C54" si="11">ROUND(C11*C13*(1-C14*C15*C14*C17)-C18-C23-C29,4)</f>
        <v>-557.84829999999999</v>
      </c>
      <c r="D54" s="1040"/>
      <c r="E54" s="1040"/>
      <c r="F54" s="1040"/>
      <c r="G54" s="1040"/>
      <c r="H54" s="1040"/>
      <c r="I54" s="1040"/>
      <c r="J54" s="1040"/>
      <c r="K54" s="1040"/>
      <c r="L54" s="1040"/>
      <c r="M54" s="1040"/>
      <c r="N54" s="1040"/>
      <c r="O54" s="1040"/>
    </row>
    <row r="55" spans="1:15" x14ac:dyDescent="0.25">
      <c r="A55" s="1012" t="s">
        <v>313</v>
      </c>
      <c r="B55" s="1013" t="s">
        <v>283</v>
      </c>
      <c r="C55" s="1044">
        <f t="shared" ref="C55" si="12">C10*C13-C54</f>
        <v>3426.0948241714023</v>
      </c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</row>
    <row r="56" spans="1:15" x14ac:dyDescent="0.25">
      <c r="A56" s="1067" t="s">
        <v>347</v>
      </c>
      <c r="B56" s="1068" t="s">
        <v>314</v>
      </c>
      <c r="C56" s="1069">
        <f>ROUND(C55*C53,0)</f>
        <v>316225</v>
      </c>
      <c r="D56" s="1069">
        <f>ROUND(D55*D53,0)</f>
        <v>0</v>
      </c>
      <c r="E56" s="1069">
        <f>ROUND(E55*E53,0)</f>
        <v>0</v>
      </c>
      <c r="F56" s="1069">
        <f>ROUND(F55*F53,0)</f>
        <v>0</v>
      </c>
      <c r="G56" s="1069">
        <f t="shared" ref="G56:O56" si="13">ROUND(G55*G53,0)</f>
        <v>0</v>
      </c>
      <c r="H56" s="1069">
        <f t="shared" si="13"/>
        <v>0</v>
      </c>
      <c r="I56" s="1069">
        <f t="shared" si="13"/>
        <v>0</v>
      </c>
      <c r="J56" s="1069">
        <f t="shared" si="13"/>
        <v>0</v>
      </c>
      <c r="K56" s="1069">
        <f t="shared" si="13"/>
        <v>0</v>
      </c>
      <c r="L56" s="1069">
        <f>ROUND(L55*L53,0)</f>
        <v>0</v>
      </c>
      <c r="M56" s="1069">
        <f t="shared" si="13"/>
        <v>0</v>
      </c>
      <c r="N56" s="1069">
        <f t="shared" si="13"/>
        <v>0</v>
      </c>
      <c r="O56" s="1069">
        <f t="shared" si="13"/>
        <v>0</v>
      </c>
    </row>
    <row r="57" spans="1:15" x14ac:dyDescent="0.25">
      <c r="A57" s="1034" t="s">
        <v>351</v>
      </c>
      <c r="B57" s="1035"/>
      <c r="C57" s="1036"/>
      <c r="D57" s="1036"/>
      <c r="E57" s="1036"/>
      <c r="F57" s="1036"/>
      <c r="G57" s="1036"/>
      <c r="H57" s="1036"/>
      <c r="I57" s="1011"/>
      <c r="J57" s="1036"/>
      <c r="K57" s="1037"/>
      <c r="L57" s="1036"/>
      <c r="M57" s="1036"/>
      <c r="N57" s="1036"/>
      <c r="O57" s="1036"/>
    </row>
    <row r="58" spans="1:15" x14ac:dyDescent="0.25">
      <c r="A58" s="1012" t="s">
        <v>307</v>
      </c>
      <c r="B58" s="1013" t="s">
        <v>308</v>
      </c>
      <c r="C58" s="1012">
        <v>214.60338738915377</v>
      </c>
      <c r="D58" s="1019"/>
      <c r="E58" s="1019"/>
      <c r="F58" s="1019"/>
      <c r="G58" s="1045"/>
      <c r="H58" s="1019"/>
      <c r="I58" s="1019"/>
      <c r="J58" s="1019"/>
      <c r="K58" s="1019"/>
      <c r="L58" s="1019"/>
      <c r="M58" s="1019"/>
      <c r="N58" s="1019"/>
      <c r="O58" s="1019"/>
    </row>
    <row r="59" spans="1:15" x14ac:dyDescent="0.25">
      <c r="A59" s="1063" t="s">
        <v>309</v>
      </c>
      <c r="B59" s="1064" t="s">
        <v>208</v>
      </c>
      <c r="C59" s="1063">
        <v>1.4E-2</v>
      </c>
      <c r="D59" s="1063"/>
      <c r="E59" s="1063"/>
      <c r="F59" s="1063"/>
      <c r="G59" s="1063"/>
      <c r="H59" s="1063"/>
      <c r="I59" s="1063"/>
      <c r="J59" s="1063"/>
      <c r="K59" s="1063"/>
      <c r="L59" s="1063"/>
      <c r="M59" s="1063"/>
      <c r="N59" s="1063"/>
      <c r="O59" s="1063"/>
    </row>
    <row r="60" spans="1:15" x14ac:dyDescent="0.25">
      <c r="A60" s="1012" t="s">
        <v>310</v>
      </c>
      <c r="B60" s="1013" t="s">
        <v>308</v>
      </c>
      <c r="C60" s="1014">
        <f>C58*0.014%</f>
        <v>3.004447423448153E-2</v>
      </c>
      <c r="D60" s="1014"/>
      <c r="E60" s="1014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</row>
    <row r="61" spans="1:15" x14ac:dyDescent="0.25">
      <c r="A61" s="1012" t="s">
        <v>311</v>
      </c>
      <c r="B61" s="1013" t="s">
        <v>308</v>
      </c>
      <c r="C61" s="1014">
        <f t="shared" ref="C61" si="14">C58-C60</f>
        <v>214.57334291491929</v>
      </c>
      <c r="D61" s="1014"/>
      <c r="E61" s="1014"/>
      <c r="F61" s="1065"/>
      <c r="G61" s="1065"/>
      <c r="H61" s="1065"/>
      <c r="I61" s="1065"/>
      <c r="J61" s="1065"/>
      <c r="K61" s="1065"/>
      <c r="L61" s="1065"/>
      <c r="M61" s="1065"/>
      <c r="N61" s="1065"/>
      <c r="O61" s="1065"/>
    </row>
    <row r="62" spans="1:15" x14ac:dyDescent="0.25">
      <c r="A62" s="1012" t="s">
        <v>140</v>
      </c>
      <c r="B62" s="1013" t="s">
        <v>289</v>
      </c>
      <c r="C62" s="1188">
        <v>0.13718182613893423</v>
      </c>
      <c r="D62" s="1188"/>
      <c r="E62" s="1188"/>
      <c r="F62" s="1070"/>
      <c r="G62" s="1070"/>
      <c r="H62" s="1070"/>
      <c r="I62" s="1070"/>
      <c r="J62" s="1070"/>
      <c r="K62" s="1070"/>
      <c r="L62" s="1070"/>
      <c r="M62" s="1070"/>
      <c r="N62" s="1070"/>
      <c r="O62" s="1070"/>
    </row>
    <row r="63" spans="1:15" x14ac:dyDescent="0.25">
      <c r="A63" s="1012" t="s">
        <v>312</v>
      </c>
      <c r="B63" s="1013" t="s">
        <v>283</v>
      </c>
      <c r="C63" s="1044">
        <f t="shared" ref="C63" si="15">ROUND(C11*C13*(1-C62*C15*C16*C17)-C18-C23-C29,4)</f>
        <v>1431.1243999999999</v>
      </c>
      <c r="D63" s="1044"/>
      <c r="E63" s="1044"/>
      <c r="F63" s="1040"/>
      <c r="G63" s="1040"/>
      <c r="H63" s="1040"/>
      <c r="I63" s="1040"/>
      <c r="J63" s="1040"/>
      <c r="K63" s="1040"/>
      <c r="L63" s="1040"/>
      <c r="M63" s="1040"/>
      <c r="N63" s="1040"/>
      <c r="O63" s="1040"/>
    </row>
    <row r="64" spans="1:15" x14ac:dyDescent="0.25">
      <c r="A64" s="1012" t="s">
        <v>313</v>
      </c>
      <c r="B64" s="1013" t="s">
        <v>283</v>
      </c>
      <c r="C64" s="1044">
        <f t="shared" ref="C64" si="16">C13*C10-C63</f>
        <v>1437.1221241714022</v>
      </c>
      <c r="D64" s="1040"/>
      <c r="E64" s="1040"/>
      <c r="F64" s="1040"/>
      <c r="G64" s="1040"/>
      <c r="H64" s="1040"/>
      <c r="I64" s="1040"/>
      <c r="J64" s="1040"/>
      <c r="K64" s="1040"/>
      <c r="L64" s="1040"/>
      <c r="M64" s="1040"/>
      <c r="N64" s="1040"/>
      <c r="O64" s="1040"/>
    </row>
    <row r="65" spans="1:16" x14ac:dyDescent="0.25">
      <c r="A65" s="1067" t="s">
        <v>348</v>
      </c>
      <c r="B65" s="1068" t="s">
        <v>314</v>
      </c>
      <c r="C65" s="1069">
        <f t="shared" ref="C65" si="17">ROUND(C64*C61,0)</f>
        <v>308368</v>
      </c>
      <c r="D65" s="1069">
        <f t="shared" ref="D65:O65" si="18">ROUND(D64*D61,0)</f>
        <v>0</v>
      </c>
      <c r="E65" s="1069">
        <f>ROUND(E64*E61,0)</f>
        <v>0</v>
      </c>
      <c r="F65" s="1069">
        <f>ROUND(F64*F61,0)</f>
        <v>0</v>
      </c>
      <c r="G65" s="1069">
        <f t="shared" si="18"/>
        <v>0</v>
      </c>
      <c r="H65" s="1069">
        <f t="shared" si="18"/>
        <v>0</v>
      </c>
      <c r="I65" s="1069">
        <f t="shared" si="18"/>
        <v>0</v>
      </c>
      <c r="J65" s="1069">
        <f t="shared" si="18"/>
        <v>0</v>
      </c>
      <c r="K65" s="1069">
        <f t="shared" si="18"/>
        <v>0</v>
      </c>
      <c r="L65" s="1069">
        <f t="shared" si="18"/>
        <v>0</v>
      </c>
      <c r="M65" s="1069">
        <f t="shared" si="18"/>
        <v>0</v>
      </c>
      <c r="N65" s="1069">
        <f t="shared" si="18"/>
        <v>0</v>
      </c>
      <c r="O65" s="1069">
        <f t="shared" si="18"/>
        <v>0</v>
      </c>
    </row>
    <row r="66" spans="1:16" x14ac:dyDescent="0.25">
      <c r="A66" s="1034" t="s">
        <v>352</v>
      </c>
      <c r="B66" s="1035"/>
      <c r="C66" s="1036"/>
      <c r="D66" s="1036"/>
      <c r="E66" s="1036"/>
      <c r="F66" s="1036"/>
      <c r="G66" s="1036"/>
      <c r="H66" s="1036"/>
      <c r="I66" s="1011"/>
      <c r="J66" s="1036"/>
      <c r="K66" s="1037"/>
      <c r="L66" s="1036"/>
      <c r="M66" s="1036"/>
      <c r="N66" s="1036"/>
      <c r="O66" s="1036"/>
    </row>
    <row r="67" spans="1:16" x14ac:dyDescent="0.25">
      <c r="A67" s="1012" t="s">
        <v>307</v>
      </c>
      <c r="B67" s="1013" t="s">
        <v>308</v>
      </c>
      <c r="C67" s="1012">
        <v>0</v>
      </c>
      <c r="D67" s="1019"/>
      <c r="E67" s="1019"/>
      <c r="F67" s="1019"/>
      <c r="G67" s="1045"/>
      <c r="H67" s="1019"/>
      <c r="I67" s="1019"/>
      <c r="J67" s="1019"/>
      <c r="K67" s="1019"/>
      <c r="L67" s="1019"/>
      <c r="M67" s="1019"/>
      <c r="N67" s="1019"/>
      <c r="O67" s="1019"/>
    </row>
    <row r="68" spans="1:16" x14ac:dyDescent="0.25">
      <c r="A68" s="1063" t="s">
        <v>309</v>
      </c>
      <c r="B68" s="1064" t="s">
        <v>208</v>
      </c>
      <c r="C68" s="1063">
        <v>1.4E-2</v>
      </c>
      <c r="D68" s="1063"/>
      <c r="E68" s="1063"/>
      <c r="F68" s="1063"/>
      <c r="G68" s="1063"/>
      <c r="H68" s="1063"/>
      <c r="I68" s="1063"/>
      <c r="J68" s="1063"/>
      <c r="K68" s="1063"/>
      <c r="L68" s="1063"/>
      <c r="M68" s="1063"/>
      <c r="N68" s="1063"/>
      <c r="O68" s="1063"/>
    </row>
    <row r="69" spans="1:16" x14ac:dyDescent="0.25">
      <c r="A69" s="1012" t="s">
        <v>310</v>
      </c>
      <c r="B69" s="1013" t="s">
        <v>308</v>
      </c>
      <c r="C69" s="1014">
        <f>C67*0.018%</f>
        <v>0</v>
      </c>
      <c r="D69" s="1014"/>
      <c r="E69" s="1014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</row>
    <row r="70" spans="1:16" x14ac:dyDescent="0.25">
      <c r="A70" s="1012" t="s">
        <v>311</v>
      </c>
      <c r="B70" s="1013" t="s">
        <v>308</v>
      </c>
      <c r="C70" s="1014">
        <f t="shared" ref="C70" si="19">C67-C69</f>
        <v>0</v>
      </c>
      <c r="D70" s="1014"/>
      <c r="E70" s="1014"/>
      <c r="F70" s="1065"/>
      <c r="G70" s="1065"/>
      <c r="H70" s="1065"/>
      <c r="I70" s="1065"/>
      <c r="J70" s="1065"/>
      <c r="K70" s="1065"/>
      <c r="L70" s="1065"/>
      <c r="M70" s="1065"/>
      <c r="N70" s="1065"/>
      <c r="O70" s="1065"/>
    </row>
    <row r="71" spans="1:16" x14ac:dyDescent="0.25">
      <c r="A71" s="1012" t="s">
        <v>140</v>
      </c>
      <c r="B71" s="1013" t="s">
        <v>289</v>
      </c>
      <c r="C71" s="1188">
        <v>0.69536536974776331</v>
      </c>
      <c r="D71" s="1188"/>
      <c r="E71" s="1188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</row>
    <row r="72" spans="1:16" x14ac:dyDescent="0.25">
      <c r="A72" s="1012" t="s">
        <v>312</v>
      </c>
      <c r="B72" s="1013" t="s">
        <v>283</v>
      </c>
      <c r="C72" s="1044">
        <f t="shared" ref="C72" si="20">ROUND(C11*C13*(1-C71*C15*C16*C17)-C18-C23-C29,4)</f>
        <v>144.39689999999999</v>
      </c>
      <c r="D72" s="1044"/>
      <c r="E72" s="1044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</row>
    <row r="73" spans="1:16" x14ac:dyDescent="0.25">
      <c r="A73" s="1012" t="s">
        <v>313</v>
      </c>
      <c r="B73" s="1013" t="s">
        <v>283</v>
      </c>
      <c r="C73" s="1044">
        <f t="shared" ref="C73" si="21">C13*C10-C72</f>
        <v>2723.849624171402</v>
      </c>
      <c r="D73" s="1044"/>
      <c r="E73" s="1044"/>
      <c r="F73" s="1040"/>
      <c r="G73" s="1040"/>
      <c r="H73" s="1040"/>
      <c r="I73" s="1040"/>
      <c r="J73" s="1040"/>
      <c r="K73" s="1040"/>
      <c r="L73" s="1040"/>
      <c r="M73" s="1040"/>
      <c r="N73" s="1040"/>
      <c r="O73" s="1040"/>
    </row>
    <row r="74" spans="1:16" x14ac:dyDescent="0.25">
      <c r="A74" s="1067" t="s">
        <v>349</v>
      </c>
      <c r="B74" s="1068" t="s">
        <v>314</v>
      </c>
      <c r="C74" s="1069">
        <f t="shared" ref="C74" si="22">ROUND(C73*C70,0)</f>
        <v>0</v>
      </c>
      <c r="D74" s="1069">
        <f>ROUND(D73*D70,0)</f>
        <v>0</v>
      </c>
      <c r="E74" s="1069">
        <f t="shared" ref="E74:O74" si="23">ROUND(E73*E70,0)</f>
        <v>0</v>
      </c>
      <c r="F74" s="1069">
        <f t="shared" si="23"/>
        <v>0</v>
      </c>
      <c r="G74" s="1069">
        <f t="shared" si="23"/>
        <v>0</v>
      </c>
      <c r="H74" s="1069">
        <f t="shared" si="23"/>
        <v>0</v>
      </c>
      <c r="I74" s="1069">
        <f t="shared" si="23"/>
        <v>0</v>
      </c>
      <c r="J74" s="1069">
        <f t="shared" si="23"/>
        <v>0</v>
      </c>
      <c r="K74" s="1069">
        <f t="shared" si="23"/>
        <v>0</v>
      </c>
      <c r="L74" s="1069">
        <f t="shared" si="23"/>
        <v>0</v>
      </c>
      <c r="M74" s="1069">
        <f t="shared" si="23"/>
        <v>0</v>
      </c>
      <c r="N74" s="1069">
        <f t="shared" si="23"/>
        <v>0</v>
      </c>
      <c r="O74" s="1069">
        <f t="shared" si="23"/>
        <v>0</v>
      </c>
    </row>
    <row r="75" spans="1:16" x14ac:dyDescent="0.25">
      <c r="A75" s="1047" t="s">
        <v>317</v>
      </c>
      <c r="B75" s="1048"/>
      <c r="C75" s="1049">
        <f t="shared" ref="C75" si="24">C39+C48+C56+C65+C74</f>
        <v>2396995.0873187957</v>
      </c>
      <c r="D75" s="1049">
        <f t="shared" ref="D75:O75" si="25">D39+D48+D56+D65+D74</f>
        <v>0</v>
      </c>
      <c r="E75" s="1049">
        <f t="shared" si="25"/>
        <v>0</v>
      </c>
      <c r="F75" s="1049">
        <f t="shared" si="25"/>
        <v>0</v>
      </c>
      <c r="G75" s="1049">
        <f t="shared" si="25"/>
        <v>0</v>
      </c>
      <c r="H75" s="1049">
        <f t="shared" si="25"/>
        <v>0</v>
      </c>
      <c r="I75" s="1049">
        <f t="shared" si="25"/>
        <v>0</v>
      </c>
      <c r="J75" s="1049">
        <f t="shared" si="25"/>
        <v>0</v>
      </c>
      <c r="K75" s="1049">
        <f t="shared" si="25"/>
        <v>0</v>
      </c>
      <c r="L75" s="1049">
        <f t="shared" si="25"/>
        <v>0</v>
      </c>
      <c r="M75" s="1049">
        <f t="shared" si="25"/>
        <v>0</v>
      </c>
      <c r="N75" s="1049">
        <f t="shared" si="25"/>
        <v>0</v>
      </c>
      <c r="O75" s="1049">
        <f t="shared" si="25"/>
        <v>0</v>
      </c>
      <c r="P75" s="1071"/>
    </row>
    <row r="76" spans="1:16" x14ac:dyDescent="0.25">
      <c r="A76" s="1007" t="s">
        <v>338</v>
      </c>
      <c r="C76" s="1190">
        <f t="shared" ref="C76" si="26">C31+C41+C50+C58+C67</f>
        <v>783.58135822054078</v>
      </c>
      <c r="D76" s="1190"/>
      <c r="E76" s="1190"/>
      <c r="F76" s="1051">
        <f>F31+F41+F50+F58+F67</f>
        <v>0</v>
      </c>
      <c r="G76" s="1051">
        <f t="shared" ref="G76:O76" si="27">G31+G41+G50+G58+G67</f>
        <v>0</v>
      </c>
      <c r="H76" s="1051">
        <f t="shared" si="27"/>
        <v>0</v>
      </c>
      <c r="I76" s="1051">
        <f t="shared" si="27"/>
        <v>0</v>
      </c>
      <c r="J76" s="1051">
        <f t="shared" si="27"/>
        <v>0</v>
      </c>
      <c r="K76" s="1051">
        <f t="shared" si="27"/>
        <v>0</v>
      </c>
      <c r="L76" s="1051">
        <f t="shared" si="27"/>
        <v>0</v>
      </c>
      <c r="M76" s="1051">
        <f t="shared" si="27"/>
        <v>0</v>
      </c>
      <c r="N76" s="1051">
        <f t="shared" si="27"/>
        <v>0</v>
      </c>
      <c r="O76" s="1051">
        <f t="shared" si="27"/>
        <v>0</v>
      </c>
      <c r="P76" s="1071"/>
    </row>
    <row r="77" spans="1:16" x14ac:dyDescent="0.25">
      <c r="A77" s="1007" t="s">
        <v>339</v>
      </c>
      <c r="C77" s="1072">
        <v>856.99069999999995</v>
      </c>
      <c r="D77" s="1072"/>
      <c r="E77" s="1072"/>
      <c r="F77" s="1060"/>
      <c r="G77" s="1072"/>
      <c r="H77" s="1062"/>
      <c r="I77" s="1072"/>
      <c r="J77" s="1073"/>
      <c r="K77" s="1073"/>
      <c r="L77" s="1073"/>
      <c r="M77" s="1073"/>
      <c r="N77" s="1073"/>
    </row>
    <row r="78" spans="1:16" x14ac:dyDescent="0.25">
      <c r="A78" s="1052" t="s">
        <v>340</v>
      </c>
      <c r="B78" s="1052"/>
      <c r="C78" s="1074">
        <f>C79+C80+C81+C82+C83</f>
        <v>37498053.038810961</v>
      </c>
      <c r="D78" s="1074">
        <f>D83+D82+D81+D80+D79</f>
        <v>0</v>
      </c>
      <c r="E78" s="1074">
        <f>E83+E82+E81+E80+E79</f>
        <v>0</v>
      </c>
      <c r="F78" s="1074"/>
      <c r="G78" s="1074"/>
      <c r="H78" s="1049"/>
      <c r="I78" s="1049">
        <f t="shared" ref="I78:O78" si="28">I79+I80+I81+I82+I83</f>
        <v>0</v>
      </c>
      <c r="J78" s="1049">
        <f t="shared" si="28"/>
        <v>0</v>
      </c>
      <c r="K78" s="1049">
        <f t="shared" si="28"/>
        <v>0</v>
      </c>
      <c r="L78" s="1049">
        <f t="shared" si="28"/>
        <v>0</v>
      </c>
      <c r="M78" s="1049">
        <f t="shared" si="28"/>
        <v>0</v>
      </c>
      <c r="N78" s="1049">
        <f t="shared" si="28"/>
        <v>0</v>
      </c>
      <c r="O78" s="1049">
        <f t="shared" si="28"/>
        <v>0</v>
      </c>
    </row>
    <row r="79" spans="1:16" x14ac:dyDescent="0.25">
      <c r="A79" s="1007" t="str">
        <f>A30</f>
        <v>Месторождение 1</v>
      </c>
      <c r="C79" s="1071">
        <v>7720263.5026168432</v>
      </c>
      <c r="D79" s="1076"/>
      <c r="E79" s="1019"/>
      <c r="F79" s="1075"/>
      <c r="G79" s="1076"/>
      <c r="H79" s="1071"/>
      <c r="I79" s="1077"/>
      <c r="J79" s="1071"/>
      <c r="K79" s="1071"/>
      <c r="L79" s="1071"/>
    </row>
    <row r="80" spans="1:16" x14ac:dyDescent="0.25">
      <c r="A80" s="1007" t="str">
        <f>A40</f>
        <v>Месторождение 2</v>
      </c>
      <c r="C80" s="1071">
        <v>14196044.244744495</v>
      </c>
      <c r="D80" s="1076"/>
      <c r="E80" s="1019"/>
      <c r="F80" s="1071"/>
      <c r="G80" s="1071"/>
      <c r="H80" s="1071"/>
      <c r="I80" s="1071"/>
      <c r="J80" s="1071"/>
      <c r="K80" s="1071"/>
      <c r="L80" s="1071"/>
    </row>
    <row r="81" spans="1:15" x14ac:dyDescent="0.25">
      <c r="A81" s="1007" t="str">
        <f>A49</f>
        <v>Месторождение 3</v>
      </c>
      <c r="C81" s="1071">
        <v>5615507.345928329</v>
      </c>
      <c r="D81" s="1076"/>
      <c r="E81" s="1019"/>
      <c r="F81" s="1071"/>
      <c r="G81" s="1071"/>
      <c r="H81" s="1071"/>
      <c r="I81" s="1071"/>
      <c r="J81" s="1071"/>
      <c r="K81" s="1071"/>
      <c r="L81" s="1071"/>
    </row>
    <row r="82" spans="1:15" x14ac:dyDescent="0.25">
      <c r="A82" s="1007" t="str">
        <f>A57</f>
        <v>Месторождение 4</v>
      </c>
      <c r="C82" s="1071">
        <v>9966237.9455212913</v>
      </c>
      <c r="D82" s="1076"/>
      <c r="E82" s="1019"/>
      <c r="F82" s="1071"/>
      <c r="G82" s="1071"/>
      <c r="H82" s="1071"/>
      <c r="I82" s="1071"/>
      <c r="J82" s="1071"/>
      <c r="K82" s="1071"/>
      <c r="L82" s="1071"/>
    </row>
    <row r="83" spans="1:15" x14ac:dyDescent="0.25">
      <c r="A83" s="1007" t="str">
        <f>A66</f>
        <v>Месторождение 5</v>
      </c>
      <c r="C83" s="1071">
        <v>0</v>
      </c>
      <c r="D83" s="1076"/>
      <c r="E83" s="1019"/>
      <c r="F83" s="1071"/>
      <c r="G83" s="1071"/>
      <c r="H83" s="1071"/>
      <c r="I83" s="1071"/>
      <c r="J83" s="1071"/>
      <c r="K83" s="1071"/>
      <c r="L83" s="1071"/>
    </row>
    <row r="84" spans="1:15" x14ac:dyDescent="0.25">
      <c r="A84" s="1007" t="s">
        <v>341</v>
      </c>
      <c r="C84" s="1078">
        <f>C75-C78</f>
        <v>-35101057.951492168</v>
      </c>
      <c r="D84" s="1078">
        <f t="shared" ref="D84:N84" si="29">D75-D78</f>
        <v>0</v>
      </c>
      <c r="E84" s="1078">
        <f t="shared" si="29"/>
        <v>0</v>
      </c>
      <c r="F84" s="1078">
        <f t="shared" si="29"/>
        <v>0</v>
      </c>
      <c r="G84" s="1078">
        <f t="shared" si="29"/>
        <v>0</v>
      </c>
      <c r="H84" s="1078">
        <f t="shared" si="29"/>
        <v>0</v>
      </c>
      <c r="I84" s="1078">
        <f t="shared" si="29"/>
        <v>0</v>
      </c>
      <c r="J84" s="1078">
        <f t="shared" si="29"/>
        <v>0</v>
      </c>
      <c r="K84" s="1078">
        <f t="shared" si="29"/>
        <v>0</v>
      </c>
      <c r="L84" s="1078">
        <f t="shared" si="29"/>
        <v>0</v>
      </c>
      <c r="M84" s="1078">
        <f t="shared" si="29"/>
        <v>0</v>
      </c>
      <c r="N84" s="1078">
        <f t="shared" si="29"/>
        <v>0</v>
      </c>
      <c r="O84" s="1078">
        <f>O75-O78</f>
        <v>0</v>
      </c>
    </row>
    <row r="85" spans="1:15" x14ac:dyDescent="0.25">
      <c r="A85" s="1007" t="s">
        <v>343</v>
      </c>
      <c r="C85" s="1076">
        <f t="shared" ref="C85" si="30">C39-C79</f>
        <v>-6382571.4152980475</v>
      </c>
      <c r="D85" s="1071"/>
      <c r="E85" s="1071"/>
      <c r="F85" s="1071">
        <f t="shared" ref="F85:J85" si="31">F39-F79</f>
        <v>0</v>
      </c>
      <c r="G85" s="1071">
        <f t="shared" si="31"/>
        <v>0</v>
      </c>
      <c r="H85" s="1071">
        <f t="shared" si="31"/>
        <v>0</v>
      </c>
      <c r="I85" s="1071">
        <f t="shared" si="31"/>
        <v>0</v>
      </c>
      <c r="J85" s="1071">
        <f t="shared" si="31"/>
        <v>0</v>
      </c>
      <c r="K85" s="1071">
        <f>K39-K79</f>
        <v>0</v>
      </c>
      <c r="L85" s="1071">
        <f>L39-L79</f>
        <v>0</v>
      </c>
      <c r="M85" s="1071">
        <f>M39-M79</f>
        <v>0</v>
      </c>
      <c r="N85" s="1071">
        <f>N39-N79</f>
        <v>0</v>
      </c>
      <c r="O85" s="1071">
        <f>O39-O79</f>
        <v>0</v>
      </c>
    </row>
    <row r="86" spans="1:15" x14ac:dyDescent="0.25">
      <c r="A86" s="1007" t="s">
        <v>345</v>
      </c>
      <c r="C86" s="1076">
        <f t="shared" ref="C86" si="32">C48-C80</f>
        <v>-13761334.244744495</v>
      </c>
      <c r="D86" s="1071"/>
      <c r="E86" s="1071"/>
      <c r="F86" s="1071">
        <f t="shared" ref="F86:N86" si="33">F48-F80</f>
        <v>0</v>
      </c>
      <c r="G86" s="1071">
        <f t="shared" si="33"/>
        <v>0</v>
      </c>
      <c r="H86" s="1071">
        <f t="shared" si="33"/>
        <v>0</v>
      </c>
      <c r="I86" s="1071">
        <f t="shared" si="33"/>
        <v>0</v>
      </c>
      <c r="J86" s="1071">
        <f t="shared" si="33"/>
        <v>0</v>
      </c>
      <c r="K86" s="1071">
        <f t="shared" si="33"/>
        <v>0</v>
      </c>
      <c r="L86" s="1071">
        <f t="shared" si="33"/>
        <v>0</v>
      </c>
      <c r="M86" s="1071">
        <f t="shared" si="33"/>
        <v>0</v>
      </c>
      <c r="N86" s="1071">
        <f t="shared" si="33"/>
        <v>0</v>
      </c>
      <c r="O86" s="1071">
        <f>O48-O80</f>
        <v>0</v>
      </c>
    </row>
    <row r="87" spans="1:15" x14ac:dyDescent="0.25">
      <c r="A87" s="1007" t="s">
        <v>350</v>
      </c>
      <c r="C87" s="1076">
        <f t="shared" ref="C87" si="34">C56-C81</f>
        <v>-5299282.345928329</v>
      </c>
      <c r="D87" s="1071"/>
      <c r="E87" s="1071"/>
      <c r="F87" s="1071">
        <f t="shared" ref="F87:K87" si="35">F56-F81</f>
        <v>0</v>
      </c>
      <c r="G87" s="1071">
        <f t="shared" si="35"/>
        <v>0</v>
      </c>
      <c r="H87" s="1071">
        <f t="shared" si="35"/>
        <v>0</v>
      </c>
      <c r="I87" s="1071">
        <f t="shared" si="35"/>
        <v>0</v>
      </c>
      <c r="J87" s="1071">
        <f t="shared" si="35"/>
        <v>0</v>
      </c>
      <c r="K87" s="1071">
        <f t="shared" si="35"/>
        <v>0</v>
      </c>
      <c r="L87" s="1071">
        <f>L56-L81</f>
        <v>0</v>
      </c>
      <c r="M87" s="1071">
        <f>M56-M81</f>
        <v>0</v>
      </c>
      <c r="N87" s="1071">
        <f>N56-N81</f>
        <v>0</v>
      </c>
      <c r="O87" s="1071">
        <f>O56-O81</f>
        <v>0</v>
      </c>
    </row>
    <row r="88" spans="1:15" x14ac:dyDescent="0.25">
      <c r="A88" s="1007" t="s">
        <v>351</v>
      </c>
      <c r="C88" s="1076">
        <f t="shared" ref="C88" si="36">C65-C82</f>
        <v>-9657869.9455212913</v>
      </c>
      <c r="D88" s="1071"/>
      <c r="E88" s="1071"/>
      <c r="F88" s="1071">
        <f t="shared" ref="F88:K88" si="37">F65-F82</f>
        <v>0</v>
      </c>
      <c r="G88" s="1071">
        <f t="shared" si="37"/>
        <v>0</v>
      </c>
      <c r="H88" s="1071">
        <f t="shared" si="37"/>
        <v>0</v>
      </c>
      <c r="I88" s="1071">
        <f t="shared" si="37"/>
        <v>0</v>
      </c>
      <c r="J88" s="1071">
        <f t="shared" si="37"/>
        <v>0</v>
      </c>
      <c r="K88" s="1071">
        <f t="shared" si="37"/>
        <v>0</v>
      </c>
      <c r="L88" s="1071">
        <f>L65-L82</f>
        <v>0</v>
      </c>
      <c r="M88" s="1071">
        <f>M65-M82</f>
        <v>0</v>
      </c>
      <c r="N88" s="1071">
        <f>N65-N82</f>
        <v>0</v>
      </c>
      <c r="O88" s="1071">
        <f>O65-O82</f>
        <v>0</v>
      </c>
    </row>
    <row r="89" spans="1:15" x14ac:dyDescent="0.25">
      <c r="A89" s="1007" t="s">
        <v>352</v>
      </c>
      <c r="C89" s="1076">
        <f t="shared" ref="C89" si="38">C74-C83</f>
        <v>0</v>
      </c>
      <c r="D89" s="1071">
        <f t="shared" ref="D89:K89" si="39">D74-D83</f>
        <v>0</v>
      </c>
      <c r="E89" s="1071">
        <f t="shared" si="39"/>
        <v>0</v>
      </c>
      <c r="F89" s="1071">
        <f t="shared" si="39"/>
        <v>0</v>
      </c>
      <c r="G89" s="1071">
        <f t="shared" si="39"/>
        <v>0</v>
      </c>
      <c r="H89" s="1071">
        <f t="shared" si="39"/>
        <v>0</v>
      </c>
      <c r="I89" s="1071">
        <f t="shared" si="39"/>
        <v>0</v>
      </c>
      <c r="J89" s="1071">
        <f t="shared" si="39"/>
        <v>0</v>
      </c>
      <c r="K89" s="1071">
        <f t="shared" si="39"/>
        <v>0</v>
      </c>
      <c r="L89" s="1071">
        <f>L74-L83</f>
        <v>0</v>
      </c>
      <c r="M89" s="1007">
        <v>0</v>
      </c>
      <c r="N89" s="1007">
        <v>0</v>
      </c>
      <c r="O89" s="1007">
        <v>0</v>
      </c>
    </row>
    <row r="90" spans="1:15" x14ac:dyDescent="0.25">
      <c r="C90" s="1066"/>
    </row>
    <row r="91" spans="1:15" x14ac:dyDescent="0.25">
      <c r="A91" s="1007" t="s">
        <v>342</v>
      </c>
      <c r="C91" s="1066">
        <f>C75/C76</f>
        <v>3059.0251569565235</v>
      </c>
      <c r="D91" s="1007" t="e">
        <f>D75/D76</f>
        <v>#DIV/0!</v>
      </c>
      <c r="E91" s="1007" t="e">
        <f t="shared" ref="E91:O91" si="40">E75/E76</f>
        <v>#DIV/0!</v>
      </c>
      <c r="F91" s="1007" t="e">
        <f t="shared" si="40"/>
        <v>#DIV/0!</v>
      </c>
      <c r="G91" s="1007" t="e">
        <f t="shared" si="40"/>
        <v>#DIV/0!</v>
      </c>
      <c r="H91" s="1007" t="e">
        <f t="shared" si="40"/>
        <v>#DIV/0!</v>
      </c>
      <c r="I91" s="1007" t="e">
        <f t="shared" si="40"/>
        <v>#DIV/0!</v>
      </c>
      <c r="J91" s="1007" t="e">
        <f t="shared" si="40"/>
        <v>#DIV/0!</v>
      </c>
      <c r="K91" s="1007" t="e">
        <f t="shared" si="40"/>
        <v>#DIV/0!</v>
      </c>
      <c r="L91" s="1007" t="e">
        <f t="shared" si="40"/>
        <v>#DIV/0!</v>
      </c>
      <c r="M91" s="1007" t="e">
        <f t="shared" si="40"/>
        <v>#DIV/0!</v>
      </c>
      <c r="N91" s="1007" t="e">
        <f t="shared" si="40"/>
        <v>#DIV/0!</v>
      </c>
      <c r="O91" s="1007" t="e">
        <f t="shared" si="40"/>
        <v>#DIV/0!</v>
      </c>
    </row>
    <row r="94" spans="1:15" x14ac:dyDescent="0.25">
      <c r="C94" s="1072"/>
    </row>
    <row r="95" spans="1:15" x14ac:dyDescent="0.25">
      <c r="C95" s="1074"/>
    </row>
    <row r="96" spans="1:15" x14ac:dyDescent="0.25">
      <c r="C96" s="1071"/>
    </row>
    <row r="97" spans="3:3" x14ac:dyDescent="0.25">
      <c r="C97" s="1071"/>
    </row>
    <row r="98" spans="3:3" x14ac:dyDescent="0.25">
      <c r="C98" s="1071"/>
    </row>
    <row r="99" spans="3:3" x14ac:dyDescent="0.25">
      <c r="C99" s="1071"/>
    </row>
    <row r="100" spans="3:3" x14ac:dyDescent="0.25">
      <c r="C100" s="1071"/>
    </row>
    <row r="101" spans="3:3" x14ac:dyDescent="0.25">
      <c r="C101" s="1078"/>
    </row>
    <row r="102" spans="3:3" x14ac:dyDescent="0.25">
      <c r="C102" s="1071"/>
    </row>
    <row r="103" spans="3:3" x14ac:dyDescent="0.25">
      <c r="C103" s="1071"/>
    </row>
    <row r="104" spans="3:3" x14ac:dyDescent="0.25">
      <c r="C104" s="1071"/>
    </row>
    <row r="105" spans="3:3" x14ac:dyDescent="0.25">
      <c r="C105" s="1071"/>
    </row>
    <row r="106" spans="3:3" x14ac:dyDescent="0.25">
      <c r="C106" s="1071"/>
    </row>
  </sheetData>
  <autoFilter ref="A5:P75" xr:uid="{00000000-0009-0000-0000-000006000000}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8BCA-F2EB-4D84-B450-77456907DDAD}">
  <dimension ref="A2:R69"/>
  <sheetViews>
    <sheetView topLeftCell="B1" workbookViewId="0">
      <selection activeCell="D27" sqref="D27"/>
    </sheetView>
  </sheetViews>
  <sheetFormatPr defaultRowHeight="15.75" x14ac:dyDescent="0.25"/>
  <cols>
    <col min="1" max="2" width="20.28515625" style="1206" customWidth="1"/>
    <col min="3" max="11" width="9.5703125" style="1206" customWidth="1"/>
    <col min="12" max="12" width="9.140625" style="1206"/>
    <col min="13" max="13" width="27" style="1206" customWidth="1"/>
    <col min="14" max="14" width="9.140625" style="1207"/>
    <col min="15" max="15" width="2.42578125" style="1206" customWidth="1"/>
    <col min="16" max="16" width="1.28515625" style="1206" customWidth="1"/>
    <col min="17" max="17" width="45.85546875" style="1206" customWidth="1"/>
    <col min="18" max="18" width="49.28515625" style="1206" customWidth="1"/>
    <col min="19" max="16384" width="9.140625" style="1206"/>
  </cols>
  <sheetData>
    <row r="2" spans="1:18" x14ac:dyDescent="0.25">
      <c r="A2" s="1213" t="s">
        <v>401</v>
      </c>
      <c r="B2" s="1202">
        <v>44348</v>
      </c>
      <c r="C2" s="1212">
        <f>B2</f>
        <v>44348</v>
      </c>
    </row>
    <row r="3" spans="1:18" ht="16.5" thickBot="1" x14ac:dyDescent="0.3">
      <c r="A3" s="1213" t="s">
        <v>402</v>
      </c>
      <c r="B3" s="1202">
        <v>44440</v>
      </c>
      <c r="M3" s="1215" t="s">
        <v>403</v>
      </c>
      <c r="N3" s="1215" t="s">
        <v>404</v>
      </c>
    </row>
    <row r="4" spans="1:18" x14ac:dyDescent="0.25">
      <c r="A4" s="1213" t="s">
        <v>403</v>
      </c>
      <c r="B4" s="1203" t="s">
        <v>405</v>
      </c>
      <c r="M4" s="1211" t="s">
        <v>406</v>
      </c>
      <c r="N4" s="1210" t="s">
        <v>407</v>
      </c>
    </row>
    <row r="5" spans="1:18" x14ac:dyDescent="0.25">
      <c r="A5" s="1213"/>
      <c r="M5" s="1209" t="s">
        <v>408</v>
      </c>
      <c r="N5" s="1208" t="s">
        <v>409</v>
      </c>
    </row>
    <row r="6" spans="1:18" x14ac:dyDescent="0.25">
      <c r="A6" s="1213" t="s">
        <v>410</v>
      </c>
      <c r="B6" s="1478" t="str">
        <f>"http://cbr.ru/scripts/XML_dynamic.asp?date_req1="&amp;TEXT(B2,"ДД/ММ/ГГГГ")&amp;"&amp;date_req2="&amp;TEXT(B3,"ДД/ММ/ГГГГ")&amp;"&amp;VAL_NM_RQ="&amp;VLOOKUP(B4,M:N,2,0)</f>
        <v>http://cbr.ru/scripts/XML_dynamic.asp?date_req1=01/06/2021&amp;date_req2=01/09/2021&amp;VAL_NM_RQ=R01235</v>
      </c>
      <c r="C6" s="1479"/>
      <c r="D6" s="1479"/>
      <c r="E6" s="1479"/>
      <c r="F6" s="1479"/>
      <c r="G6" s="1479"/>
      <c r="H6" s="1479"/>
      <c r="I6" s="1479"/>
      <c r="J6" s="1479"/>
      <c r="K6" s="1480"/>
      <c r="M6" s="1209" t="s">
        <v>411</v>
      </c>
      <c r="N6" s="1208" t="s">
        <v>412</v>
      </c>
      <c r="R6" s="1206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http://cbr.ru/scripts/XML_dynamic.asp?date_req1=16/02/2022&amp;date_req2=16/02/2022&amp;VAL_NM_RQ=R01235</v>
      </c>
    </row>
    <row r="7" spans="1:18" x14ac:dyDescent="0.25">
      <c r="A7" s="1214"/>
      <c r="M7" s="1209" t="s">
        <v>413</v>
      </c>
      <c r="N7" s="1208" t="s">
        <v>414</v>
      </c>
      <c r="R7" s="1206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http://cbr.ru/scripts/XML_dynamic.asp?date_req1=17/02/2022&amp;date_req2=17/02/2022&amp;VAL_NM_RQ=R01235</v>
      </c>
    </row>
    <row r="8" spans="1:18" ht="15.95" customHeight="1" x14ac:dyDescent="0.25">
      <c r="A8" s="1213" t="s">
        <v>415</v>
      </c>
      <c r="B8" s="1469" t="str">
        <f>_xlfn.WEBSERVICE(B6)</f>
        <v>&lt;?xml version="1.0" encoding="windows-1251"?&gt;&lt;ValCurs ID="R01235" DateRange1="01.06.2021" DateRange2="01.09.2021" name="Foreign Currency Market Dynamic"&gt;&lt;Record Date="01.06.2021" Id="R01235"&gt;&lt;Nominal&gt;1&lt;/Nominal&gt;&lt;Value&gt;73,2965&lt;/Value&gt;&lt;/Record&gt;&lt;Record Date="02.06.2021" Id="R01235"&gt;&lt;Nominal&gt;1&lt;/Nominal&gt;&lt;Value&gt;73,2411&lt;/Value&gt;&lt;/Record&gt;&lt;Record Date="03.06.2021" Id="R01235"&gt;&lt;Nominal&gt;1&lt;/Nominal&gt;&lt;Value&gt;73,4979&lt;/Value&gt;&lt;/Record&gt;&lt;Record Date="04.06.2021" Id="R01235"&gt;&lt;Nominal&gt;1&lt;/Nominal&gt;&lt;Value&gt;73,2636&lt;/Value&gt;&lt;/Record&gt;&lt;Record Date="05.06.2021" Id="R01235"&gt;&lt;Nominal&gt;1&lt;/Nominal&gt;&lt;Value&gt;73,2721&lt;/Value&gt;&lt;/Record&gt;&lt;Record Date="08.06.2021" Id="R01235"&gt;&lt;Nominal&gt;1&lt;/Nominal&gt;&lt;Value&gt;72,9294&lt;/Value&gt;&lt;/Record&gt;&lt;Record Date="09.06.2021" Id="R01235"&gt;&lt;Nominal&gt;1&lt;/Nominal&gt;&lt;Value&gt;72,8256&lt;/Value&gt;&lt;/Record&gt;&lt;Record Date="10.06.2021" Id="R01235"&gt;&lt;Nominal&gt;1&lt;/Nominal&gt;&lt;Value&gt;72,0829&lt;/Value&gt;&lt;/Record&gt;&lt;Record Date="11.06.2021" Id="R01235"&gt;&lt;Nominal&gt;1&lt;/Nominal&gt;&lt;Value&gt;72,1974&lt;/Value&gt;&lt;/Record&gt;&lt;Record Date="12.06.2021" Id="R01235"&gt;&lt;Nominal&gt;1&lt;/Nominal&gt;&lt;Value&gt;71,6797&lt;/Value&gt;&lt;/Record&gt;&lt;Record Date="16.06.2021" Id="R01235"&gt;&lt;Nominal&gt;1&lt;/Nominal&gt;&lt;Value&gt;71,8318&lt;/Value&gt;&lt;/Record&gt;&lt;Record Date="17.06.2021" Id="R01235"&gt;&lt;Nominal&gt;1&lt;/Nominal&gt;&lt;Value&gt;72,0323&lt;/Value&gt;&lt;/Record&gt;&lt;Record Date="18.06.2021" Id="R01235"&gt;&lt;Nominal&gt;1&lt;/Nominal&gt;&lt;Value&gt;72,5048&lt;/Value&gt;&lt;/Record&gt;&lt;Record Date="19.06.2021" Id="R01235"&gt;&lt;Nominal&gt;1&lt;/Nominal&gt;&lt;Value&gt;72,2216&lt;/Value&gt;&lt;/Record&gt;&lt;Record Date="22.06.2021" Id="R01235"&gt;&lt;Nominal&gt;1&lt;/Nominal&gt;&lt;Value&gt;73,1987&lt;/Value&gt;&lt;/Record&gt;&lt;Record Date="23.06.2021" Id="R01235"&gt;&lt;Nominal&gt;1&lt;/Nominal&gt;&lt;Value&gt;73,1661&lt;/Value&gt;&lt;/Record&gt;&lt;Record Date="24.06.2021" Id="R01235"&gt;&lt;Nominal&gt;1&lt;/Nominal&gt;&lt;Value&gt;72,6671&lt;/Value&gt;&lt;/Record&gt;&lt;Record Date="25.06.2021" Id="R01235"&gt;&lt;Nominal&gt;1&lt;/Nominal&gt;&lt;Value&gt;72,3260&lt;/Value&gt;&lt;/Record&gt;&lt;Record Date="26.06.2021" Id="R01235"&gt;&lt;Nominal&gt;1&lt;/Nominal&gt;&lt;Value&gt;72,1694&lt;/Value&gt;&lt;/Record&gt;&lt;Record Date="29.06.2021" Id="R01235"&gt;&lt;Nominal&gt;1&lt;/Nominal&gt;&lt;Value&gt;72,1777&lt;/Value&gt;&lt;/Record&gt;&lt;Record Date="30.06.2021" Id="R01235"&gt;&lt;Nominal&gt;1&lt;/Nominal&gt;&lt;Value&gt;72,3723&lt;/Value&gt;&lt;/Record&gt;&lt;Record Date="01.07.2021" Id="R01235"&gt;&lt;Nominal&gt;1&lt;/Nominal&gt;&lt;Value&gt;72,7234&lt;/Value&gt;&lt;/Record&gt;&lt;Record Date="02.07.2021" Id="R01235"&gt;&lt;Nominal&gt;1&lt;/Nominal&gt;&lt;Value&gt;72,9086&lt;/Value&gt;&lt;/Record&gt;&lt;Record Date="03.07.2021" Id="R01235"&gt;&lt;Nominal&gt;1&lt;/Nominal&gt;&lt;Value&gt;73,6175&lt;/Value&gt;&lt;/Record&gt;&lt;Record Date="06.07.2021" Id="R01235"&gt;&lt;Nominal&gt;1&lt;/Nominal&gt;&lt;Value&gt;73,3540&lt;/Value&gt;&lt;/Record&gt;&lt;Record Date="07.07.2021" Id="R01235"&gt;&lt;Nominal&gt;1&lt;/Nominal&gt;&lt;Value&gt;73,2660&lt;/Value&gt;&lt;/Record&gt;&lt;Record Date="08.07.2021" Id="R01235"&gt;&lt;Nominal&gt;1&lt;/Nominal&gt;&lt;Value&gt;74,0580&lt;/Value&gt;&lt;/Record&gt;&lt;Record Date="09.07.2021" Id="R01235"&gt;&lt;Nominal&gt;1&lt;/Nominal&gt;&lt;Value&gt;75,1952&lt;/Value&gt;&lt;/Record&gt;&lt;Record Date="10.07.2021" Id="R01235"&gt;&lt;Nominal&gt;1&lt;/Nominal&gt;&lt;Value&gt;74,4675&lt;/Value&gt;&lt;/Record&gt;&lt;Record Date="13.07.2021" Id="R01235"&gt;&lt;Nominal&gt;1&lt;/Nominal&gt;&lt;Value&gt;74,6336&lt;/Value&gt;&lt;/Record&gt;&lt;Record Date="14.07.2021" Id="R01235"&gt;&lt;Nominal&gt;1&lt;/Nominal&gt;&lt;Value&gt;74,0589&lt;/Value&gt;&lt;/Record&gt;&lt;Record Date="15.07.2021" Id="R01235"&gt;&lt;Nominal&gt;1&lt;/Nominal&gt;&lt;Value&gt;74,1236&lt;/Value&gt;&lt;/Record&gt;&lt;Record Date="16.07.2021" Id="R01235"&gt;&lt;Nominal&gt;1&lt;/Nominal&gt;&lt;Value&gt;74,2197&lt;/Value&gt;&lt;/Record&gt;&lt;Record Date="17.07.2021" Id="R01235"&gt;&lt;Nominal&gt;1&lt;/Nominal&gt;&lt;Value&gt;74,1656&lt;/Value&gt;&lt;/Record&gt;&lt;Record Date="20.07.2021" Id="R01235"&gt;&lt;Nominal&gt;1&lt;/Nominal&gt;&lt;Value&gt;74,3463&lt;/Value&gt;&lt;/Record&gt;&lt;Record Date="21.07.2021" Id="R01235"&gt;&lt;Nominal&gt;1&lt;/Nominal&gt;&lt;Value&gt;74,4910&lt;/Value&gt;&lt;/Record&gt;&lt;Record Date="22.07.2021" Id="R01235"&gt;&lt;Nominal&gt;1&lt;/Nominal&gt;&lt;Value&gt;74,4947&lt;/Value&gt;&lt;/Record&gt;&lt;Record Date="23.07.2021" Id="R01235"&gt;&lt;Nominal&gt;1&lt;/Nominal&gt;&lt;Value&gt;73,6945&lt;/Value&gt;&lt;/Record&gt;&lt;Record Date="24.07.2021" Id="R01235"&gt;&lt;Nominal&gt;1&lt;/Nominal&gt;&lt;Value&gt;73,7663&lt;/Value&gt;&lt;/Record&gt;&lt;Record Date="27.07.2021" Id="R01235"&gt;&lt;Nominal&gt;1&lt;/Nominal&gt;&lt;Value&gt;74,0980&lt;/Value&gt;&lt;/Record&gt;&lt;Record Date="28.07.2021" Id="R01235"&gt;&lt;Nominal&gt;1&lt;/Nominal&gt;&lt;Value&gt;73,8471&lt;/Value&gt;&lt;/Record&gt;&lt;Record Date="29.07.2021" Id="R01235"&gt;&lt;Nominal&gt;1&lt;/Nominal&gt;&lt;Value&gt;73,6088&lt;/Value&gt;&lt;/Record&gt;&lt;Record Date="30.07.2021" Id="R01235"&gt;&lt;Nominal&gt;1&lt;/Nominal&gt;&lt;Value&gt;73,1904&lt;/Value&gt;&lt;/Record&gt;&lt;Record Date="31.07.2021" Id="R01235"&gt;&lt;Nominal&gt;1&lt;/Nominal&gt;&lt;Value&gt;73,1388&lt;/Value&gt;&lt;/Record&gt;&lt;Record Date="03.08.2021" Id="R01235"&gt;&lt;Nominal&gt;1&lt;/Nominal&gt;&lt;Value&gt;73,0156&lt;/Value&gt;&lt;/Record&gt;&lt;Record Date="04.08.2021" Id="R01235"&gt;&lt;Nominal&gt;1&lt;/Nominal&gt;&lt;Value&gt;72,8724&lt;/Value&gt;&lt;/Record&gt;&lt;Record Date="05.08.2021" Id="R01235"&gt;&lt;Nominal&gt;1&lt;/Nominal&gt;&lt;Value&gt;72,7857&lt;/Value&gt;&lt;/Record&gt;&lt;Record Date="06.08.2021" Id="R01235"&gt;&lt;Nominal&gt;1&lt;/Nominal&gt;&lt;Value&gt;73,1680&lt;/Value&gt;&lt;/Record&gt;&lt;Record Date="07.08.2021" Id="R01235"&gt;&lt;Nominal&gt;1&lt;/Nominal&gt;&lt;Value&gt;73,1304&lt;/Value&gt;&lt;/Record&gt;&lt;Record Date="10.08.2021" Id="R01235"&gt;&lt;Nominal&gt;1&lt;/Nominal&gt;&lt;Value&gt;73,5078&lt;/Value&gt;&lt;/Record&gt;&lt;Record Date="11.08.2021" Id="R01235"&gt;&lt;Nominal&gt;1&lt;/Nominal&gt;&lt;Value&gt;73,5962&lt;/Value&gt;&lt;/Record&gt;&lt;Record Date="12.08.2021" Id="R01235"&gt;&lt;Nominal&gt;1&lt;/Nominal&gt;&lt;Value&gt;73,9695&lt;/Value&gt;&lt;/Record&gt;&lt;Record Date="13.08.2021" Id="R01235"&gt;&lt;Nominal&gt;1&lt;/Nominal&gt;&lt;Value&gt;73,5671&lt;/Value&gt;&lt;/Record&gt;&lt;Record Date="14.08.2021" Id="R01235"&gt;&lt;Nominal&gt;1&lt;/Nominal&gt;&lt;Value&gt;73,4721&lt;/Value&gt;&lt;/Record&gt;&lt;Record Date="17.08.2021" Id="R01235"&gt;&lt;Nominal&gt;1&lt;/Nominal&gt;&lt;Value&gt;73,3920&lt;/Value&gt;&lt;/Record&gt;&lt;Record Date="18.08.2021" Id="R01235"&gt;&lt;Nominal&gt;1&lt;/Nominal&gt;&lt;Value&gt;73,4753&lt;/Value&gt;&lt;/Record&gt;&lt;Record Date="19.08.2021" Id="R01235"&gt;&lt;Nominal&gt;1&lt;/Nominal&gt;&lt;Value&gt;73,4633&lt;/Value&gt;&lt;/Record&gt;&lt;Record Date="20.08.2021" Id="R01235"&gt;&lt;Nominal&gt;1&lt;/Nominal&gt;&lt;Value&gt;74,1503&lt;/Value&gt;&lt;/Record&gt;&lt;Record Date="21.08.2021" Id="R01235"&gt;&lt;Nominal&gt;1&lt;/Nominal&gt;&lt;Value&gt;74,3640&lt;/Value&gt;&lt;/Record&gt;&lt;Record Date="24.08.2021" Id="R01235"&gt;&lt;Nominal&gt;1&lt;/Nominal&gt;&lt;Value&gt;74,0666&lt;/Value&gt;&lt;/Record&gt;&lt;Record Date="25.08.2021" Id="R01235"&gt;&lt;Nominal&gt;1&lt;/Nominal&gt;&lt;Value&gt;73,9465&lt;/Value&gt;&lt;/Record&gt;&lt;Record Date="26.08.2021" Id="R01235"&gt;&lt;Nominal&gt;1&lt;/Nominal&gt;&lt;Value&gt;73,7428&lt;/Value&gt;&lt;/Record&gt;&lt;Record Date="27.08.2021" Id="R01235"&gt;&lt;Nominal&gt;1&lt;/Nominal&gt;&lt;Value&gt;73,9908&lt;/Value&gt;&lt;/Record&gt;&lt;Record Date="28.08.2021" Id="R01235"&gt;&lt;Nominal&gt;1&lt;/Nominal&gt;&lt;Value&gt;73,9866&lt;/Value&gt;&lt;/Record&gt;&lt;Record Date="31.08.2021" Id="R01235"&gt;&lt;Nominal&gt;1&lt;/Nominal&gt;&lt;Value&gt;73,5744&lt;/Value&gt;&lt;/Record&gt;&lt;Record Date="01.09.2021" Id="R01235"&gt;&lt;Nominal&gt;1&lt;/Nominal&gt;&lt;Value&gt;73,2781&lt;/Value&gt;&lt;/Record&gt;&lt;/ValCurs&gt;</v>
      </c>
      <c r="C8" s="1470"/>
      <c r="D8" s="1470"/>
      <c r="E8" s="1470"/>
      <c r="F8" s="1470"/>
      <c r="G8" s="1470"/>
      <c r="H8" s="1470"/>
      <c r="I8" s="1470"/>
      <c r="J8" s="1470"/>
      <c r="K8" s="1471"/>
      <c r="M8" s="1209" t="s">
        <v>416</v>
      </c>
      <c r="N8" s="1208" t="s">
        <v>417</v>
      </c>
      <c r="R8" s="1206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http://cbr.ru/scripts/XML_dynamic.asp?date_req1=18/02/2022&amp;date_req2=18/02/2022&amp;VAL_NM_RQ=R01235</v>
      </c>
    </row>
    <row r="9" spans="1:18" x14ac:dyDescent="0.25">
      <c r="B9" s="1472"/>
      <c r="C9" s="1473"/>
      <c r="D9" s="1473"/>
      <c r="E9" s="1473"/>
      <c r="F9" s="1473"/>
      <c r="G9" s="1473"/>
      <c r="H9" s="1473"/>
      <c r="I9" s="1473"/>
      <c r="J9" s="1473"/>
      <c r="K9" s="1474"/>
      <c r="M9" s="1209" t="s">
        <v>418</v>
      </c>
      <c r="N9" s="1208" t="s">
        <v>419</v>
      </c>
      <c r="R9" s="1206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http://cbr.ru/scripts/XML_dynamic.asp?date_req1=21/02/2022&amp;date_req2=21/02/2022&amp;VAL_NM_RQ=R01235</v>
      </c>
    </row>
    <row r="10" spans="1:18" x14ac:dyDescent="0.25">
      <c r="B10" s="1472"/>
      <c r="C10" s="1473"/>
      <c r="D10" s="1473"/>
      <c r="E10" s="1473"/>
      <c r="F10" s="1473"/>
      <c r="G10" s="1473"/>
      <c r="H10" s="1473"/>
      <c r="I10" s="1473"/>
      <c r="J10" s="1473"/>
      <c r="K10" s="1474"/>
      <c r="M10" s="1209" t="s">
        <v>420</v>
      </c>
      <c r="N10" s="1208" t="s">
        <v>421</v>
      </c>
      <c r="Q10" s="1206" t="str">
        <f>_xlfn.WEBSERVICE(R6)</f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R10" s="1206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http://cbr.ru/scripts/XML_dynamic.asp?date_req1=22/02/2022&amp;date_req2=22/02/2022&amp;VAL_NM_RQ=R01235</v>
      </c>
    </row>
    <row r="11" spans="1:18" x14ac:dyDescent="0.25">
      <c r="B11" s="1472"/>
      <c r="C11" s="1473"/>
      <c r="D11" s="1473"/>
      <c r="E11" s="1473"/>
      <c r="F11" s="1473"/>
      <c r="G11" s="1473"/>
      <c r="H11" s="1473"/>
      <c r="I11" s="1473"/>
      <c r="J11" s="1473"/>
      <c r="K11" s="1474"/>
      <c r="M11" s="1209" t="s">
        <v>422</v>
      </c>
      <c r="N11" s="1208" t="s">
        <v>423</v>
      </c>
      <c r="Q11" s="1206" t="str">
        <f t="shared" ref="Q11:Q63" si="0">_xlfn.WEBSERVICE(R7)</f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R11" s="1206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http://cbr.ru/scripts/XML_dynamic.asp?date_req1=23/02/2022&amp;date_req2=23/02/2022&amp;VAL_NM_RQ=R01235</v>
      </c>
    </row>
    <row r="12" spans="1:18" x14ac:dyDescent="0.25">
      <c r="B12" s="1472"/>
      <c r="C12" s="1473"/>
      <c r="D12" s="1473"/>
      <c r="E12" s="1473"/>
      <c r="F12" s="1473"/>
      <c r="G12" s="1473"/>
      <c r="H12" s="1473"/>
      <c r="I12" s="1473"/>
      <c r="J12" s="1473"/>
      <c r="K12" s="1474"/>
      <c r="M12" s="1209" t="s">
        <v>424</v>
      </c>
      <c r="N12" s="1208" t="s">
        <v>425</v>
      </c>
      <c r="Q12" s="1206" t="str">
        <f t="shared" si="0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R12" s="1206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http://cbr.ru/scripts/XML_dynamic.asp?date_req1=24/02/2022&amp;date_req2=24/02/2022&amp;VAL_NM_RQ=R01235</v>
      </c>
    </row>
    <row r="13" spans="1:18" x14ac:dyDescent="0.25">
      <c r="B13" s="1472"/>
      <c r="C13" s="1473"/>
      <c r="D13" s="1473"/>
      <c r="E13" s="1473"/>
      <c r="F13" s="1473"/>
      <c r="G13" s="1473"/>
      <c r="H13" s="1473"/>
      <c r="I13" s="1473"/>
      <c r="J13" s="1473"/>
      <c r="K13" s="1474"/>
      <c r="M13" s="1209" t="s">
        <v>426</v>
      </c>
      <c r="N13" s="1208" t="s">
        <v>427</v>
      </c>
      <c r="Q13" s="1206" t="str">
        <f t="shared" si="0"/>
        <v>&lt;?xml version="1.0" encoding="windows-1251"?&gt;&lt;ValCurs ID="R01235" DateRange1="21.02.2022" DateRange2="21.02.2022" name="Foreign Currency Market Dynamic"&gt;&lt;/ValCurs&gt;</v>
      </c>
      <c r="R13" s="1206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http://cbr.ru/scripts/XML_dynamic.asp?date_req1=25/02/2022&amp;date_req2=25/02/2022&amp;VAL_NM_RQ=R01235</v>
      </c>
    </row>
    <row r="14" spans="1:18" x14ac:dyDescent="0.25">
      <c r="B14" s="1472"/>
      <c r="C14" s="1473"/>
      <c r="D14" s="1473"/>
      <c r="E14" s="1473"/>
      <c r="F14" s="1473"/>
      <c r="G14" s="1473"/>
      <c r="H14" s="1473"/>
      <c r="I14" s="1473"/>
      <c r="J14" s="1473"/>
      <c r="K14" s="1474"/>
      <c r="M14" s="1209" t="s">
        <v>428</v>
      </c>
      <c r="N14" s="1208" t="s">
        <v>429</v>
      </c>
      <c r="Q14" s="1206" t="str">
        <f t="shared" si="0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R14" s="1206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http://cbr.ru/scripts/XML_dynamic.asp?date_req1=28/02/2022&amp;date_req2=28/02/2022&amp;VAL_NM_RQ=R01235</v>
      </c>
    </row>
    <row r="15" spans="1:18" x14ac:dyDescent="0.25">
      <c r="B15" s="1472"/>
      <c r="C15" s="1473"/>
      <c r="D15" s="1473"/>
      <c r="E15" s="1473"/>
      <c r="F15" s="1473"/>
      <c r="G15" s="1473"/>
      <c r="H15" s="1473"/>
      <c r="I15" s="1473"/>
      <c r="J15" s="1473"/>
      <c r="K15" s="1474"/>
      <c r="M15" s="1209" t="s">
        <v>430</v>
      </c>
      <c r="N15" s="1208" t="s">
        <v>431</v>
      </c>
      <c r="Q15" s="1206" t="str">
        <f t="shared" si="0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R15" s="1206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http://cbr.ru/scripts/XML_dynamic.asp?date_req1=01/03/2022&amp;date_req2=01/03/2022&amp;VAL_NM_RQ=R01235</v>
      </c>
    </row>
    <row r="16" spans="1:18" x14ac:dyDescent="0.25">
      <c r="B16" s="1472"/>
      <c r="C16" s="1473"/>
      <c r="D16" s="1473"/>
      <c r="E16" s="1473"/>
      <c r="F16" s="1473"/>
      <c r="G16" s="1473"/>
      <c r="H16" s="1473"/>
      <c r="I16" s="1473"/>
      <c r="J16" s="1473"/>
      <c r="K16" s="1474"/>
      <c r="M16" s="1209" t="s">
        <v>432</v>
      </c>
      <c r="N16" s="1208" t="s">
        <v>433</v>
      </c>
      <c r="Q16" s="1206" t="str">
        <f t="shared" si="0"/>
        <v>&lt;?xml version="1.0" encoding="windows-1251"?&gt;&lt;ValCurs ID="R01235" DateRange1="24.02.2022" DateRange2="24.02.2022" name="Foreign Currency Market Dynamic"&gt;&lt;/ValCurs&gt;</v>
      </c>
      <c r="R16" s="1206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http://cbr.ru/scripts/XML_dynamic.asp?date_req1=02/03/2022&amp;date_req2=02/03/2022&amp;VAL_NM_RQ=R01235</v>
      </c>
    </row>
    <row r="17" spans="1:18" x14ac:dyDescent="0.25">
      <c r="B17" s="1472"/>
      <c r="C17" s="1473"/>
      <c r="D17" s="1473"/>
      <c r="E17" s="1473"/>
      <c r="F17" s="1473"/>
      <c r="G17" s="1473"/>
      <c r="H17" s="1473"/>
      <c r="I17" s="1473"/>
      <c r="J17" s="1473"/>
      <c r="K17" s="1474"/>
      <c r="M17" s="1209" t="s">
        <v>434</v>
      </c>
      <c r="N17" s="1208" t="s">
        <v>435</v>
      </c>
      <c r="Q17" s="1206" t="str">
        <f t="shared" si="0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R17" s="1206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http://cbr.ru/scripts/XML_dynamic.asp?date_req1=03/03/2022&amp;date_req2=03/03/2022&amp;VAL_NM_RQ=R01235</v>
      </c>
    </row>
    <row r="18" spans="1:18" x14ac:dyDescent="0.25">
      <c r="B18" s="1475"/>
      <c r="C18" s="1476"/>
      <c r="D18" s="1476"/>
      <c r="E18" s="1476"/>
      <c r="F18" s="1476"/>
      <c r="G18" s="1476"/>
      <c r="H18" s="1476"/>
      <c r="I18" s="1476"/>
      <c r="J18" s="1476"/>
      <c r="K18" s="1477"/>
      <c r="M18" s="1209" t="s">
        <v>405</v>
      </c>
      <c r="N18" s="1208" t="s">
        <v>436</v>
      </c>
      <c r="Q18" s="1206" t="str">
        <f t="shared" si="0"/>
        <v>&lt;?xml version="1.0" encoding="windows-1251"?&gt;&lt;ValCurs ID="R01235" DateRange1="28.02.2022" DateRange2="28.02.2022" name="Foreign Currency Market Dynamic"&gt;&lt;/ValCurs&gt;</v>
      </c>
      <c r="R18" s="1206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http://cbr.ru/scripts/XML_dynamic.asp?date_req1=04/03/2022&amp;date_req2=04/03/2022&amp;VAL_NM_RQ=R01235</v>
      </c>
    </row>
    <row r="19" spans="1:18" x14ac:dyDescent="0.25">
      <c r="M19" s="1209" t="s">
        <v>437</v>
      </c>
      <c r="N19" s="1208" t="s">
        <v>438</v>
      </c>
      <c r="Q19" s="1206" t="str">
        <f t="shared" si="0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R19" s="1206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http://cbr.ru/scripts/XML_dynamic.asp?date_req1=07/03/2022&amp;date_req2=07/03/2022&amp;VAL_NM_RQ=R01235</v>
      </c>
    </row>
    <row r="20" spans="1:18" x14ac:dyDescent="0.25">
      <c r="M20" s="1209" t="s">
        <v>439</v>
      </c>
      <c r="N20" s="1208" t="s">
        <v>440</v>
      </c>
      <c r="Q20" s="1206" t="str">
        <f t="shared" si="0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R20" s="1206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http://cbr.ru/scripts/XML_dynamic.asp?date_req1=08/03/2022&amp;date_req2=08/03/2022&amp;VAL_NM_RQ=R01235</v>
      </c>
    </row>
    <row r="21" spans="1:18" ht="16.5" thickBot="1" x14ac:dyDescent="0.3">
      <c r="A21" s="1204" t="s">
        <v>441</v>
      </c>
      <c r="B21" s="1204" t="s">
        <v>442</v>
      </c>
      <c r="E21" s="1222" cm="1">
        <f t="array" ref="E21">_xlfn.FILTERXML(J23,"//Value")</f>
        <v>75.131500000000003</v>
      </c>
      <c r="M21" s="1209" t="s">
        <v>443</v>
      </c>
      <c r="N21" s="1208" t="s">
        <v>444</v>
      </c>
      <c r="Q21" s="1206" t="str">
        <f t="shared" si="0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R21" s="1206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http://cbr.ru/scripts/XML_dynamic.asp?date_req1=09/03/2022&amp;date_req2=09/03/2022&amp;VAL_NM_RQ=R01235</v>
      </c>
    </row>
    <row r="22" spans="1:18" x14ac:dyDescent="0.25">
      <c r="A22" s="1206">
        <f t="array" ref="A22:A31">_xlfn.FILTERXML(B8,"//Value")</f>
        <v>73.296499999999995</v>
      </c>
      <c r="B22" s="1212">
        <f t="array" ref="B22:B31">_xlfn.FILTERXML(B8,"//Record/@Date")</f>
        <v>44348</v>
      </c>
      <c r="M22" s="1209" t="s">
        <v>445</v>
      </c>
      <c r="N22" s="1208" t="s">
        <v>446</v>
      </c>
      <c r="Q22" s="1206" t="str">
        <f t="shared" si="0"/>
        <v>&lt;?xml version="1.0" encoding="windows-1251"?&gt;&lt;ValCurs ID="R01235" DateRange1="04.03.2022" DateRange2="04.03.2022" name="Foreign Currency Market Dynamic"&gt;&lt;Record Date="04.03.2022" Id="R01235"&gt;&lt;Nominal&gt;1&lt;/Nominal&gt;&lt;Value&gt;111,7564&lt;/Value&gt;&lt;/Record&gt;&lt;/ValCurs&gt;</v>
      </c>
      <c r="R22" s="1206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http://cbr.ru/scripts/XML_dynamic.asp?date_req1=10/03/2022&amp;date_req2=10/03/2022&amp;VAL_NM_RQ=R01235</v>
      </c>
    </row>
    <row r="23" spans="1:18" x14ac:dyDescent="0.25">
      <c r="A23" s="1206">
        <v>73.241100000000003</v>
      </c>
      <c r="B23" s="1212">
        <v>44349</v>
      </c>
      <c r="H23" s="1206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1206" t="str">
        <f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1211" t="s">
        <v>447</v>
      </c>
      <c r="N23" s="1210" t="s">
        <v>448</v>
      </c>
      <c r="Q23" s="1206" t="str">
        <f t="shared" si="0"/>
        <v>&lt;?xml version="1.0" encoding="windows-1251"?&gt;&lt;ValCurs ID="R01235" DateRange1="07.03.2022" DateRange2="07.03.2022" name="Foreign Currency Market Dynamic"&gt;&lt;/ValCurs&gt;</v>
      </c>
      <c r="R23" s="1206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http://cbr.ru/scripts/XML_dynamic.asp?date_req1=11/03/2022&amp;date_req2=11/03/2022&amp;VAL_NM_RQ=R01235</v>
      </c>
    </row>
    <row r="24" spans="1:18" x14ac:dyDescent="0.25">
      <c r="A24" s="1206">
        <v>73.497900000000001</v>
      </c>
      <c r="B24" s="1212">
        <v>44350</v>
      </c>
      <c r="E24" s="1212">
        <v>44607</v>
      </c>
      <c r="H24" s="1206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1206" t="str">
        <f t="shared" ref="J24:J62" si="1">_xlfn.WEBSERVICE(H24)</f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1209" t="s">
        <v>449</v>
      </c>
      <c r="N24" s="1208" t="s">
        <v>450</v>
      </c>
      <c r="Q24" s="1206" t="str">
        <f t="shared" si="0"/>
        <v>&lt;?xml version="1.0" encoding="windows-1251"?&gt;&lt;ValCurs ID="R01235" DateRange1="08.03.2022" DateRange2="08.03.2022" name="Foreign Currency Market Dynamic"&gt;&lt;/ValCurs&gt;</v>
      </c>
      <c r="R24" s="1206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http://cbr.ru/scripts/XML_dynamic.asp?date_req1=14/03/2022&amp;date_req2=14/03/2022&amp;VAL_NM_RQ=R01235</v>
      </c>
    </row>
    <row r="25" spans="1:18" x14ac:dyDescent="0.25">
      <c r="A25" s="1206">
        <v>73.263599999999997</v>
      </c>
      <c r="B25" s="1212">
        <v>44351</v>
      </c>
      <c r="E25" s="1212">
        <v>44607</v>
      </c>
      <c r="H25" s="1206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1206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1209" t="s">
        <v>451</v>
      </c>
      <c r="N25" s="1208" t="s">
        <v>452</v>
      </c>
      <c r="Q25" s="1206" t="str">
        <f t="shared" si="0"/>
        <v>&lt;?xml version="1.0" encoding="windows-1251"?&gt;&lt;ValCurs ID="R01235" DateRange1="09.03.2022" DateRange2="09.03.2022" name="Foreign Currency Market Dynamic"&gt;&lt;/ValCurs&gt;</v>
      </c>
      <c r="R25" s="1206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http://cbr.ru/scripts/XML_dynamic.asp?date_req1=15/03/2022&amp;date_req2=15/03/2022&amp;VAL_NM_RQ=R01235</v>
      </c>
    </row>
    <row r="26" spans="1:18" x14ac:dyDescent="0.25">
      <c r="A26" s="1206">
        <v>73.272099999999995</v>
      </c>
      <c r="B26" s="1212">
        <v>44352</v>
      </c>
      <c r="H26" s="1206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1206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1209" t="s">
        <v>453</v>
      </c>
      <c r="N26" s="1208" t="s">
        <v>454</v>
      </c>
      <c r="Q26" s="1206" t="str">
        <f t="shared" si="0"/>
        <v>&lt;?xml version="1.0" encoding="windows-1251"?&gt;&lt;ValCurs ID="R01235" DateRange1="10.03.2022" DateRange2="10.03.2022" name="Foreign Currency Market Dynamic"&gt;&lt;Record Date="10.03.2022" Id="R01235"&gt;&lt;Nominal&gt;1&lt;/Nominal&gt;&lt;Value&gt;116,0847&lt;/Value&gt;&lt;/Record&gt;&lt;/ValCurs&gt;</v>
      </c>
      <c r="R26" s="1206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http://cbr.ru/scripts/XML_dynamic.asp?date_req1=16/03/2022&amp;date_req2=16/03/2022&amp;VAL_NM_RQ=R01235</v>
      </c>
    </row>
    <row r="27" spans="1:18" x14ac:dyDescent="0.25">
      <c r="A27" s="1206">
        <v>72.929400000000001</v>
      </c>
      <c r="B27" s="1212">
        <v>44355</v>
      </c>
      <c r="D27" s="1206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1206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1206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1209" t="s">
        <v>455</v>
      </c>
      <c r="N27" s="1208" t="s">
        <v>456</v>
      </c>
      <c r="Q27" s="1206" t="str">
        <f t="shared" si="0"/>
        <v>&lt;?xml version="1.0" encoding="windows-1251"?&gt;&lt;ValCurs ID="R01235" DateRange1="11.03.2022" DateRange2="11.03.2022" name="Foreign Currency Market Dynamic"&gt;&lt;Record Date="11.03.2022" Id="R01235"&gt;&lt;Nominal&gt;1&lt;/Nominal&gt;&lt;Value&gt;120,3785&lt;/Value&gt;&lt;/Record&gt;&lt;/ValCurs&gt;</v>
      </c>
      <c r="R27" s="1206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http://cbr.ru/scripts/XML_dynamic.asp?date_req1=17/03/2022&amp;date_req2=17/03/2022&amp;VAL_NM_RQ=R01235</v>
      </c>
    </row>
    <row r="28" spans="1:18" x14ac:dyDescent="0.25">
      <c r="A28" s="1206">
        <v>72.825599999999994</v>
      </c>
      <c r="B28" s="1212">
        <v>44356</v>
      </c>
      <c r="D28" s="1206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1206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1206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1209" t="s">
        <v>457</v>
      </c>
      <c r="N28" s="1208" t="s">
        <v>458</v>
      </c>
      <c r="Q28" s="1206" t="str">
        <f t="shared" si="0"/>
        <v>&lt;?xml version="1.0" encoding="windows-1251"?&gt;&lt;ValCurs ID="R01235" DateRange1="14.03.2022" DateRange2="14.03.2022" name="Foreign Currency Market Dynamic"&gt;&lt;/ValCurs&gt;</v>
      </c>
      <c r="R28" s="1206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http://cbr.ru/scripts/XML_dynamic.asp?date_req1=18/03/2022&amp;date_req2=18/03/2022&amp;VAL_NM_RQ=R01235</v>
      </c>
    </row>
    <row r="29" spans="1:18" x14ac:dyDescent="0.25">
      <c r="A29" s="1206">
        <v>72.082899999999995</v>
      </c>
      <c r="B29" s="1212">
        <v>44357</v>
      </c>
      <c r="D29" s="1206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1206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1206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1209" t="s">
        <v>459</v>
      </c>
      <c r="N29" s="1208" t="s">
        <v>460</v>
      </c>
      <c r="Q29" s="1206" t="str">
        <f t="shared" si="0"/>
        <v>&lt;?xml version="1.0" encoding="windows-1251"?&gt;&lt;ValCurs ID="R01235" DateRange1="15.03.2022" DateRange2="15.03.2022" name="Foreign Currency Market Dynamic"&gt;&lt;Record Date="15.03.2022" Id="R01235"&gt;&lt;Nominal&gt;1&lt;/Nominal&gt;&lt;Value&gt;115,1963&lt;/Value&gt;&lt;/Record&gt;&lt;/ValCurs&gt;</v>
      </c>
      <c r="R29" s="1206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http://cbr.ru/scripts/XML_dynamic.asp?date_req1=21/03/2022&amp;date_req2=21/03/2022&amp;VAL_NM_RQ=R01235</v>
      </c>
    </row>
    <row r="30" spans="1:18" x14ac:dyDescent="0.25">
      <c r="A30" s="1206">
        <v>72.197400000000002</v>
      </c>
      <c r="B30" s="1206">
        <v>44358</v>
      </c>
      <c r="D30" s="1206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http://cbr.ru/scripts/XML_dynamic.asp?date_req1=04/03/2022&amp;date_req2=04/03/2022&amp;VAL_NM_RQ=R01235</v>
      </c>
      <c r="H30" s="1206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1206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1209" t="s">
        <v>461</v>
      </c>
      <c r="N30" s="1208" t="s">
        <v>462</v>
      </c>
      <c r="Q30" s="1206" t="str">
        <f t="shared" si="0"/>
        <v>&lt;?xml version="1.0" encoding="windows-1251"?&gt;&lt;ValCurs ID="R01235" DateRange1="16.03.2022" DateRange2="16.03.2022" name="Foreign Currency Market Dynamic"&gt;&lt;Record Date="16.03.2022" Id="R01235"&gt;&lt;Nominal&gt;1&lt;/Nominal&gt;&lt;Value&gt;111,4823&lt;/Value&gt;&lt;/Record&gt;&lt;/ValCurs&gt;</v>
      </c>
      <c r="R30" s="1206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http://cbr.ru/scripts/XML_dynamic.asp?date_req1=22/03/2022&amp;date_req2=22/03/2022&amp;VAL_NM_RQ=R01235</v>
      </c>
    </row>
    <row r="31" spans="1:18" x14ac:dyDescent="0.25">
      <c r="A31" s="1206">
        <v>71.679699999999997</v>
      </c>
      <c r="B31" s="1206">
        <v>44359</v>
      </c>
      <c r="D31" s="1206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http://cbr.ru/scripts/XML_dynamic.asp?date_req1=07/03/2022&amp;date_req2=07/03/2022&amp;VAL_NM_RQ=R01235</v>
      </c>
      <c r="H31" s="1206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1206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1209" t="s">
        <v>463</v>
      </c>
      <c r="N31" s="1208" t="s">
        <v>464</v>
      </c>
      <c r="Q31" s="1206" t="str">
        <f t="shared" si="0"/>
        <v>&lt;?xml version="1.0" encoding="windows-1251"?&gt;&lt;ValCurs ID="R01235" DateRange1="17.03.2022" DateRange2="17.03.2022" name="Foreign Currency Market Dynamic"&gt;&lt;Record Date="17.03.2022" Id="R01235"&gt;&lt;Nominal&gt;1&lt;/Nominal&gt;&lt;Value&gt;108,0521&lt;/Value&gt;&lt;/Record&gt;&lt;/ValCurs&gt;</v>
      </c>
      <c r="R31" s="1206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http://cbr.ru/scripts/XML_dynamic.asp?date_req1=23/03/2022&amp;date_req2=23/03/2022&amp;VAL_NM_RQ=R01235</v>
      </c>
    </row>
    <row r="32" spans="1:18" x14ac:dyDescent="0.25">
      <c r="D32" s="1206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http://cbr.ru/scripts/XML_dynamic.asp?date_req1=08/03/2022&amp;date_req2=08/03/2022&amp;VAL_NM_RQ=R01235</v>
      </c>
      <c r="H32" s="1206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1206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1209" t="s">
        <v>465</v>
      </c>
      <c r="N32" s="1208" t="s">
        <v>466</v>
      </c>
      <c r="Q32" s="1206" t="str">
        <f t="shared" si="0"/>
        <v>&lt;?xml version="1.0" encoding="windows-1251"?&gt;&lt;ValCurs ID="R01235" DateRange1="18.03.2022" DateRange2="18.03.2022" name="Foreign Currency Market Dynamic"&gt;&lt;Record Date="18.03.2022" Id="R01235"&gt;&lt;Nominal&gt;1&lt;/Nominal&gt;&lt;Value&gt;104,8012&lt;/Value&gt;&lt;/Record&gt;&lt;/ValCurs&gt;</v>
      </c>
      <c r="R32" s="1206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http://cbr.ru/scripts/XML_dynamic.asp?date_req1=24/03/2022&amp;date_req2=24/03/2022&amp;VAL_NM_RQ=R01235</v>
      </c>
    </row>
    <row r="33" spans="3:18" x14ac:dyDescent="0.25">
      <c r="D33" s="1206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http://cbr.ru/scripts/XML_dynamic.asp?date_req1=03/03/2022&amp;date_req2=03/03/2022&amp;VAL_NM_RQ=R01235</v>
      </c>
      <c r="H33" s="1206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1206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1209" t="s">
        <v>467</v>
      </c>
      <c r="N33" s="1208" t="s">
        <v>466</v>
      </c>
      <c r="Q33" s="1206" t="str">
        <f t="shared" si="0"/>
        <v>&lt;?xml version="1.0" encoding="windows-1251"?&gt;&lt;ValCurs ID="R01235" DateRange1="21.03.2022" DateRange2="21.03.2022" name="Foreign Currency Market Dynamic"&gt;&lt;/ValCurs&gt;</v>
      </c>
      <c r="R33" s="1206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http://cbr.ru/scripts/XML_dynamic.asp?date_req1=25/03/2022&amp;date_req2=25/03/2022&amp;VAL_NM_RQ=R01235</v>
      </c>
    </row>
    <row r="34" spans="3:18" x14ac:dyDescent="0.25">
      <c r="C34" s="1206" t="str">
        <f>_xlfn.WEBSERVICE(D27)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D34" s="1206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http://cbr.ru/scripts/XML_dynamic.asp?date_req1=10/03/2022&amp;date_req2=10/03/2022&amp;VAL_NM_RQ=R01235</v>
      </c>
      <c r="H34" s="1206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1206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1209" t="s">
        <v>468</v>
      </c>
      <c r="N34" s="1208" t="s">
        <v>469</v>
      </c>
      <c r="Q34" s="1206" t="str">
        <f t="shared" si="0"/>
        <v>&lt;?xml version="1.0" encoding="windows-1251"?&gt;&lt;ValCurs ID="R01235" DateRange1="22.03.2022" DateRange2="22.03.2022" name="Foreign Currency Market Dynamic"&gt;&lt;Record Date="22.03.2022" Id="R01235"&gt;&lt;Nominal&gt;1&lt;/Nominal&gt;&lt;Value&gt;104,6819&lt;/Value&gt;&lt;/Record&gt;&lt;/ValCurs&gt;</v>
      </c>
      <c r="R34" s="1206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http://cbr.ru/scripts/XML_dynamic.asp?date_req1=28/03/2022&amp;date_req2=28/03/2022&amp;VAL_NM_RQ=R01235</v>
      </c>
    </row>
    <row r="35" spans="3:18" x14ac:dyDescent="0.25">
      <c r="C35" s="1206" t="str">
        <f t="shared" ref="C35:C65" si="2">_xlfn.WEBSERVICE(D28)</f>
        <v>&lt;?xml version="1.0" encoding="windows-1251"?&gt;&lt;ValCurs ID="R01235" DateRange1="05.03.2022" DateRange2="05.03.2022" name="Foreign Currency Market Dynamic"&gt;&lt;Record Date="05.03.2022" Id="R01235"&gt;&lt;Nominal&gt;1&lt;/Nominal&gt;&lt;Value&gt;105,8124&lt;/Value&gt;&lt;/Record&gt;&lt;/ValCurs&gt;</v>
      </c>
      <c r="D35" s="1206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http://cbr.ru/scripts/XML_dynamic.asp?date_req1=11/03/2022&amp;date_req2=11/03/2022&amp;VAL_NM_RQ=R01235</v>
      </c>
      <c r="H35" s="1206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1206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1209" t="s">
        <v>470</v>
      </c>
      <c r="N35" s="1208" t="s">
        <v>471</v>
      </c>
      <c r="Q35" s="1206" t="str">
        <f t="shared" si="0"/>
        <v>&lt;?xml version="1.0" encoding="windows-1251"?&gt;&lt;ValCurs ID="R01235" DateRange1="23.03.2022" DateRange2="23.03.2022" name="Foreign Currency Market Dynamic"&gt;&lt;Record Date="23.03.2022" Id="R01235"&gt;&lt;Nominal&gt;1&lt;/Nominal&gt;&lt;Value&gt;104,0741&lt;/Value&gt;&lt;/Record&gt;&lt;/ValCurs&gt;</v>
      </c>
      <c r="R35" s="1206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http://cbr.ru/scripts/XML_dynamic.asp?date_req1=29/03/2022&amp;date_req2=29/03/2022&amp;VAL_NM_RQ=R01235</v>
      </c>
    </row>
    <row r="36" spans="3:18" x14ac:dyDescent="0.25">
      <c r="C36" s="1206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36" s="1206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http://cbr.ru/scripts/XML_dynamic.asp?date_req1=14/03/2022&amp;date_req2=14/03/2022&amp;VAL_NM_RQ=R01235</v>
      </c>
      <c r="H36" s="1206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1206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1209" t="s">
        <v>472</v>
      </c>
      <c r="N36" s="1208" t="s">
        <v>473</v>
      </c>
      <c r="Q36" s="1206" t="str">
        <f t="shared" si="0"/>
        <v>&lt;?xml version="1.0" encoding="windows-1251"?&gt;&lt;ValCurs ID="R01235" DateRange1="24.03.2022" DateRange2="24.03.2022" name="Foreign Currency Market Dynamic"&gt;&lt;Record Date="24.03.2022" Id="R01235"&gt;&lt;Nominal&gt;1&lt;/Nominal&gt;&lt;Value&gt;103,1618&lt;/Value&gt;&lt;/Record&gt;&lt;/ValCurs&gt;</v>
      </c>
      <c r="R36" s="1206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http://cbr.ru/scripts/XML_dynamic.asp?date_req1=30/03/2022&amp;date_req2=30/03/2022&amp;VAL_NM_RQ=R01235</v>
      </c>
    </row>
    <row r="37" spans="3:18" x14ac:dyDescent="0.25">
      <c r="C37" s="1206" t="str">
        <f t="shared" si="2"/>
        <v>&lt;?xml version="1.0" encoding="windows-1251"?&gt;&lt;ValCurs ID="R01235" DateRange1="04.03.2022" DateRange2="04.03.2022" name="Foreign Currency Market Dynamic"&gt;&lt;Record Date="04.03.2022" Id="R01235"&gt;&lt;Nominal&gt;1&lt;/Nominal&gt;&lt;Value&gt;111,7564&lt;/Value&gt;&lt;/Record&gt;&lt;/ValCurs&gt;</v>
      </c>
      <c r="D37" s="1206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http://cbr.ru/scripts/XML_dynamic.asp?date_req1=15/03/2022&amp;date_req2=15/03/2022&amp;VAL_NM_RQ=R01235</v>
      </c>
      <c r="H37" s="1206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1206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1209" t="s">
        <v>474</v>
      </c>
      <c r="N37" s="1208" t="s">
        <v>475</v>
      </c>
      <c r="Q37" s="1206" t="str">
        <f t="shared" si="0"/>
        <v>&lt;?xml version="1.0" encoding="windows-1251"?&gt;&lt;ValCurs ID="R01235" DateRange1="25.03.2022" DateRange2="25.03.2022" name="Foreign Currency Market Dynamic"&gt;&lt;Record Date="25.03.2022" Id="R01235"&gt;&lt;Nominal&gt;1&lt;/Nominal&gt;&lt;Value&gt;96,0458&lt;/Value&gt;&lt;/Record&gt;&lt;/ValCurs&gt;</v>
      </c>
      <c r="R37" s="1206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http://cbr.ru/scripts/XML_dynamic.asp?date_req1=31/03/2022&amp;date_req2=31/03/2022&amp;VAL_NM_RQ=R01235</v>
      </c>
    </row>
    <row r="38" spans="3:18" x14ac:dyDescent="0.25">
      <c r="C38" s="1206" t="str">
        <f t="shared" si="2"/>
        <v>&lt;?xml version="1.0" encoding="windows-1251"?&gt;&lt;ValCurs ID="R01235" DateRange1="07.03.2022" DateRange2="07.03.2022" name="Foreign Currency Market Dynamic"&gt;&lt;/ValCurs&gt;</v>
      </c>
      <c r="D38" s="1206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http://cbr.ru/scripts/XML_dynamic.asp?date_req1=16/03/2022&amp;date_req2=16/03/2022&amp;VAL_NM_RQ=R01235</v>
      </c>
      <c r="H38" s="1206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1206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1209" t="s">
        <v>476</v>
      </c>
      <c r="N38" s="1208" t="s">
        <v>477</v>
      </c>
      <c r="Q38" s="1206" t="str">
        <f t="shared" si="0"/>
        <v>&lt;?xml version="1.0" encoding="windows-1251"?&gt;&lt;ValCurs ID="R01235" DateRange1="28.03.2022" DateRange2="28.03.2022" name="Foreign Currency Market Dynamic"&gt;&lt;/ValCurs&gt;</v>
      </c>
      <c r="R38" s="1206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http://cbr.ru/scripts/XML_dynamic.asp?date_req1=01/04/2022&amp;date_req2=01/04/2022&amp;VAL_NM_RQ=R01235</v>
      </c>
    </row>
    <row r="39" spans="3:18" x14ac:dyDescent="0.25">
      <c r="C39" s="1206" t="str">
        <f t="shared" si="2"/>
        <v>&lt;?xml version="1.0" encoding="windows-1251"?&gt;&lt;ValCurs ID="R01235" DateRange1="08.03.2022" DateRange2="08.03.2022" name="Foreign Currency Market Dynamic"&gt;&lt;/ValCurs&gt;</v>
      </c>
      <c r="D39" s="1206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http://cbr.ru/scripts/XML_dynamic.asp?date_req1=17/03/2022&amp;date_req2=17/03/2022&amp;VAL_NM_RQ=R01235</v>
      </c>
      <c r="H39" s="1206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1206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1209" t="s">
        <v>478</v>
      </c>
      <c r="N39" s="1208" t="s">
        <v>479</v>
      </c>
      <c r="Q39" s="1206" t="str">
        <f t="shared" si="0"/>
        <v>&lt;?xml version="1.0" encoding="windows-1251"?&gt;&lt;ValCurs ID="R01235" DateRange1="29.03.2022" DateRange2="29.03.2022" name="Foreign Currency Market Dynamic"&gt;&lt;Record Date="29.03.2022" Id="R01235"&gt;&lt;Nominal&gt;1&lt;/Nominal&gt;&lt;Value&gt;93,7125&lt;/Value&gt;&lt;/Record&gt;&lt;/ValCurs&gt;</v>
      </c>
      <c r="R39" s="1206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http://cbr.ru/scripts/XML_dynamic.asp?date_req1=04/04/2022&amp;date_req2=04/04/2022&amp;VAL_NM_RQ=R01235</v>
      </c>
    </row>
    <row r="40" spans="3:18" x14ac:dyDescent="0.25">
      <c r="C40" s="1206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40" s="1206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http://cbr.ru/scripts/XML_dynamic.asp?date_req1=07/03/2022&amp;date_req2=07/03/2022&amp;VAL_NM_RQ=R01235</v>
      </c>
      <c r="H40" s="1206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1206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1209" t="s">
        <v>480</v>
      </c>
      <c r="N40" s="1208" t="s">
        <v>481</v>
      </c>
      <c r="Q40" s="1206" t="str">
        <f t="shared" si="0"/>
        <v>&lt;?xml version="1.0" encoding="windows-1251"?&gt;&lt;ValCurs ID="R01235" DateRange1="30.03.2022" DateRange2="30.03.2022" name="Foreign Currency Market Dynamic"&gt;&lt;Record Date="30.03.2022" Id="R01235"&gt;&lt;Nominal&gt;1&lt;/Nominal&gt;&lt;Value&gt;86,2843&lt;/Value&gt;&lt;/Record&gt;&lt;/ValCurs&gt;</v>
      </c>
      <c r="R40" s="1206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http://cbr.ru/scripts/XML_dynamic.asp?date_req1=05/04/2022&amp;date_req2=05/04/2022&amp;VAL_NM_RQ=R01235</v>
      </c>
    </row>
    <row r="41" spans="3:18" x14ac:dyDescent="0.25">
      <c r="C41" s="1206" t="str">
        <f t="shared" si="2"/>
        <v>&lt;?xml version="1.0" encoding="windows-1251"?&gt;&lt;ValCurs ID="R01235" DateRange1="10.03.2022" DateRange2="10.03.2022" name="Foreign Currency Market Dynamic"&gt;&lt;Record Date="10.03.2022" Id="R01235"&gt;&lt;Nominal&gt;1&lt;/Nominal&gt;&lt;Value&gt;116,0847&lt;/Value&gt;&lt;/Record&gt;&lt;/ValCurs&gt;</v>
      </c>
      <c r="D41" s="1206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http://cbr.ru/scripts/XML_dynamic.asp?date_req1=12/03/2022&amp;date_req2=12/03/2022&amp;VAL_NM_RQ=R01235</v>
      </c>
      <c r="H41" s="1206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1206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1209" t="s">
        <v>482</v>
      </c>
      <c r="N41" s="1208" t="s">
        <v>483</v>
      </c>
      <c r="Q41" s="1206" t="str">
        <f t="shared" si="0"/>
        <v>&lt;?xml version="1.0" encoding="windows-1251"?&gt;&lt;ValCurs ID="R01235" DateRange1="31.03.2022" DateRange2="31.03.2022" name="Foreign Currency Market Dynamic"&gt;&lt;Record Date="31.03.2022" Id="R01235"&gt;&lt;Nominal&gt;1&lt;/Nominal&gt;&lt;Value&gt;84,0851&lt;/Value&gt;&lt;/Record&gt;&lt;/ValCurs&gt;</v>
      </c>
      <c r="R41" s="1206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http://cbr.ru/scripts/XML_dynamic.asp?date_req1=06/04/2022&amp;date_req2=06/04/2022&amp;VAL_NM_RQ=R01235</v>
      </c>
    </row>
    <row r="42" spans="3:18" x14ac:dyDescent="0.25">
      <c r="C42" s="1206" t="str">
        <f t="shared" si="2"/>
        <v>&lt;?xml version="1.0" encoding="windows-1251"?&gt;&lt;ValCurs ID="R01235" DateRange1="11.03.2022" DateRange2="11.03.2022" name="Foreign Currency Market Dynamic"&gt;&lt;Record Date="11.03.2022" Id="R01235"&gt;&lt;Nominal&gt;1&lt;/Nominal&gt;&lt;Value&gt;120,3785&lt;/Value&gt;&lt;/Record&gt;&lt;/ValCurs&gt;</v>
      </c>
      <c r="D42" s="1206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http://cbr.ru/scripts/XML_dynamic.asp?date_req1=22/03/2022&amp;date_req2=22/03/2022&amp;VAL_NM_RQ=R01235</v>
      </c>
      <c r="H42" s="1206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1206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1211" t="s">
        <v>484</v>
      </c>
      <c r="N42" s="1210" t="s">
        <v>485</v>
      </c>
      <c r="Q42" s="1206" t="str">
        <f t="shared" si="0"/>
        <v>&lt;?xml version="1.0" encoding="windows-1251"?&gt;&lt;ValCurs ID="R01235" DateRange1="01.04.2022" DateRange2="01.04.2022" name="Foreign Currency Market Dynamic"&gt;&lt;Record Date="01.04.2022" Id="R01235"&gt;&lt;Nominal&gt;1&lt;/Nominal&gt;&lt;Value&gt;83,4097&lt;/Value&gt;&lt;/Record&gt;&lt;/ValCurs&gt;</v>
      </c>
      <c r="R42" s="1206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http://cbr.ru/scripts/XML_dynamic.asp?date_req1=07/04/2022&amp;date_req2=07/04/2022&amp;VAL_NM_RQ=R01235</v>
      </c>
    </row>
    <row r="43" spans="3:18" x14ac:dyDescent="0.25">
      <c r="C43" s="1206" t="str">
        <f t="shared" si="2"/>
        <v>&lt;?xml version="1.0" encoding="windows-1251"?&gt;&lt;ValCurs ID="R01235" DateRange1="14.03.2022" DateRange2="14.03.2022" name="Foreign Currency Market Dynamic"&gt;&lt;/ValCurs&gt;</v>
      </c>
      <c r="D43" s="1206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http://cbr.ru/scripts/XML_dynamic.asp?date_req1=23/03/2022&amp;date_req2=23/03/2022&amp;VAL_NM_RQ=R01235</v>
      </c>
      <c r="H43" s="1206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1206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1209" t="s">
        <v>486</v>
      </c>
      <c r="N43" s="1208" t="s">
        <v>487</v>
      </c>
      <c r="Q43" s="1206" t="str">
        <f t="shared" si="0"/>
        <v>&lt;?xml version="1.0" encoding="windows-1251"?&gt;&lt;ValCurs ID="R01235" DateRange1="04.04.2022" DateRange2="04.04.2022" name="Foreign Currency Market Dynamic"&gt;&lt;/ValCurs&gt;</v>
      </c>
      <c r="R43" s="1206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</row>
    <row r="44" spans="3:18" x14ac:dyDescent="0.25">
      <c r="C44" s="1206" t="str">
        <f t="shared" si="2"/>
        <v>&lt;?xml version="1.0" encoding="windows-1251"?&gt;&lt;ValCurs ID="R01235" DateRange1="15.03.2022" DateRange2="15.03.2022" name="Foreign Currency Market Dynamic"&gt;&lt;Record Date="15.03.2022" Id="R01235"&gt;&lt;Nominal&gt;1&lt;/Nominal&gt;&lt;Value&gt;115,1963&lt;/Value&gt;&lt;/Record&gt;&lt;/ValCurs&gt;</v>
      </c>
      <c r="D44" s="1206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http://cbr.ru/scripts/XML_dynamic.asp?date_req1=24/03/2022&amp;date_req2=24/03/2022&amp;VAL_NM_RQ=R01235</v>
      </c>
      <c r="H44" s="1206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1206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1209" t="s">
        <v>488</v>
      </c>
      <c r="N44" s="1208" t="s">
        <v>487</v>
      </c>
      <c r="Q44" s="1206" t="str">
        <f t="shared" si="0"/>
        <v>&lt;?xml version="1.0" encoding="windows-1251"?&gt;&lt;ValCurs ID="R01235" DateRange1="05.04.2022" DateRange2="05.04.2022" name="Foreign Currency Market Dynamic"&gt;&lt;Record Date="05.04.2022" Id="R01235"&gt;&lt;Nominal&gt;1&lt;/Nominal&gt;&lt;Value&gt;83,5932&lt;/Value&gt;&lt;/Record&gt;&lt;/ValCurs&gt;</v>
      </c>
      <c r="R44" s="1206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</row>
    <row r="45" spans="3:18" x14ac:dyDescent="0.25">
      <c r="C45" s="1206" t="str">
        <f t="shared" si="2"/>
        <v>&lt;?xml version="1.0" encoding="windows-1251"?&gt;&lt;ValCurs ID="R01235" DateRange1="16.03.2022" DateRange2="16.03.2022" name="Foreign Currency Market Dynamic"&gt;&lt;Record Date="16.03.2022" Id="R01235"&gt;&lt;Nominal&gt;1&lt;/Nominal&gt;&lt;Value&gt;111,4823&lt;/Value&gt;&lt;/Record&gt;&lt;/ValCurs&gt;</v>
      </c>
      <c r="D45" s="1206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http://cbr.ru/scripts/XML_dynamic.asp?date_req1=25/03/2022&amp;date_req2=25/03/2022&amp;VAL_NM_RQ=R01235</v>
      </c>
      <c r="H45" s="1206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1206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1209" t="s">
        <v>489</v>
      </c>
      <c r="N45" s="1208" t="s">
        <v>490</v>
      </c>
      <c r="Q45" s="1206" t="str">
        <f t="shared" si="0"/>
        <v>&lt;?xml version="1.0" encoding="windows-1251"?&gt;&lt;ValCurs ID="R01235" DateRange1="06.04.2022" DateRange2="06.04.2022" name="Foreign Currency Market Dynamic"&gt;&lt;Record Date="06.04.2022" Id="R01235"&gt;&lt;Nominal&gt;1&lt;/Nominal&gt;&lt;Value&gt;83,3520&lt;/Value&gt;&lt;/Record&gt;&lt;/ValCurs&gt;</v>
      </c>
      <c r="R45" s="1206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</row>
    <row r="46" spans="3:18" x14ac:dyDescent="0.25">
      <c r="C46" s="1206" t="str">
        <f t="shared" si="2"/>
        <v>&lt;?xml version="1.0" encoding="windows-1251"?&gt;&lt;ValCurs ID="R01235" DateRange1="17.03.2022" DateRange2="17.03.2022" name="Foreign Currency Market Dynamic"&gt;&lt;Record Date="17.03.2022" Id="R01235"&gt;&lt;Nominal&gt;1&lt;/Nominal&gt;&lt;Value&gt;108,0521&lt;/Value&gt;&lt;/Record&gt;&lt;/ValCurs&gt;</v>
      </c>
      <c r="D46" s="1206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http://cbr.ru/scripts/XML_dynamic.asp?date_req1=28/03/2022&amp;date_req2=28/03/2022&amp;VAL_NM_RQ=R01235</v>
      </c>
      <c r="H46" s="1206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1206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1209" t="s">
        <v>491</v>
      </c>
      <c r="N46" s="1208" t="s">
        <v>492</v>
      </c>
      <c r="Q46" s="1206" t="str">
        <f t="shared" si="0"/>
        <v>&lt;?xml version="1.0" encoding="windows-1251"?&gt;&lt;ValCurs ID="R01235" DateRange1="07.04.2022" DateRange2="07.04.2022" name="Foreign Currency Market Dynamic"&gt;&lt;Record Date="07.04.2022" Id="R01235"&gt;&lt;Nominal&gt;1&lt;/Nominal&gt;&lt;Value&gt;82,5962&lt;/Value&gt;&lt;/Record&gt;&lt;/ValCurs&gt;</v>
      </c>
      <c r="R46" s="1206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</row>
    <row r="47" spans="3:18" x14ac:dyDescent="0.25">
      <c r="C47" s="1206" t="str">
        <f t="shared" si="2"/>
        <v>&lt;?xml version="1.0" encoding="windows-1251"?&gt;&lt;ValCurs ID="R01235" DateRange1="07.03.2022" DateRange2="07.03.2022" name="Foreign Currency Market Dynamic"&gt;&lt;/ValCurs&gt;</v>
      </c>
      <c r="D47" s="1206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http://cbr.ru/scripts/XML_dynamic.asp?date_req1=29/03/2022&amp;date_req2=29/03/2022&amp;VAL_NM_RQ=R01235</v>
      </c>
      <c r="H47" s="1206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1206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1209" t="s">
        <v>493</v>
      </c>
      <c r="N47" s="1208" t="s">
        <v>492</v>
      </c>
      <c r="Q47" s="1206" t="str">
        <f t="shared" si="0"/>
        <v>&lt;?xml version="1.0" encoding="windows-1251"?&gt;&lt;ValCurs&gt;Error in parameters&lt;/ValCurs&gt;</v>
      </c>
      <c r="R47" s="1206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</row>
    <row r="48" spans="3:18" x14ac:dyDescent="0.25">
      <c r="C48" s="1206" t="str">
        <f t="shared" si="2"/>
        <v>&lt;?xml version="1.0" encoding="windows-1251"?&gt;&lt;ValCurs ID="R01235" DateRange1="12.03.2022" DateRange2="12.03.2022" name="Foreign Currency Market Dynamic"&gt;&lt;Record Date="12.03.2022" Id="R01235"&gt;&lt;Nominal&gt;1&lt;/Nominal&gt;&lt;Value&gt;116,7517&lt;/Value&gt;&lt;/Record&gt;&lt;/ValCurs&gt;</v>
      </c>
      <c r="D48" s="1206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http://cbr.ru/scripts/XML_dynamic.asp?date_req1=30/03/2022&amp;date_req2=30/03/2022&amp;VAL_NM_RQ=R01235</v>
      </c>
      <c r="H48" s="1206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1206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1209" t="s">
        <v>494</v>
      </c>
      <c r="N48" s="1208" t="s">
        <v>495</v>
      </c>
      <c r="Q48" s="1206" t="str">
        <f t="shared" si="0"/>
        <v>&lt;?xml version="1.0" encoding="windows-1251"?&gt;&lt;ValCurs&gt;Error in parameters&lt;/ValCurs&gt;</v>
      </c>
      <c r="R48" s="1206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</row>
    <row r="49" spans="3:18" x14ac:dyDescent="0.25">
      <c r="C49" s="1206" t="str">
        <f t="shared" si="2"/>
        <v>&lt;?xml version="1.0" encoding="windows-1251"?&gt;&lt;ValCurs ID="R01235" DateRange1="22.03.2022" DateRange2="22.03.2022" name="Foreign Currency Market Dynamic"&gt;&lt;Record Date="22.03.2022" Id="R01235"&gt;&lt;Nominal&gt;1&lt;/Nominal&gt;&lt;Value&gt;104,6819&lt;/Value&gt;&lt;/Record&gt;&lt;/ValCurs&gt;</v>
      </c>
      <c r="D49" s="1206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http://cbr.ru/scripts/XML_dynamic.asp?date_req1=31/03/2022&amp;date_req2=31/03/2022&amp;VAL_NM_RQ=R01235</v>
      </c>
      <c r="H49" s="1206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1206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1209" t="s">
        <v>496</v>
      </c>
      <c r="N49" s="1208" t="s">
        <v>497</v>
      </c>
      <c r="Q49" s="1206" t="str">
        <f t="shared" si="0"/>
        <v>&lt;?xml version="1.0" encoding="windows-1251"?&gt;&lt;ValCurs&gt;Error in parameters&lt;/ValCurs&gt;</v>
      </c>
      <c r="R49" s="1206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</row>
    <row r="50" spans="3:18" x14ac:dyDescent="0.25">
      <c r="C50" s="1206" t="str">
        <f t="shared" si="2"/>
        <v>&lt;?xml version="1.0" encoding="windows-1251"?&gt;&lt;ValCurs ID="R01235" DateRange1="23.03.2022" DateRange2="23.03.2022" name="Foreign Currency Market Dynamic"&gt;&lt;Record Date="23.03.2022" Id="R01235"&gt;&lt;Nominal&gt;1&lt;/Nominal&gt;&lt;Value&gt;104,0741&lt;/Value&gt;&lt;/Record&gt;&lt;/ValCurs&gt;</v>
      </c>
      <c r="D50" s="1206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http://cbr.ru/scripts/XML_dynamic.asp?date_req1=01/04/2022&amp;date_req2=01/04/2022&amp;VAL_NM_RQ=R01235</v>
      </c>
      <c r="H50" s="1206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1206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1209" t="s">
        <v>498</v>
      </c>
      <c r="N50" s="1208" t="s">
        <v>497</v>
      </c>
      <c r="Q50" s="1206" t="str">
        <f t="shared" si="0"/>
        <v>&lt;?xml version="1.0" encoding="windows-1251"?&gt;&lt;ValCurs&gt;Error in parameters&lt;/ValCurs&gt;</v>
      </c>
      <c r="R50" s="1206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</row>
    <row r="51" spans="3:18" x14ac:dyDescent="0.25">
      <c r="C51" s="1206" t="str">
        <f t="shared" si="2"/>
        <v>&lt;?xml version="1.0" encoding="windows-1251"?&gt;&lt;ValCurs ID="R01235" DateRange1="24.03.2022" DateRange2="24.03.2022" name="Foreign Currency Market Dynamic"&gt;&lt;Record Date="24.03.2022" Id="R01235"&gt;&lt;Nominal&gt;1&lt;/Nominal&gt;&lt;Value&gt;103,1618&lt;/Value&gt;&lt;/Record&gt;&lt;/ValCurs&gt;</v>
      </c>
      <c r="D51" s="1206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http://cbr.ru/scripts/XML_dynamic.asp?date_req1=04/04/2022&amp;date_req2=04/04/2022&amp;VAL_NM_RQ=R01235</v>
      </c>
      <c r="H51" s="1206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1206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1209" t="s">
        <v>499</v>
      </c>
      <c r="N51" s="1208" t="s">
        <v>500</v>
      </c>
      <c r="Q51" s="1206" t="str">
        <f t="shared" si="0"/>
        <v>&lt;?xml version="1.0" encoding="windows-1251"?&gt;&lt;ValCurs&gt;Error in parameters&lt;/ValCurs&gt;</v>
      </c>
      <c r="R51" s="1206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</row>
    <row r="52" spans="3:18" x14ac:dyDescent="0.25">
      <c r="C52" s="1206" t="str">
        <f t="shared" si="2"/>
        <v>&lt;?xml version="1.0" encoding="windows-1251"?&gt;&lt;ValCurs ID="R01235" DateRange1="25.03.2022" DateRange2="25.03.2022" name="Foreign Currency Market Dynamic"&gt;&lt;Record Date="25.03.2022" Id="R01235"&gt;&lt;Nominal&gt;1&lt;/Nominal&gt;&lt;Value&gt;96,0458&lt;/Value&gt;&lt;/Record&gt;&lt;/ValCurs&gt;</v>
      </c>
      <c r="D52" s="1206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http://cbr.ru/scripts/XML_dynamic.asp?date_req1=05/04/2022&amp;date_req2=05/04/2022&amp;VAL_NM_RQ=R01235</v>
      </c>
      <c r="H52" s="1206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1206" t="str">
        <f t="shared" si="1"/>
        <v>&lt;?xml version="1.0" encoding="windows-1251"?&gt;&lt;ValCurs ID="R01235" DateRange1="21.02.2022" DateRange2="21.02.2022" name="Foreign Currency Market Dynamic"&gt;&lt;/ValCurs&gt;</v>
      </c>
      <c r="M52" s="1209" t="s">
        <v>501</v>
      </c>
      <c r="N52" s="1208" t="s">
        <v>502</v>
      </c>
      <c r="Q52" s="1206" t="str">
        <f t="shared" si="0"/>
        <v>&lt;?xml version="1.0" encoding="windows-1251"?&gt;&lt;ValCurs&gt;Error in parameters&lt;/ValCurs&gt;</v>
      </c>
      <c r="R52" s="1206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</row>
    <row r="53" spans="3:18" x14ac:dyDescent="0.25">
      <c r="C53" s="1206" t="str">
        <f t="shared" si="2"/>
        <v>&lt;?xml version="1.0" encoding="windows-1251"?&gt;&lt;ValCurs ID="R01235" DateRange1="28.03.2022" DateRange2="28.03.2022" name="Foreign Currency Market Dynamic"&gt;&lt;/ValCurs&gt;</v>
      </c>
      <c r="D53" s="1206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http://cbr.ru/scripts/XML_dynamic.asp?date_req1=06/04/2022&amp;date_req2=06/04/2022&amp;VAL_NM_RQ=R01235</v>
      </c>
      <c r="H53" s="1206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1206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1209" t="s">
        <v>503</v>
      </c>
      <c r="N53" s="1208" t="s">
        <v>504</v>
      </c>
      <c r="Q53" s="1206" t="str">
        <f t="shared" si="0"/>
        <v>&lt;?xml version="1.0" encoding="windows-1251"?&gt;&lt;ValCurs&gt;Error in parameters&lt;/ValCurs&gt;</v>
      </c>
      <c r="R53" s="1206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</row>
    <row r="54" spans="3:18" x14ac:dyDescent="0.25">
      <c r="C54" s="1206" t="str">
        <f t="shared" si="2"/>
        <v>&lt;?xml version="1.0" encoding="windows-1251"?&gt;&lt;ValCurs ID="R01235" DateRange1="29.03.2022" DateRange2="29.03.2022" name="Foreign Currency Market Dynamic"&gt;&lt;Record Date="29.03.2022" Id="R01235"&gt;&lt;Nominal&gt;1&lt;/Nominal&gt;&lt;Value&gt;93,7125&lt;/Value&gt;&lt;/Record&gt;&lt;/ValCurs&gt;</v>
      </c>
      <c r="D54" s="1206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http://cbr.ru/scripts/XML_dynamic.asp?date_req1=07/04/2022&amp;date_req2=07/04/2022&amp;VAL_NM_RQ=R01235</v>
      </c>
      <c r="H54" s="1206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1206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1209" t="s">
        <v>505</v>
      </c>
      <c r="N54" s="1208" t="s">
        <v>506</v>
      </c>
      <c r="Q54" s="1206" t="str">
        <f t="shared" si="0"/>
        <v>&lt;?xml version="1.0" encoding="windows-1251"?&gt;&lt;ValCurs&gt;Error in parameters&lt;/ValCurs&gt;</v>
      </c>
      <c r="R54" s="1206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</row>
    <row r="55" spans="3:18" x14ac:dyDescent="0.25">
      <c r="C55" s="1206" t="str">
        <f t="shared" si="2"/>
        <v>&lt;?xml version="1.0" encoding="windows-1251"?&gt;&lt;ValCurs ID="R01235" DateRange1="30.03.2022" DateRange2="30.03.2022" name="Foreign Currency Market Dynamic"&gt;&lt;Record Date="30.03.2022" Id="R01235"&gt;&lt;Nominal&gt;1&lt;/Nominal&gt;&lt;Value&gt;86,2843&lt;/Value&gt;&lt;/Record&gt;&lt;/ValCurs&gt;</v>
      </c>
      <c r="D55" s="1206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http://cbr.ru/scripts/XML_dynamic.asp?date_req1=08/04/2022&amp;date_req2=08/04/2022&amp;VAL_NM_RQ=R01235</v>
      </c>
      <c r="H55" s="1206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1206" t="str">
        <f t="shared" si="1"/>
        <v>&lt;?xml version="1.0" encoding="windows-1251"?&gt;&lt;ValCurs ID="R01235" DateRange1="24.02.2022" DateRange2="24.02.2022" name="Foreign Currency Market Dynamic"&gt;&lt;/ValCurs&gt;</v>
      </c>
      <c r="M55" s="1209" t="s">
        <v>507</v>
      </c>
      <c r="N55" s="1208" t="s">
        <v>508</v>
      </c>
      <c r="Q55" s="1206" t="str">
        <f t="shared" si="0"/>
        <v>&lt;?xml version="1.0" encoding="windows-1251"?&gt;&lt;ValCurs&gt;Error in parameters&lt;/ValCurs&gt;</v>
      </c>
      <c r="R55" s="1206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</row>
    <row r="56" spans="3:18" x14ac:dyDescent="0.25">
      <c r="C56" s="1206" t="str">
        <f t="shared" si="2"/>
        <v>&lt;?xml version="1.0" encoding="windows-1251"?&gt;&lt;ValCurs ID="R01235" DateRange1="31.03.2022" DateRange2="31.03.2022" name="Foreign Currency Market Dynamic"&gt;&lt;Record Date="31.03.2022" Id="R01235"&gt;&lt;Nominal&gt;1&lt;/Nominal&gt;&lt;Value&gt;84,0851&lt;/Value&gt;&lt;/Record&gt;&lt;/ValCurs&gt;</v>
      </c>
      <c r="D56" s="1206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http://cbr.ru/scripts/XML_dynamic.asp?date_req1=11/04/2022&amp;date_req2=11/04/2022&amp;VAL_NM_RQ=R01235</v>
      </c>
      <c r="H56" s="1206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1206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1209" t="s">
        <v>509</v>
      </c>
      <c r="N56" s="1208" t="s">
        <v>510</v>
      </c>
      <c r="Q56" s="1206" t="str">
        <f t="shared" si="0"/>
        <v>&lt;?xml version="1.0" encoding="windows-1251"?&gt;&lt;ValCurs&gt;Error in parameters&lt;/ValCurs&gt;</v>
      </c>
      <c r="R56" s="1206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</row>
    <row r="57" spans="3:18" x14ac:dyDescent="0.25">
      <c r="C57" s="1206" t="str">
        <f t="shared" si="2"/>
        <v>&lt;?xml version="1.0" encoding="windows-1251"?&gt;&lt;ValCurs ID="R01235" DateRange1="01.04.2022" DateRange2="01.04.2022" name="Foreign Currency Market Dynamic"&gt;&lt;Record Date="01.04.2022" Id="R01235"&gt;&lt;Nominal&gt;1&lt;/Nominal&gt;&lt;Value&gt;83,4097&lt;/Value&gt;&lt;/Record&gt;&lt;/ValCurs&gt;</v>
      </c>
      <c r="D57" s="1206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http://cbr.ru/scripts/XML_dynamic.asp?date_req1=12/04/2022&amp;date_req2=12/04/2022&amp;VAL_NM_RQ=R01235</v>
      </c>
      <c r="H57" s="1206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1206" t="str">
        <f t="shared" si="1"/>
        <v>&lt;?xml version="1.0" encoding="windows-1251"?&gt;&lt;ValCurs ID="R01235" DateRange1="28.02.2022" DateRange2="28.02.2022" name="Foreign Currency Market Dynamic"&gt;&lt;/ValCurs&gt;</v>
      </c>
      <c r="M57" s="1209" t="s">
        <v>511</v>
      </c>
      <c r="N57" s="1208" t="s">
        <v>512</v>
      </c>
      <c r="Q57" s="1206" t="str">
        <f t="shared" si="0"/>
        <v>&lt;?xml version="1.0" encoding="windows-1251"?&gt;&lt;ValCurs&gt;Error in parameters&lt;/ValCurs&gt;</v>
      </c>
      <c r="R57" s="1206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</row>
    <row r="58" spans="3:18" x14ac:dyDescent="0.25">
      <c r="C58" s="1206" t="str">
        <f t="shared" si="2"/>
        <v>&lt;?xml version="1.0" encoding="windows-1251"?&gt;&lt;ValCurs ID="R01235" DateRange1="04.04.2022" DateRange2="04.04.2022" name="Foreign Currency Market Dynamic"&gt;&lt;/ValCurs&gt;</v>
      </c>
      <c r="D58" s="1206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http://cbr.ru/scripts/XML_dynamic.asp?date_req1=13/04/2022&amp;date_req2=13/04/2022&amp;VAL_NM_RQ=R01235</v>
      </c>
      <c r="H58" s="1206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1206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1209" t="s">
        <v>513</v>
      </c>
      <c r="N58" s="1208" t="s">
        <v>514</v>
      </c>
      <c r="Q58" s="1206" t="str">
        <f t="shared" si="0"/>
        <v>&lt;?xml version="1.0" encoding="windows-1251"?&gt;&lt;ValCurs&gt;Error in parameters&lt;/ValCurs&gt;</v>
      </c>
      <c r="R58" s="1206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</row>
    <row r="59" spans="3:18" x14ac:dyDescent="0.25">
      <c r="C59" s="1206" t="str">
        <f t="shared" si="2"/>
        <v>&lt;?xml version="1.0" encoding="windows-1251"?&gt;&lt;ValCurs ID="R01235" DateRange1="05.04.2022" DateRange2="05.04.2022" name="Foreign Currency Market Dynamic"&gt;&lt;Record Date="05.04.2022" Id="R01235"&gt;&lt;Nominal&gt;1&lt;/Nominal&gt;&lt;Value&gt;83,5932&lt;/Value&gt;&lt;/Record&gt;&lt;/ValCurs&gt;</v>
      </c>
      <c r="D59" s="1206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http://cbr.ru/scripts/XML_dynamic.asp?date_req1=14/04/2022&amp;date_req2=14/04/2022&amp;VAL_NM_RQ=R01235</v>
      </c>
      <c r="H59" s="1206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1206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1209" t="s">
        <v>515</v>
      </c>
      <c r="N59" s="1208" t="s">
        <v>516</v>
      </c>
      <c r="Q59" s="1206" t="str">
        <f t="shared" si="0"/>
        <v>&lt;?xml version="1.0" encoding="windows-1251"?&gt;&lt;ValCurs&gt;Error in parameters&lt;/ValCurs&gt;</v>
      </c>
      <c r="R59" s="1206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</row>
    <row r="60" spans="3:18" x14ac:dyDescent="0.25">
      <c r="C60" s="1206" t="str">
        <f t="shared" si="2"/>
        <v>&lt;?xml version="1.0" encoding="windows-1251"?&gt;&lt;ValCurs ID="R01235" DateRange1="06.04.2022" DateRange2="06.04.2022" name="Foreign Currency Market Dynamic"&gt;&lt;Record Date="06.04.2022" Id="R01235"&gt;&lt;Nominal&gt;1&lt;/Nominal&gt;&lt;Value&gt;83,3520&lt;/Value&gt;&lt;/Record&gt;&lt;/ValCurs&gt;</v>
      </c>
      <c r="D60" s="1206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http://cbr.ru/scripts/XML_dynamic.asp?date_req1=15/04/2022&amp;date_req2=15/04/2022&amp;VAL_NM_RQ=R01235</v>
      </c>
      <c r="H60" s="1206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1206" t="str">
        <f t="shared" si="1"/>
        <v>&lt;?xml version="1.0" encoding="windows-1251"?&gt;&lt;ValCurs&gt;Error in parameters&lt;/ValCurs&gt;</v>
      </c>
      <c r="M60" s="1209" t="s">
        <v>517</v>
      </c>
      <c r="N60" s="1208" t="s">
        <v>518</v>
      </c>
      <c r="Q60" s="1206" t="str">
        <f t="shared" si="0"/>
        <v>&lt;?xml version="1.0" encoding="windows-1251"?&gt;&lt;ValCurs&gt;Error in parameters&lt;/ValCurs&gt;</v>
      </c>
      <c r="R60" s="1206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</row>
    <row r="61" spans="3:18" x14ac:dyDescent="0.25">
      <c r="C61" s="1206" t="str">
        <f t="shared" si="2"/>
        <v>&lt;?xml version="1.0" encoding="windows-1251"?&gt;&lt;ValCurs ID="R01235" DateRange1="07.04.2022" DateRange2="07.04.2022" name="Foreign Currency Market Dynamic"&gt;&lt;Record Date="07.04.2022" Id="R01235"&gt;&lt;Nominal&gt;1&lt;/Nominal&gt;&lt;Value&gt;82,5962&lt;/Value&gt;&lt;/Record&gt;&lt;/ValCurs&gt;</v>
      </c>
      <c r="D61" s="1206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http://cbr.ru/scripts/XML_dynamic.asp?date_req1=18/04/2022&amp;date_req2=18/04/2022&amp;VAL_NM_RQ=R01235</v>
      </c>
      <c r="H61" s="1206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1206" t="str">
        <f t="shared" si="1"/>
        <v>&lt;?xml version="1.0" encoding="windows-1251"?&gt;&lt;ValCurs&gt;Error in parameters&lt;/ValCurs&gt;</v>
      </c>
      <c r="Q61" s="1206" t="str">
        <f t="shared" si="0"/>
        <v>&lt;?xml version="1.0" encoding="windows-1251"?&gt;&lt;ValCurs&gt;Error in parameters&lt;/ValCurs&gt;</v>
      </c>
      <c r="R61" s="1206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</row>
    <row r="62" spans="3:18" x14ac:dyDescent="0.25">
      <c r="C62" s="1206" t="str">
        <f t="shared" si="2"/>
        <v>&lt;?xml version="1.0" encoding="windows-1251"?&gt;&lt;ValCurs ID="R01235" DateRange1="08.04.2022" DateRange2="08.04.2022" name="Foreign Currency Market Dynamic"&gt;&lt;Record Date="08.04.2022" Id="R01235"&gt;&lt;Nominal&gt;1&lt;/Nominal&gt;&lt;Value&gt;76,2547&lt;/Value&gt;&lt;/Record&gt;&lt;/ValCurs&gt;</v>
      </c>
      <c r="D62" s="1206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http://cbr.ru/scripts/XML_dynamic.asp?date_req1=19/04/2022&amp;date_req2=19/04/2022&amp;VAL_NM_RQ=R01235</v>
      </c>
      <c r="H62" s="1206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1206" t="str">
        <f t="shared" si="1"/>
        <v>&lt;?xml version="1.0" encoding="windows-1251"?&gt;&lt;ValCurs&gt;Error in parameters&lt;/ValCurs&gt;</v>
      </c>
      <c r="Q62" s="1206" t="str">
        <f t="shared" si="0"/>
        <v>&lt;?xml version="1.0" encoding="windows-1251"?&gt;&lt;ValCurs&gt;Error in parameters&lt;/ValCurs&gt;</v>
      </c>
      <c r="R62" s="1206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</row>
    <row r="63" spans="3:18" x14ac:dyDescent="0.25">
      <c r="C63" s="1206" t="str">
        <f t="shared" si="2"/>
        <v>&lt;?xml version="1.0" encoding="windows-1251"?&gt;&lt;ValCurs ID="R01235" DateRange1="11.04.2022" DateRange2="11.04.2022" name="Foreign Currency Market Dynamic"&gt;&lt;/ValCurs&gt;</v>
      </c>
      <c r="D63" s="1206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http://cbr.ru/scripts/XML_dynamic.asp?date_req1=20/04/2022&amp;date_req2=20/04/2022&amp;VAL_NM_RQ=R01235</v>
      </c>
      <c r="Q63" s="1206" t="str">
        <f t="shared" si="0"/>
        <v>&lt;?xml version="1.0" encoding="windows-1251"?&gt;&lt;ValCurs&gt;Error in parameters&lt;/ValCurs&gt;</v>
      </c>
      <c r="R63" s="1206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</row>
    <row r="64" spans="3:18" x14ac:dyDescent="0.25">
      <c r="C64" s="1206" t="str">
        <f t="shared" si="2"/>
        <v>&lt;?xml version="1.0" encoding="windows-1251"?&gt;&lt;ValCurs ID="R01235" DateRange1="12.04.2022" DateRange2="12.04.2022" name="Foreign Currency Market Dynamic"&gt;&lt;Record Date="12.04.2022" Id="R01235"&gt;&lt;Nominal&gt;1&lt;/Nominal&gt;&lt;Value&gt;79,1596&lt;/Value&gt;&lt;/Record&gt;&lt;/ValCurs&gt;</v>
      </c>
      <c r="D64" s="1206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1206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</row>
    <row r="65" spans="3:18" x14ac:dyDescent="0.25">
      <c r="C65" s="1206" t="str">
        <f t="shared" si="2"/>
        <v>&lt;?xml version="1.0" encoding="windows-1251"?&gt;&lt;ValCurs ID="R01235" DateRange1="13.04.2022" DateRange2="13.04.2022" name="Foreign Currency Market Dynamic"&gt;&lt;Record Date="13.04.2022" Id="R01235"&gt;&lt;Nominal&gt;1&lt;/Nominal&gt;&lt;Value&gt;79,6274&lt;/Value&gt;&lt;/Record&gt;&lt;/ValCurs&gt;</v>
      </c>
      <c r="R65" s="1206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</row>
    <row r="66" spans="3:18" x14ac:dyDescent="0.25">
      <c r="R66" s="1206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</row>
    <row r="67" spans="3:18" x14ac:dyDescent="0.25">
      <c r="R67" s="1206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</row>
    <row r="68" spans="3:18" x14ac:dyDescent="0.25">
      <c r="R68" s="1206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</row>
    <row r="69" spans="3:18" x14ac:dyDescent="0.25">
      <c r="R69" s="1206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</row>
  </sheetData>
  <mergeCells count="2">
    <mergeCell ref="B8:K18"/>
    <mergeCell ref="B6:K6"/>
  </mergeCells>
  <dataValidations disablePrompts="1" count="1">
    <dataValidation type="list" allowBlank="1" showInputMessage="1" showErrorMessage="1" sqref="B4" xr:uid="{9AB21C1C-622A-40ED-B730-8E704B78E943}">
      <formula1>$M$4:$M$60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view="pageBreakPreview" zoomScale="85" zoomScaleNormal="85" zoomScaleSheetLayoutView="85" workbookViewId="0">
      <pane xSplit="1" ySplit="5" topLeftCell="B18" activePane="bottomRight" state="frozen"/>
      <selection activeCell="C12" sqref="C12"/>
      <selection pane="topRight" activeCell="C12" sqref="C12"/>
      <selection pane="bottomLeft" activeCell="C12" sqref="C12"/>
      <selection pane="bottomRight" activeCell="C53" sqref="C52:C53"/>
    </sheetView>
  </sheetViews>
  <sheetFormatPr defaultColWidth="9.140625" defaultRowHeight="14.25" x14ac:dyDescent="0.25"/>
  <cols>
    <col min="1" max="1" width="52.5703125" style="1007" customWidth="1"/>
    <col min="2" max="2" width="12.140625" style="1007" customWidth="1"/>
    <col min="3" max="3" width="15" style="1007" customWidth="1"/>
    <col min="4" max="4" width="15.85546875" style="1007" customWidth="1"/>
    <col min="5" max="5" width="16.85546875" style="1007" customWidth="1"/>
    <col min="6" max="6" width="18" style="1007" customWidth="1"/>
    <col min="7" max="7" width="19.5703125" style="1007" customWidth="1"/>
    <col min="8" max="8" width="17.140625" style="1007" customWidth="1"/>
    <col min="9" max="9" width="18.28515625" style="1007" customWidth="1"/>
    <col min="10" max="11" width="15.7109375" style="1007" customWidth="1"/>
    <col min="12" max="12" width="17.5703125" style="1007" customWidth="1"/>
    <col min="13" max="15" width="19.28515625" style="1007" customWidth="1"/>
    <col min="16" max="16" width="15.140625" style="1007" bestFit="1" customWidth="1"/>
    <col min="17" max="16384" width="9.140625" style="1007"/>
  </cols>
  <sheetData>
    <row r="1" spans="1:15" x14ac:dyDescent="0.25">
      <c r="A1" s="1008" t="s">
        <v>354</v>
      </c>
    </row>
    <row r="3" spans="1:15" x14ac:dyDescent="0.25">
      <c r="A3" s="1008" t="s">
        <v>265</v>
      </c>
    </row>
    <row r="5" spans="1:15" x14ac:dyDescent="0.25">
      <c r="A5" s="1009">
        <v>2022</v>
      </c>
      <c r="B5" s="1009" t="s">
        <v>144</v>
      </c>
      <c r="C5" s="1009" t="s">
        <v>266</v>
      </c>
      <c r="D5" s="1009" t="s">
        <v>83</v>
      </c>
      <c r="E5" s="1009" t="s">
        <v>321</v>
      </c>
      <c r="F5" s="1009" t="s">
        <v>267</v>
      </c>
      <c r="G5" s="1009" t="s">
        <v>84</v>
      </c>
      <c r="H5" s="1009" t="s">
        <v>268</v>
      </c>
      <c r="I5" s="1009" t="s">
        <v>269</v>
      </c>
      <c r="J5" s="1009" t="s">
        <v>270</v>
      </c>
      <c r="K5" s="1009" t="s">
        <v>85</v>
      </c>
      <c r="L5" s="1009" t="s">
        <v>271</v>
      </c>
      <c r="M5" s="1009" t="s">
        <v>272</v>
      </c>
      <c r="N5" s="1009" t="s">
        <v>273</v>
      </c>
      <c r="O5" s="1009" t="s">
        <v>274</v>
      </c>
    </row>
    <row r="6" spans="1:15" x14ac:dyDescent="0.25">
      <c r="A6" s="1010" t="s">
        <v>275</v>
      </c>
      <c r="B6" s="1011"/>
      <c r="C6" s="1011" t="s">
        <v>396</v>
      </c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1011"/>
      <c r="O6" s="1011"/>
    </row>
    <row r="7" spans="1:15" x14ac:dyDescent="0.25">
      <c r="A7" s="1012" t="s">
        <v>276</v>
      </c>
      <c r="B7" s="1013" t="s">
        <v>277</v>
      </c>
      <c r="C7" s="1045"/>
      <c r="D7" s="1045"/>
      <c r="E7" s="1045"/>
      <c r="F7" s="1045"/>
      <c r="G7" s="1045"/>
      <c r="H7" s="1045"/>
      <c r="I7" s="1045"/>
      <c r="J7" s="1045"/>
      <c r="K7" s="1045"/>
      <c r="L7" s="1045"/>
      <c r="M7" s="1045"/>
      <c r="N7" s="1045"/>
      <c r="O7" s="1045"/>
    </row>
    <row r="8" spans="1:15" x14ac:dyDescent="0.25">
      <c r="A8" s="1012" t="s">
        <v>278</v>
      </c>
      <c r="B8" s="1013" t="s">
        <v>279</v>
      </c>
      <c r="C8" s="1016"/>
      <c r="D8" s="1016"/>
      <c r="E8" s="1016"/>
      <c r="F8" s="1016"/>
      <c r="G8" s="1016"/>
      <c r="H8" s="1016"/>
      <c r="I8" s="1016"/>
      <c r="J8" s="1016"/>
      <c r="K8" s="1016"/>
      <c r="L8" s="1016"/>
      <c r="M8" s="1016"/>
      <c r="N8" s="1016"/>
      <c r="O8" s="1016"/>
    </row>
    <row r="9" spans="1:15" x14ac:dyDescent="0.25">
      <c r="A9" s="1017" t="s">
        <v>280</v>
      </c>
      <c r="B9" s="1013" t="s">
        <v>281</v>
      </c>
      <c r="C9" s="1019"/>
      <c r="D9" s="1019"/>
      <c r="E9" s="1019"/>
      <c r="F9" s="1019"/>
      <c r="G9" s="1019"/>
      <c r="H9" s="1019"/>
      <c r="I9" s="1019"/>
      <c r="J9" s="1019"/>
      <c r="K9" s="1019"/>
      <c r="L9" s="1019"/>
      <c r="M9" s="1019"/>
      <c r="N9" s="1019"/>
      <c r="O9" s="1019"/>
    </row>
    <row r="10" spans="1:15" x14ac:dyDescent="0.25">
      <c r="A10" s="1017" t="s">
        <v>322</v>
      </c>
      <c r="B10" s="1013" t="s">
        <v>283</v>
      </c>
      <c r="C10" s="1019"/>
      <c r="D10" s="1019"/>
      <c r="E10" s="1019"/>
      <c r="F10" s="1019"/>
      <c r="G10" s="1019"/>
      <c r="H10" s="1019"/>
      <c r="I10" s="1019"/>
      <c r="J10" s="1019"/>
      <c r="K10" s="1019"/>
      <c r="L10" s="1019"/>
      <c r="M10" s="1019"/>
      <c r="N10" s="1019"/>
      <c r="O10" s="1019"/>
    </row>
    <row r="11" spans="1:15" x14ac:dyDescent="0.25">
      <c r="A11" s="1017" t="s">
        <v>323</v>
      </c>
      <c r="B11" s="1013" t="s">
        <v>283</v>
      </c>
      <c r="C11" s="1019"/>
      <c r="D11" s="1019"/>
      <c r="E11" s="1019"/>
      <c r="F11" s="1019"/>
      <c r="G11" s="1019"/>
      <c r="H11" s="1019"/>
      <c r="I11" s="1019"/>
      <c r="J11" s="1019"/>
      <c r="K11" s="1019"/>
      <c r="L11" s="1019"/>
      <c r="M11" s="1019"/>
      <c r="N11" s="1019"/>
      <c r="O11" s="1019"/>
    </row>
    <row r="12" spans="1:15" x14ac:dyDescent="0.25">
      <c r="A12" s="1017" t="s">
        <v>285</v>
      </c>
      <c r="B12" s="1013" t="s">
        <v>286</v>
      </c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</row>
    <row r="13" spans="1:15" x14ac:dyDescent="0.25">
      <c r="A13" s="1058" t="s">
        <v>324</v>
      </c>
      <c r="B13" s="1059" t="s">
        <v>283</v>
      </c>
      <c r="C13" s="1060">
        <f>ROUND((C9-15)/261*C12,4)</f>
        <v>0</v>
      </c>
      <c r="D13" s="1061">
        <f t="shared" ref="D13:O13" si="0">ROUND((D9-15)/261*D12,4)</f>
        <v>0</v>
      </c>
      <c r="E13" s="1062">
        <f>ROUND((E9-15)/261*E12,4)</f>
        <v>0</v>
      </c>
      <c r="F13" s="1062">
        <f>ROUND((F9-15)/261*F12,4)</f>
        <v>0</v>
      </c>
      <c r="G13" s="1060">
        <f t="shared" si="0"/>
        <v>0</v>
      </c>
      <c r="H13" s="1060">
        <f t="shared" si="0"/>
        <v>0</v>
      </c>
      <c r="I13" s="1060">
        <f t="shared" si="0"/>
        <v>0</v>
      </c>
      <c r="J13" s="1060">
        <f t="shared" si="0"/>
        <v>0</v>
      </c>
      <c r="K13" s="1060">
        <f t="shared" si="0"/>
        <v>0</v>
      </c>
      <c r="L13" s="1060">
        <f t="shared" si="0"/>
        <v>0</v>
      </c>
      <c r="M13" s="1062">
        <f t="shared" si="0"/>
        <v>0</v>
      </c>
      <c r="N13" s="1062">
        <f t="shared" si="0"/>
        <v>0</v>
      </c>
      <c r="O13" s="1062">
        <f t="shared" si="0"/>
        <v>0</v>
      </c>
    </row>
    <row r="14" spans="1:15" x14ac:dyDescent="0.25">
      <c r="A14" s="1017" t="s">
        <v>140</v>
      </c>
      <c r="B14" s="1013" t="s">
        <v>289</v>
      </c>
      <c r="C14" s="1019"/>
      <c r="D14" s="1019"/>
      <c r="E14" s="1019"/>
      <c r="F14" s="1019"/>
      <c r="G14" s="1019"/>
      <c r="H14" s="1019"/>
      <c r="I14" s="1019"/>
      <c r="J14" s="1019"/>
      <c r="K14" s="1019"/>
      <c r="L14" s="1019"/>
      <c r="M14" s="1019"/>
      <c r="N14" s="1019"/>
      <c r="O14" s="1019"/>
    </row>
    <row r="15" spans="1:15" x14ac:dyDescent="0.25">
      <c r="A15" s="1017" t="s">
        <v>145</v>
      </c>
      <c r="B15" s="1013" t="s">
        <v>289</v>
      </c>
      <c r="C15" s="1019"/>
      <c r="D15" s="1019"/>
      <c r="E15" s="1019"/>
      <c r="F15" s="1019"/>
      <c r="G15" s="1019"/>
      <c r="H15" s="1019"/>
      <c r="I15" s="1019"/>
      <c r="J15" s="1019"/>
      <c r="K15" s="1019"/>
      <c r="L15" s="1019"/>
      <c r="M15" s="1019"/>
      <c r="N15" s="1019"/>
      <c r="O15" s="1019"/>
    </row>
    <row r="16" spans="1:15" x14ac:dyDescent="0.25">
      <c r="A16" s="1017" t="s">
        <v>151</v>
      </c>
      <c r="B16" s="1013" t="s">
        <v>289</v>
      </c>
      <c r="C16" s="1019"/>
      <c r="D16" s="1019"/>
      <c r="E16" s="1019"/>
      <c r="F16" s="1019"/>
      <c r="G16" s="1019"/>
      <c r="H16" s="1019"/>
      <c r="I16" s="1019"/>
      <c r="J16" s="1019"/>
      <c r="K16" s="1019"/>
      <c r="L16" s="1019"/>
      <c r="M16" s="1019"/>
      <c r="N16" s="1019"/>
      <c r="O16" s="1019"/>
    </row>
    <row r="17" spans="1:15" x14ac:dyDescent="0.25">
      <c r="A17" s="1012" t="s">
        <v>142</v>
      </c>
      <c r="B17" s="1013" t="s">
        <v>289</v>
      </c>
      <c r="C17" s="1019"/>
      <c r="D17" s="1019"/>
      <c r="E17" s="1019"/>
      <c r="F17" s="1019"/>
      <c r="G17" s="1019"/>
      <c r="H17" s="1019"/>
      <c r="I17" s="1019"/>
      <c r="J17" s="1019"/>
      <c r="K17" s="1019"/>
      <c r="L17" s="1019"/>
      <c r="M17" s="1019"/>
      <c r="N17" s="1019"/>
      <c r="O17" s="1019"/>
    </row>
    <row r="18" spans="1:15" x14ac:dyDescent="0.25">
      <c r="A18" s="1012" t="s">
        <v>325</v>
      </c>
      <c r="B18" s="1013" t="s">
        <v>295</v>
      </c>
      <c r="C18" s="1019"/>
      <c r="D18" s="1019"/>
      <c r="E18" s="1019"/>
      <c r="F18" s="1019"/>
      <c r="G18" s="1019"/>
      <c r="H18" s="1019"/>
      <c r="I18" s="1019"/>
      <c r="J18" s="1019"/>
      <c r="K18" s="1019"/>
      <c r="L18" s="1019"/>
      <c r="M18" s="1019"/>
      <c r="N18" s="1019"/>
      <c r="O18" s="1019"/>
    </row>
    <row r="19" spans="1:15" x14ac:dyDescent="0.25">
      <c r="A19" s="1012" t="s">
        <v>296</v>
      </c>
      <c r="B19" s="1013" t="s">
        <v>295</v>
      </c>
      <c r="C19" s="1019"/>
      <c r="D19" s="1019"/>
      <c r="E19" s="1019"/>
      <c r="F19" s="1019"/>
      <c r="G19" s="1019"/>
      <c r="H19" s="1019"/>
      <c r="I19" s="1019"/>
      <c r="J19" s="1019"/>
      <c r="K19" s="1019"/>
      <c r="L19" s="1019"/>
      <c r="M19" s="1019"/>
      <c r="N19" s="1019"/>
      <c r="O19" s="1019"/>
    </row>
    <row r="20" spans="1:15" x14ac:dyDescent="0.25">
      <c r="A20" s="1012" t="s">
        <v>297</v>
      </c>
      <c r="B20" s="1013" t="s">
        <v>295</v>
      </c>
      <c r="C20" s="1019"/>
      <c r="D20" s="1019"/>
      <c r="E20" s="1019"/>
      <c r="F20" s="1019"/>
      <c r="G20" s="1019"/>
      <c r="H20" s="1019"/>
      <c r="I20" s="1019"/>
      <c r="J20" s="1019"/>
      <c r="K20" s="1019"/>
      <c r="L20" s="1019"/>
      <c r="M20" s="1019"/>
      <c r="N20" s="1019"/>
      <c r="O20" s="1019"/>
    </row>
    <row r="21" spans="1:15" ht="0.75" customHeight="1" x14ac:dyDescent="0.25">
      <c r="A21" s="1012" t="s">
        <v>326</v>
      </c>
      <c r="B21" s="1013" t="s">
        <v>289</v>
      </c>
      <c r="C21" s="1019"/>
      <c r="D21" s="1019"/>
      <c r="E21" s="1019"/>
      <c r="F21" s="1019"/>
      <c r="G21" s="1019"/>
      <c r="H21" s="1019"/>
      <c r="I21" s="1019"/>
      <c r="J21" s="1019"/>
      <c r="K21" s="1019"/>
      <c r="L21" s="1019"/>
      <c r="M21" s="1019"/>
      <c r="N21" s="1019"/>
      <c r="O21" s="1019"/>
    </row>
    <row r="22" spans="1:15" hidden="1" x14ac:dyDescent="0.25">
      <c r="A22" s="1012" t="s">
        <v>327</v>
      </c>
      <c r="B22" s="1013" t="s">
        <v>289</v>
      </c>
      <c r="C22" s="1019"/>
      <c r="D22" s="1019"/>
      <c r="E22" s="1019"/>
      <c r="F22" s="1019"/>
      <c r="G22" s="1019"/>
      <c r="H22" s="1019"/>
      <c r="I22" s="1019"/>
      <c r="J22" s="1019"/>
      <c r="K22" s="1019"/>
      <c r="L22" s="1019"/>
      <c r="M22" s="1019"/>
      <c r="N22" s="1019"/>
      <c r="O22" s="1019"/>
    </row>
    <row r="23" spans="1:15" x14ac:dyDescent="0.25">
      <c r="A23" s="1060" t="s">
        <v>328</v>
      </c>
      <c r="B23" s="1059" t="s">
        <v>295</v>
      </c>
      <c r="C23" s="1062"/>
      <c r="D23" s="1060"/>
      <c r="E23" s="1060"/>
      <c r="F23" s="1060"/>
      <c r="G23" s="1060"/>
      <c r="H23" s="1060"/>
      <c r="I23" s="1060"/>
      <c r="J23" s="1060"/>
      <c r="K23" s="1060"/>
      <c r="L23" s="1060"/>
      <c r="M23" s="1060"/>
      <c r="N23" s="1060"/>
      <c r="O23" s="1060"/>
    </row>
    <row r="24" spans="1:15" x14ac:dyDescent="0.25">
      <c r="A24" s="1012" t="s">
        <v>301</v>
      </c>
      <c r="B24" s="1013" t="s">
        <v>289</v>
      </c>
      <c r="C24" s="1019"/>
      <c r="D24" s="1019"/>
      <c r="E24" s="1019"/>
      <c r="F24" s="1019"/>
      <c r="G24" s="1019"/>
      <c r="H24" s="1019"/>
      <c r="I24" s="1019"/>
      <c r="J24" s="1019"/>
      <c r="K24" s="1019"/>
      <c r="L24" s="1019"/>
      <c r="M24" s="1019"/>
      <c r="N24" s="1019"/>
      <c r="O24" s="1019"/>
    </row>
    <row r="25" spans="1:15" x14ac:dyDescent="0.25">
      <c r="A25" s="1012" t="s">
        <v>302</v>
      </c>
      <c r="B25" s="1013" t="s">
        <v>289</v>
      </c>
      <c r="C25" s="1019"/>
      <c r="D25" s="1019"/>
      <c r="E25" s="1019"/>
      <c r="F25" s="1019"/>
      <c r="G25" s="1019"/>
      <c r="H25" s="1019"/>
      <c r="I25" s="1019"/>
      <c r="J25" s="1019"/>
      <c r="K25" s="1019"/>
      <c r="L25" s="1019"/>
      <c r="M25" s="1019"/>
      <c r="N25" s="1019"/>
      <c r="O25" s="1019"/>
    </row>
    <row r="26" spans="1:15" x14ac:dyDescent="0.25">
      <c r="A26" s="1012" t="s">
        <v>303</v>
      </c>
      <c r="B26" s="1013" t="s">
        <v>289</v>
      </c>
      <c r="C26" s="1019"/>
      <c r="D26" s="1019"/>
      <c r="E26" s="1019"/>
      <c r="F26" s="1019"/>
      <c r="G26" s="1019"/>
      <c r="H26" s="1019"/>
      <c r="I26" s="1019"/>
      <c r="J26" s="1019"/>
      <c r="K26" s="1019"/>
      <c r="L26" s="1019"/>
      <c r="M26" s="1019"/>
      <c r="N26" s="1019"/>
      <c r="O26" s="1019"/>
    </row>
    <row r="27" spans="1:15" x14ac:dyDescent="0.25">
      <c r="A27" s="1012" t="s">
        <v>304</v>
      </c>
      <c r="B27" s="1013" t="s">
        <v>289</v>
      </c>
      <c r="C27" s="1019"/>
      <c r="D27" s="1019"/>
      <c r="E27" s="1019"/>
      <c r="F27" s="1019"/>
      <c r="G27" s="1019"/>
      <c r="H27" s="1019"/>
      <c r="I27" s="1019"/>
      <c r="J27" s="1019"/>
      <c r="K27" s="1019"/>
      <c r="L27" s="1019"/>
      <c r="M27" s="1019"/>
      <c r="N27" s="1019"/>
      <c r="O27" s="1019"/>
    </row>
    <row r="28" spans="1:15" x14ac:dyDescent="0.25">
      <c r="A28" s="1012" t="s">
        <v>329</v>
      </c>
      <c r="B28" s="1013" t="s">
        <v>289</v>
      </c>
      <c r="C28" s="1019"/>
      <c r="D28" s="1019"/>
      <c r="E28" s="1019"/>
      <c r="F28" s="1019"/>
      <c r="G28" s="1019"/>
      <c r="H28" s="1019"/>
      <c r="I28" s="1019"/>
      <c r="J28" s="1019"/>
      <c r="K28" s="1019"/>
      <c r="L28" s="1019"/>
      <c r="M28" s="1019"/>
      <c r="N28" s="1019"/>
      <c r="O28" s="1019"/>
    </row>
    <row r="29" spans="1:15" x14ac:dyDescent="0.25">
      <c r="A29" s="1060" t="s">
        <v>306</v>
      </c>
      <c r="B29" s="1059" t="s">
        <v>283</v>
      </c>
      <c r="C29" s="1062">
        <f t="shared" ref="C29:O29" si="1">ROUND(C26*C12*C27-C25,4)</f>
        <v>0</v>
      </c>
      <c r="D29" s="1060">
        <f t="shared" si="1"/>
        <v>0</v>
      </c>
      <c r="E29" s="1062">
        <f t="shared" si="1"/>
        <v>0</v>
      </c>
      <c r="F29" s="1062">
        <f t="shared" si="1"/>
        <v>0</v>
      </c>
      <c r="G29" s="1060">
        <f t="shared" si="1"/>
        <v>0</v>
      </c>
      <c r="H29" s="1062">
        <f t="shared" si="1"/>
        <v>0</v>
      </c>
      <c r="I29" s="1060">
        <f t="shared" si="1"/>
        <v>0</v>
      </c>
      <c r="J29" s="1060">
        <f>ROUND(J26*J12*J27-J25,4)</f>
        <v>0</v>
      </c>
      <c r="K29" s="1060">
        <f t="shared" si="1"/>
        <v>0</v>
      </c>
      <c r="L29" s="1060">
        <f t="shared" si="1"/>
        <v>0</v>
      </c>
      <c r="M29" s="1060">
        <f t="shared" si="1"/>
        <v>0</v>
      </c>
      <c r="N29" s="1060">
        <f t="shared" si="1"/>
        <v>0</v>
      </c>
      <c r="O29" s="1060">
        <f t="shared" si="1"/>
        <v>0</v>
      </c>
    </row>
    <row r="30" spans="1:15" x14ac:dyDescent="0.25">
      <c r="A30" s="1034" t="s">
        <v>343</v>
      </c>
      <c r="B30" s="1035"/>
      <c r="C30" s="1036"/>
      <c r="D30" s="1036"/>
      <c r="E30" s="1036"/>
      <c r="F30" s="1036"/>
      <c r="G30" s="1036"/>
      <c r="H30" s="1036"/>
      <c r="I30" s="1011"/>
      <c r="J30" s="1036"/>
      <c r="K30" s="1037"/>
      <c r="L30" s="1036"/>
      <c r="M30" s="1036"/>
      <c r="N30" s="1036"/>
      <c r="O30" s="1036"/>
    </row>
    <row r="31" spans="1:15" x14ac:dyDescent="0.25">
      <c r="A31" s="1012" t="s">
        <v>307</v>
      </c>
      <c r="B31" s="1013" t="s">
        <v>308</v>
      </c>
      <c r="C31" s="1019"/>
      <c r="D31" s="1019"/>
      <c r="E31" s="1019"/>
      <c r="F31" s="1019"/>
      <c r="G31" s="1019"/>
      <c r="H31" s="1019"/>
      <c r="I31" s="1019"/>
      <c r="J31" s="1019"/>
      <c r="K31" s="1019"/>
      <c r="L31" s="1019"/>
      <c r="M31" s="1019"/>
      <c r="N31" s="1019"/>
      <c r="O31" s="1019"/>
    </row>
    <row r="32" spans="1:15" x14ac:dyDescent="0.25">
      <c r="A32" s="1063" t="s">
        <v>309</v>
      </c>
      <c r="B32" s="1064" t="s">
        <v>208</v>
      </c>
      <c r="C32" s="1063"/>
      <c r="D32" s="1063"/>
      <c r="E32" s="1063"/>
      <c r="F32" s="1063"/>
      <c r="G32" s="1063"/>
      <c r="H32" s="1063"/>
      <c r="I32" s="1063"/>
      <c r="J32" s="1063"/>
      <c r="K32" s="1063"/>
      <c r="L32" s="1063"/>
      <c r="M32" s="1063"/>
      <c r="N32" s="1063"/>
      <c r="O32" s="1063"/>
    </row>
    <row r="33" spans="1:15" x14ac:dyDescent="0.25">
      <c r="A33" s="1012" t="s">
        <v>310</v>
      </c>
      <c r="B33" s="1013" t="s">
        <v>308</v>
      </c>
      <c r="C33" s="1065"/>
      <c r="D33" s="1065"/>
      <c r="E33" s="1065"/>
      <c r="F33" s="1065"/>
      <c r="G33" s="1065"/>
      <c r="H33" s="1065"/>
      <c r="I33" s="1065"/>
      <c r="J33" s="1065"/>
      <c r="K33" s="1065"/>
      <c r="L33" s="1065"/>
      <c r="M33" s="1065"/>
      <c r="N33" s="1065"/>
      <c r="O33" s="1065"/>
    </row>
    <row r="34" spans="1:15" x14ac:dyDescent="0.25">
      <c r="A34" s="1012" t="s">
        <v>311</v>
      </c>
      <c r="B34" s="1013" t="s">
        <v>308</v>
      </c>
      <c r="C34" s="1065"/>
      <c r="D34" s="1065"/>
      <c r="E34" s="1065"/>
      <c r="F34" s="1065"/>
      <c r="G34" s="1065"/>
      <c r="H34" s="1065"/>
      <c r="I34" s="1065"/>
      <c r="J34" s="1065"/>
      <c r="K34" s="1065"/>
      <c r="L34" s="1065"/>
      <c r="M34" s="1065"/>
      <c r="N34" s="1065"/>
      <c r="O34" s="1065"/>
    </row>
    <row r="35" spans="1:15" x14ac:dyDescent="0.25">
      <c r="A35" s="1012" t="s">
        <v>312</v>
      </c>
      <c r="B35" s="1013" t="s">
        <v>283</v>
      </c>
      <c r="C35" s="1040"/>
      <c r="D35" s="1040"/>
      <c r="E35" s="1040"/>
      <c r="F35" s="1040"/>
      <c r="G35" s="1040"/>
      <c r="H35" s="1040"/>
      <c r="I35" s="1040"/>
      <c r="J35" s="1040"/>
      <c r="K35" s="1040"/>
      <c r="L35" s="1040"/>
      <c r="M35" s="1040"/>
      <c r="N35" s="1040"/>
      <c r="O35" s="1040"/>
    </row>
    <row r="36" spans="1:15" x14ac:dyDescent="0.25">
      <c r="A36" s="1012" t="s">
        <v>331</v>
      </c>
      <c r="B36" s="1013" t="s">
        <v>289</v>
      </c>
      <c r="C36" s="1040"/>
      <c r="D36" s="1040"/>
      <c r="E36" s="1040"/>
      <c r="F36" s="1040"/>
      <c r="G36" s="1040"/>
      <c r="H36" s="1040"/>
      <c r="I36" s="1040"/>
      <c r="J36" s="1040"/>
      <c r="K36" s="1040"/>
      <c r="L36" s="1040"/>
      <c r="M36" s="1040"/>
      <c r="N36" s="1040"/>
      <c r="O36" s="1040"/>
    </row>
    <row r="37" spans="1:15" x14ac:dyDescent="0.25">
      <c r="A37" s="1012" t="s">
        <v>332</v>
      </c>
      <c r="B37" s="1013" t="s">
        <v>289</v>
      </c>
      <c r="C37" s="1040"/>
      <c r="D37" s="1040"/>
      <c r="E37" s="1040"/>
      <c r="F37" s="1040"/>
      <c r="G37" s="1040"/>
      <c r="H37" s="1040"/>
      <c r="I37" s="1040"/>
      <c r="J37" s="1040"/>
      <c r="K37" s="1040"/>
      <c r="L37" s="1040"/>
      <c r="M37" s="1040"/>
      <c r="N37" s="1040"/>
      <c r="O37" s="1040"/>
    </row>
    <row r="38" spans="1:15" s="1066" customFormat="1" ht="18" customHeight="1" x14ac:dyDescent="0.25">
      <c r="A38" s="1023" t="s">
        <v>333</v>
      </c>
      <c r="B38" s="1024"/>
      <c r="C38" s="1044"/>
      <c r="D38" s="1044"/>
      <c r="E38" s="1044"/>
      <c r="F38" s="1044"/>
      <c r="G38" s="1044"/>
      <c r="H38" s="1044"/>
      <c r="I38" s="1044"/>
      <c r="J38" s="1044"/>
      <c r="K38" s="1044"/>
      <c r="L38" s="1044"/>
      <c r="M38" s="1044"/>
      <c r="N38" s="1044"/>
      <c r="O38" s="1044"/>
    </row>
    <row r="39" spans="1:15" x14ac:dyDescent="0.25">
      <c r="A39" s="1067" t="s">
        <v>344</v>
      </c>
      <c r="B39" s="1068" t="s">
        <v>314</v>
      </c>
      <c r="C39" s="1069">
        <f>C34*C38</f>
        <v>0</v>
      </c>
      <c r="D39" s="1069">
        <f t="shared" ref="D39:O39" si="2">ROUND(D34*D38,0)</f>
        <v>0</v>
      </c>
      <c r="E39" s="1069">
        <f>ROUND(E34*E38,0)</f>
        <v>0</v>
      </c>
      <c r="F39" s="1069">
        <f>ROUND(F34*F38,0)</f>
        <v>0</v>
      </c>
      <c r="G39" s="1069">
        <f t="shared" si="2"/>
        <v>0</v>
      </c>
      <c r="H39" s="1069">
        <f t="shared" si="2"/>
        <v>0</v>
      </c>
      <c r="I39" s="1069">
        <f t="shared" si="2"/>
        <v>0</v>
      </c>
      <c r="J39" s="1069">
        <f t="shared" si="2"/>
        <v>0</v>
      </c>
      <c r="K39" s="1069">
        <f t="shared" si="2"/>
        <v>0</v>
      </c>
      <c r="L39" s="1069">
        <f>ROUND(L34*L38,0)</f>
        <v>0</v>
      </c>
      <c r="M39" s="1069">
        <f t="shared" si="2"/>
        <v>0</v>
      </c>
      <c r="N39" s="1069">
        <f t="shared" si="2"/>
        <v>0</v>
      </c>
      <c r="O39" s="1069">
        <f t="shared" si="2"/>
        <v>0</v>
      </c>
    </row>
    <row r="40" spans="1:15" x14ac:dyDescent="0.25">
      <c r="A40" s="1034" t="s">
        <v>345</v>
      </c>
      <c r="B40" s="1035"/>
      <c r="C40" s="1036"/>
      <c r="D40" s="1036"/>
      <c r="E40" s="1036"/>
      <c r="F40" s="1036"/>
      <c r="G40" s="1036"/>
      <c r="H40" s="1036"/>
      <c r="I40" s="1011"/>
      <c r="J40" s="1036"/>
      <c r="K40" s="1037"/>
      <c r="L40" s="1036"/>
      <c r="M40" s="1036"/>
      <c r="N40" s="1036"/>
      <c r="O40" s="1036"/>
    </row>
    <row r="41" spans="1:15" x14ac:dyDescent="0.25">
      <c r="A41" s="1012" t="s">
        <v>307</v>
      </c>
      <c r="B41" s="1013" t="s">
        <v>308</v>
      </c>
      <c r="C41" s="1019"/>
      <c r="D41" s="1019"/>
      <c r="E41" s="1019"/>
      <c r="F41" s="1019"/>
      <c r="G41" s="1019"/>
      <c r="H41" s="1019"/>
      <c r="I41" s="1019"/>
      <c r="J41" s="1019"/>
      <c r="K41" s="1019"/>
      <c r="L41" s="1019"/>
      <c r="M41" s="1019"/>
      <c r="N41" s="1019"/>
      <c r="O41" s="1019"/>
    </row>
    <row r="42" spans="1:15" x14ac:dyDescent="0.25">
      <c r="A42" s="1063" t="s">
        <v>309</v>
      </c>
      <c r="B42" s="1064" t="s">
        <v>208</v>
      </c>
      <c r="C42" s="1063"/>
      <c r="D42" s="1063"/>
      <c r="E42" s="1063"/>
      <c r="F42" s="1063"/>
      <c r="G42" s="1063"/>
      <c r="H42" s="1063"/>
      <c r="I42" s="1063"/>
      <c r="J42" s="1063"/>
      <c r="K42" s="1063"/>
      <c r="L42" s="1063"/>
      <c r="M42" s="1063"/>
      <c r="N42" s="1063"/>
      <c r="O42" s="1063"/>
    </row>
    <row r="43" spans="1:15" x14ac:dyDescent="0.25">
      <c r="A43" s="1012" t="s">
        <v>310</v>
      </c>
      <c r="B43" s="1013" t="s">
        <v>308</v>
      </c>
      <c r="C43" s="1065"/>
      <c r="D43" s="1065"/>
      <c r="E43" s="1065"/>
      <c r="F43" s="1065"/>
      <c r="G43" s="1065"/>
      <c r="H43" s="1065"/>
      <c r="I43" s="1065"/>
      <c r="J43" s="1065"/>
      <c r="K43" s="1065"/>
      <c r="L43" s="1065"/>
      <c r="M43" s="1065"/>
      <c r="N43" s="1065"/>
      <c r="O43" s="1065"/>
    </row>
    <row r="44" spans="1:15" x14ac:dyDescent="0.25">
      <c r="A44" s="1012" t="s">
        <v>311</v>
      </c>
      <c r="B44" s="1013" t="s">
        <v>308</v>
      </c>
      <c r="C44" s="1065"/>
      <c r="D44" s="1065"/>
      <c r="E44" s="1065"/>
      <c r="F44" s="1065"/>
      <c r="G44" s="1065"/>
      <c r="H44" s="1065"/>
      <c r="I44" s="1065"/>
      <c r="J44" s="1065"/>
      <c r="K44" s="1065"/>
      <c r="L44" s="1065"/>
      <c r="M44" s="1065"/>
      <c r="N44" s="1065"/>
      <c r="O44" s="1065"/>
    </row>
    <row r="45" spans="1:15" x14ac:dyDescent="0.25">
      <c r="A45" s="1012" t="s">
        <v>140</v>
      </c>
      <c r="B45" s="1013" t="s">
        <v>289</v>
      </c>
      <c r="C45" s="1070"/>
      <c r="D45" s="1070"/>
      <c r="E45" s="1070"/>
      <c r="F45" s="1070"/>
      <c r="G45" s="1070"/>
      <c r="H45" s="1070"/>
      <c r="I45" s="1070"/>
      <c r="J45" s="1070"/>
      <c r="K45" s="1070"/>
      <c r="L45" s="1070"/>
      <c r="M45" s="1070"/>
      <c r="N45" s="1070"/>
      <c r="O45" s="1070"/>
    </row>
    <row r="46" spans="1:15" x14ac:dyDescent="0.25">
      <c r="A46" s="1012" t="s">
        <v>312</v>
      </c>
      <c r="B46" s="1013" t="s">
        <v>283</v>
      </c>
      <c r="C46" s="1040"/>
      <c r="D46" s="1040"/>
      <c r="E46" s="1040"/>
      <c r="F46" s="1040"/>
      <c r="G46" s="1040"/>
      <c r="H46" s="1040"/>
      <c r="I46" s="1040"/>
      <c r="J46" s="1040"/>
      <c r="K46" s="1040"/>
      <c r="L46" s="1040"/>
      <c r="M46" s="1040"/>
      <c r="N46" s="1040"/>
      <c r="O46" s="1040"/>
    </row>
    <row r="47" spans="1:15" x14ac:dyDescent="0.25">
      <c r="A47" s="1012" t="s">
        <v>313</v>
      </c>
      <c r="B47" s="1013" t="s">
        <v>283</v>
      </c>
      <c r="C47" s="1040"/>
      <c r="D47" s="1040"/>
      <c r="E47" s="1040"/>
      <c r="F47" s="1040"/>
      <c r="G47" s="1040"/>
      <c r="H47" s="1040"/>
      <c r="I47" s="1040"/>
      <c r="J47" s="1040"/>
      <c r="K47" s="1040"/>
      <c r="L47" s="1040"/>
      <c r="M47" s="1040"/>
      <c r="N47" s="1040"/>
      <c r="O47" s="1040"/>
    </row>
    <row r="48" spans="1:15" x14ac:dyDescent="0.25">
      <c r="A48" s="1067" t="s">
        <v>353</v>
      </c>
      <c r="B48" s="1068" t="s">
        <v>314</v>
      </c>
      <c r="C48" s="1069">
        <f>ROUND(C47*C44,0)</f>
        <v>0</v>
      </c>
      <c r="D48" s="1069">
        <f>ROUND(D47*D44,0)</f>
        <v>0</v>
      </c>
      <c r="E48" s="1069">
        <f>ROUND(E47*E44,0)</f>
        <v>0</v>
      </c>
      <c r="F48" s="1069">
        <f>ROUND(F47*F44,0)</f>
        <v>0</v>
      </c>
      <c r="G48" s="1069">
        <f t="shared" ref="G48:O48" si="3">ROUND(G47*G44,0)</f>
        <v>0</v>
      </c>
      <c r="H48" s="1069">
        <f t="shared" si="3"/>
        <v>0</v>
      </c>
      <c r="I48" s="1069">
        <f t="shared" si="3"/>
        <v>0</v>
      </c>
      <c r="J48" s="1069">
        <f t="shared" si="3"/>
        <v>0</v>
      </c>
      <c r="K48" s="1069">
        <f t="shared" si="3"/>
        <v>0</v>
      </c>
      <c r="L48" s="1069">
        <f t="shared" si="3"/>
        <v>0</v>
      </c>
      <c r="M48" s="1069">
        <f t="shared" si="3"/>
        <v>0</v>
      </c>
      <c r="N48" s="1069">
        <f t="shared" si="3"/>
        <v>0</v>
      </c>
      <c r="O48" s="1069">
        <f t="shared" si="3"/>
        <v>0</v>
      </c>
    </row>
    <row r="49" spans="1:15" x14ac:dyDescent="0.25">
      <c r="A49" s="1034" t="s">
        <v>350</v>
      </c>
      <c r="B49" s="1035"/>
      <c r="C49" s="1036"/>
      <c r="D49" s="1036"/>
      <c r="E49" s="1036"/>
      <c r="F49" s="1036"/>
      <c r="G49" s="1036"/>
      <c r="H49" s="1036"/>
      <c r="I49" s="1011"/>
      <c r="J49" s="1036"/>
      <c r="K49" s="1037"/>
      <c r="L49" s="1036"/>
      <c r="M49" s="1036"/>
      <c r="N49" s="1036"/>
      <c r="O49" s="1036"/>
    </row>
    <row r="50" spans="1:15" x14ac:dyDescent="0.25">
      <c r="A50" s="1012" t="s">
        <v>307</v>
      </c>
      <c r="B50" s="1013" t="s">
        <v>308</v>
      </c>
      <c r="C50" s="1019"/>
      <c r="D50" s="1019"/>
      <c r="E50" s="1019"/>
      <c r="F50" s="1019"/>
      <c r="G50" s="1045"/>
      <c r="H50" s="1019"/>
      <c r="I50" s="1019"/>
      <c r="J50" s="1019"/>
      <c r="K50" s="1019"/>
      <c r="L50" s="1019"/>
      <c r="M50" s="1019"/>
      <c r="N50" s="1019"/>
      <c r="O50" s="1019"/>
    </row>
    <row r="51" spans="1:15" x14ac:dyDescent="0.25">
      <c r="A51" s="1063" t="s">
        <v>309</v>
      </c>
      <c r="B51" s="1064" t="s">
        <v>208</v>
      </c>
      <c r="C51" s="1063"/>
      <c r="D51" s="1063"/>
      <c r="E51" s="1063"/>
      <c r="F51" s="1063"/>
      <c r="G51" s="1063"/>
      <c r="H51" s="1063"/>
      <c r="I51" s="1063"/>
      <c r="J51" s="1063"/>
      <c r="K51" s="1063"/>
      <c r="L51" s="1063"/>
      <c r="M51" s="1063"/>
      <c r="N51" s="1063"/>
      <c r="O51" s="1063"/>
    </row>
    <row r="52" spans="1:15" x14ac:dyDescent="0.25">
      <c r="A52" s="1012">
        <v>2983</v>
      </c>
      <c r="B52" s="1013" t="s">
        <v>308</v>
      </c>
      <c r="C52" s="1065"/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</row>
    <row r="53" spans="1:15" x14ac:dyDescent="0.25">
      <c r="A53" s="1012" t="s">
        <v>311</v>
      </c>
      <c r="B53" s="1013" t="s">
        <v>308</v>
      </c>
      <c r="C53" s="1065"/>
      <c r="D53" s="1065"/>
      <c r="E53" s="1065"/>
      <c r="F53" s="1065"/>
      <c r="G53" s="1065"/>
      <c r="H53" s="1065"/>
      <c r="I53" s="1065"/>
      <c r="J53" s="1065"/>
      <c r="K53" s="1065"/>
      <c r="L53" s="1065"/>
      <c r="M53" s="1065"/>
      <c r="N53" s="1065"/>
      <c r="O53" s="1065"/>
    </row>
    <row r="54" spans="1:15" x14ac:dyDescent="0.25">
      <c r="A54" s="1012" t="s">
        <v>312</v>
      </c>
      <c r="B54" s="1013" t="s">
        <v>283</v>
      </c>
      <c r="C54" s="1040"/>
      <c r="D54" s="1040"/>
      <c r="E54" s="1040"/>
      <c r="F54" s="1040"/>
      <c r="G54" s="1040"/>
      <c r="H54" s="1040"/>
      <c r="I54" s="1040"/>
      <c r="J54" s="1040"/>
      <c r="K54" s="1040"/>
      <c r="L54" s="1040"/>
      <c r="M54" s="1040"/>
      <c r="N54" s="1040"/>
      <c r="O54" s="1040"/>
    </row>
    <row r="55" spans="1:15" x14ac:dyDescent="0.25">
      <c r="A55" s="1012" t="s">
        <v>313</v>
      </c>
      <c r="B55" s="1013" t="s">
        <v>283</v>
      </c>
      <c r="C55" s="1040"/>
      <c r="D55" s="1040"/>
      <c r="E55" s="1040"/>
      <c r="F55" s="1040"/>
      <c r="G55" s="1040"/>
      <c r="H55" s="1040"/>
      <c r="I55" s="1040"/>
      <c r="J55" s="1040"/>
      <c r="K55" s="1040"/>
      <c r="L55" s="1040"/>
      <c r="M55" s="1040"/>
      <c r="N55" s="1040"/>
      <c r="O55" s="1040"/>
    </row>
    <row r="56" spans="1:15" x14ac:dyDescent="0.25">
      <c r="A56" s="1067" t="s">
        <v>347</v>
      </c>
      <c r="B56" s="1068" t="s">
        <v>314</v>
      </c>
      <c r="C56" s="1069">
        <f>ROUND(C55*C53,0)</f>
        <v>0</v>
      </c>
      <c r="D56" s="1069">
        <f>ROUND(D55*D53,0)</f>
        <v>0</v>
      </c>
      <c r="E56" s="1069">
        <f>ROUND(E55*E53,0)</f>
        <v>0</v>
      </c>
      <c r="F56" s="1069">
        <f>ROUND(F55*F53,0)</f>
        <v>0</v>
      </c>
      <c r="G56" s="1069">
        <f t="shared" ref="G56:O56" si="4">ROUND(G55*G53,0)</f>
        <v>0</v>
      </c>
      <c r="H56" s="1069">
        <f t="shared" si="4"/>
        <v>0</v>
      </c>
      <c r="I56" s="1069">
        <f t="shared" si="4"/>
        <v>0</v>
      </c>
      <c r="J56" s="1069">
        <f t="shared" si="4"/>
        <v>0</v>
      </c>
      <c r="K56" s="1069">
        <f t="shared" si="4"/>
        <v>0</v>
      </c>
      <c r="L56" s="1069">
        <f>ROUND(L55*L53,0)</f>
        <v>0</v>
      </c>
      <c r="M56" s="1069">
        <f t="shared" si="4"/>
        <v>0</v>
      </c>
      <c r="N56" s="1069">
        <f t="shared" si="4"/>
        <v>0</v>
      </c>
      <c r="O56" s="1069">
        <f t="shared" si="4"/>
        <v>0</v>
      </c>
    </row>
    <row r="57" spans="1:15" x14ac:dyDescent="0.25">
      <c r="A57" s="1034" t="s">
        <v>351</v>
      </c>
      <c r="B57" s="1035"/>
      <c r="C57" s="1036"/>
      <c r="D57" s="1036"/>
      <c r="E57" s="1036"/>
      <c r="F57" s="1036"/>
      <c r="G57" s="1036"/>
      <c r="H57" s="1036"/>
      <c r="I57" s="1011"/>
      <c r="J57" s="1036"/>
      <c r="K57" s="1037"/>
      <c r="L57" s="1036"/>
      <c r="M57" s="1036"/>
      <c r="N57" s="1036"/>
      <c r="O57" s="1036"/>
    </row>
    <row r="58" spans="1:15" x14ac:dyDescent="0.25">
      <c r="A58" s="1012" t="s">
        <v>307</v>
      </c>
      <c r="B58" s="1013" t="s">
        <v>308</v>
      </c>
      <c r="C58" s="1019"/>
      <c r="D58" s="1019"/>
      <c r="E58" s="1019"/>
      <c r="F58" s="1019"/>
      <c r="G58" s="1045"/>
      <c r="H58" s="1019"/>
      <c r="I58" s="1019"/>
      <c r="J58" s="1019"/>
      <c r="K58" s="1019"/>
      <c r="L58" s="1019"/>
      <c r="M58" s="1019"/>
      <c r="N58" s="1019"/>
      <c r="O58" s="1019"/>
    </row>
    <row r="59" spans="1:15" x14ac:dyDescent="0.25">
      <c r="A59" s="1063" t="s">
        <v>309</v>
      </c>
      <c r="B59" s="1064" t="s">
        <v>208</v>
      </c>
      <c r="C59" s="1063"/>
      <c r="D59" s="1063"/>
      <c r="E59" s="1063"/>
      <c r="F59" s="1063"/>
      <c r="G59" s="1063"/>
      <c r="H59" s="1063"/>
      <c r="I59" s="1063"/>
      <c r="J59" s="1063"/>
      <c r="K59" s="1063"/>
      <c r="L59" s="1063"/>
      <c r="M59" s="1063"/>
      <c r="N59" s="1063"/>
      <c r="O59" s="1063"/>
    </row>
    <row r="60" spans="1:15" x14ac:dyDescent="0.25">
      <c r="A60" s="1012" t="s">
        <v>310</v>
      </c>
      <c r="B60" s="1013" t="s">
        <v>308</v>
      </c>
      <c r="C60" s="1065"/>
      <c r="D60" s="1065"/>
      <c r="E60" s="1065"/>
      <c r="F60" s="1065"/>
      <c r="G60" s="1065"/>
      <c r="H60" s="1065"/>
      <c r="I60" s="1065"/>
      <c r="J60" s="1065"/>
      <c r="K60" s="1065"/>
      <c r="L60" s="1065"/>
      <c r="M60" s="1065"/>
      <c r="N60" s="1065"/>
      <c r="O60" s="1065"/>
    </row>
    <row r="61" spans="1:15" x14ac:dyDescent="0.25">
      <c r="A61" s="1012" t="s">
        <v>311</v>
      </c>
      <c r="B61" s="1013" t="s">
        <v>308</v>
      </c>
      <c r="C61" s="1065"/>
      <c r="D61" s="1065"/>
      <c r="E61" s="1065"/>
      <c r="F61" s="1065"/>
      <c r="G61" s="1065"/>
      <c r="H61" s="1065"/>
      <c r="I61" s="1065"/>
      <c r="J61" s="1065"/>
      <c r="K61" s="1065"/>
      <c r="L61" s="1065"/>
      <c r="M61" s="1065"/>
      <c r="N61" s="1065"/>
      <c r="O61" s="1065"/>
    </row>
    <row r="62" spans="1:15" x14ac:dyDescent="0.25">
      <c r="A62" s="1012" t="s">
        <v>140</v>
      </c>
      <c r="B62" s="1013" t="s">
        <v>289</v>
      </c>
      <c r="C62" s="1070"/>
      <c r="D62" s="1070"/>
      <c r="E62" s="1070"/>
      <c r="F62" s="1070"/>
      <c r="G62" s="1070"/>
      <c r="H62" s="1070"/>
      <c r="I62" s="1070"/>
      <c r="J62" s="1070"/>
      <c r="K62" s="1070"/>
      <c r="L62" s="1070"/>
      <c r="M62" s="1070"/>
      <c r="N62" s="1070"/>
      <c r="O62" s="1070"/>
    </row>
    <row r="63" spans="1:15" x14ac:dyDescent="0.25">
      <c r="A63" s="1012" t="s">
        <v>312</v>
      </c>
      <c r="B63" s="1013" t="s">
        <v>283</v>
      </c>
      <c r="C63" s="1040"/>
      <c r="D63" s="1040"/>
      <c r="E63" s="1040"/>
      <c r="F63" s="1040"/>
      <c r="G63" s="1040"/>
      <c r="H63" s="1040"/>
      <c r="I63" s="1040"/>
      <c r="J63" s="1040"/>
      <c r="K63" s="1040"/>
      <c r="L63" s="1040"/>
      <c r="M63" s="1040"/>
      <c r="N63" s="1040"/>
      <c r="O63" s="1040"/>
    </row>
    <row r="64" spans="1:15" x14ac:dyDescent="0.25">
      <c r="A64" s="1012" t="s">
        <v>313</v>
      </c>
      <c r="B64" s="1013" t="s">
        <v>283</v>
      </c>
      <c r="C64" s="1040"/>
      <c r="D64" s="1040"/>
      <c r="E64" s="1040"/>
      <c r="F64" s="1040"/>
      <c r="G64" s="1040"/>
      <c r="H64" s="1040"/>
      <c r="I64" s="1040"/>
      <c r="J64" s="1040"/>
      <c r="K64" s="1040"/>
      <c r="L64" s="1040"/>
      <c r="M64" s="1040"/>
      <c r="N64" s="1040"/>
      <c r="O64" s="1040"/>
    </row>
    <row r="65" spans="1:16" x14ac:dyDescent="0.25">
      <c r="A65" s="1067" t="s">
        <v>348</v>
      </c>
      <c r="B65" s="1068" t="s">
        <v>314</v>
      </c>
      <c r="C65" s="1069">
        <f t="shared" ref="C65:O65" si="5">ROUND(C64*C61,0)</f>
        <v>0</v>
      </c>
      <c r="D65" s="1069">
        <f t="shared" si="5"/>
        <v>0</v>
      </c>
      <c r="E65" s="1069">
        <f>ROUND(E64*E61,0)</f>
        <v>0</v>
      </c>
      <c r="F65" s="1069">
        <f>ROUND(F64*F61,0)</f>
        <v>0</v>
      </c>
      <c r="G65" s="1069">
        <f t="shared" si="5"/>
        <v>0</v>
      </c>
      <c r="H65" s="1069">
        <f t="shared" si="5"/>
        <v>0</v>
      </c>
      <c r="I65" s="1069">
        <f t="shared" si="5"/>
        <v>0</v>
      </c>
      <c r="J65" s="1069">
        <f t="shared" si="5"/>
        <v>0</v>
      </c>
      <c r="K65" s="1069">
        <f t="shared" si="5"/>
        <v>0</v>
      </c>
      <c r="L65" s="1069">
        <f t="shared" si="5"/>
        <v>0</v>
      </c>
      <c r="M65" s="1069">
        <f t="shared" si="5"/>
        <v>0</v>
      </c>
      <c r="N65" s="1069">
        <f t="shared" si="5"/>
        <v>0</v>
      </c>
      <c r="O65" s="1069">
        <f t="shared" si="5"/>
        <v>0</v>
      </c>
    </row>
    <row r="66" spans="1:16" x14ac:dyDescent="0.25">
      <c r="A66" s="1034" t="s">
        <v>352</v>
      </c>
      <c r="B66" s="1035"/>
      <c r="C66" s="1036"/>
      <c r="D66" s="1036"/>
      <c r="E66" s="1036"/>
      <c r="F66" s="1036"/>
      <c r="G66" s="1036"/>
      <c r="H66" s="1036"/>
      <c r="I66" s="1011"/>
      <c r="J66" s="1036"/>
      <c r="K66" s="1037"/>
      <c r="L66" s="1036"/>
      <c r="M66" s="1036"/>
      <c r="N66" s="1036"/>
      <c r="O66" s="1036"/>
    </row>
    <row r="67" spans="1:16" x14ac:dyDescent="0.25">
      <c r="A67" s="1012" t="s">
        <v>307</v>
      </c>
      <c r="B67" s="1013" t="s">
        <v>308</v>
      </c>
      <c r="C67" s="1019"/>
      <c r="D67" s="1019"/>
      <c r="E67" s="1019"/>
      <c r="F67" s="1019"/>
      <c r="G67" s="1045"/>
      <c r="H67" s="1019"/>
      <c r="I67" s="1019"/>
      <c r="J67" s="1019"/>
      <c r="K67" s="1019"/>
      <c r="L67" s="1019"/>
      <c r="M67" s="1019"/>
      <c r="N67" s="1019"/>
      <c r="O67" s="1019"/>
    </row>
    <row r="68" spans="1:16" x14ac:dyDescent="0.25">
      <c r="A68" s="1063" t="s">
        <v>309</v>
      </c>
      <c r="B68" s="1064" t="s">
        <v>208</v>
      </c>
      <c r="C68" s="1063"/>
      <c r="D68" s="1063"/>
      <c r="E68" s="1063"/>
      <c r="F68" s="1063"/>
      <c r="G68" s="1063"/>
      <c r="H68" s="1063"/>
      <c r="I68" s="1063"/>
      <c r="J68" s="1063"/>
      <c r="K68" s="1063"/>
      <c r="L68" s="1063"/>
      <c r="M68" s="1063"/>
      <c r="N68" s="1063"/>
      <c r="O68" s="1063"/>
    </row>
    <row r="69" spans="1:16" x14ac:dyDescent="0.25">
      <c r="A69" s="1012" t="s">
        <v>310</v>
      </c>
      <c r="B69" s="1013" t="s">
        <v>308</v>
      </c>
      <c r="C69" s="1065"/>
      <c r="D69" s="1065"/>
      <c r="E69" s="1065"/>
      <c r="F69" s="1065"/>
      <c r="G69" s="1065"/>
      <c r="H69" s="1065"/>
      <c r="I69" s="1065"/>
      <c r="J69" s="1065"/>
      <c r="K69" s="1065"/>
      <c r="L69" s="1065"/>
      <c r="M69" s="1065"/>
      <c r="N69" s="1065"/>
      <c r="O69" s="1065"/>
    </row>
    <row r="70" spans="1:16" x14ac:dyDescent="0.25">
      <c r="A70" s="1012" t="s">
        <v>311</v>
      </c>
      <c r="B70" s="1013" t="s">
        <v>308</v>
      </c>
      <c r="C70" s="1065"/>
      <c r="D70" s="1065"/>
      <c r="E70" s="1065"/>
      <c r="F70" s="1065"/>
      <c r="G70" s="1065"/>
      <c r="H70" s="1065"/>
      <c r="I70" s="1065"/>
      <c r="J70" s="1065"/>
      <c r="K70" s="1065"/>
      <c r="L70" s="1065"/>
      <c r="M70" s="1065"/>
      <c r="N70" s="1065"/>
      <c r="O70" s="1065"/>
    </row>
    <row r="71" spans="1:16" x14ac:dyDescent="0.25">
      <c r="A71" s="1012" t="s">
        <v>140</v>
      </c>
      <c r="B71" s="1013" t="s">
        <v>289</v>
      </c>
      <c r="C71" s="1070"/>
      <c r="D71" s="1070"/>
      <c r="E71" s="1070"/>
      <c r="F71" s="1070"/>
      <c r="G71" s="1070"/>
      <c r="H71" s="1070"/>
      <c r="I71" s="1070"/>
      <c r="J71" s="1070"/>
      <c r="K71" s="1070"/>
      <c r="L71" s="1070"/>
      <c r="M71" s="1070"/>
      <c r="N71" s="1070"/>
      <c r="O71" s="1070"/>
    </row>
    <row r="72" spans="1:16" x14ac:dyDescent="0.25">
      <c r="A72" s="1012" t="s">
        <v>312</v>
      </c>
      <c r="B72" s="1013" t="s">
        <v>283</v>
      </c>
      <c r="C72" s="1040"/>
      <c r="D72" s="1040"/>
      <c r="E72" s="1040"/>
      <c r="F72" s="1040"/>
      <c r="G72" s="1040"/>
      <c r="H72" s="1040"/>
      <c r="I72" s="1040"/>
      <c r="J72" s="1040"/>
      <c r="K72" s="1040"/>
      <c r="L72" s="1040"/>
      <c r="M72" s="1040"/>
      <c r="N72" s="1040"/>
      <c r="O72" s="1040"/>
    </row>
    <row r="73" spans="1:16" x14ac:dyDescent="0.25">
      <c r="A73" s="1012" t="s">
        <v>313</v>
      </c>
      <c r="B73" s="1013" t="s">
        <v>283</v>
      </c>
      <c r="C73" s="1040"/>
      <c r="D73" s="1040"/>
      <c r="E73" s="1040"/>
      <c r="F73" s="1040"/>
      <c r="G73" s="1040"/>
      <c r="H73" s="1040"/>
      <c r="I73" s="1040"/>
      <c r="J73" s="1040"/>
      <c r="K73" s="1040"/>
      <c r="L73" s="1040"/>
      <c r="M73" s="1040"/>
      <c r="N73" s="1040"/>
      <c r="O73" s="1040"/>
    </row>
    <row r="74" spans="1:16" x14ac:dyDescent="0.25">
      <c r="A74" s="1067" t="s">
        <v>349</v>
      </c>
      <c r="B74" s="1068" t="s">
        <v>314</v>
      </c>
      <c r="C74" s="1069">
        <f t="shared" ref="C74:O74" si="6">ROUND(C73*C70,0)</f>
        <v>0</v>
      </c>
      <c r="D74" s="1069">
        <f t="shared" si="6"/>
        <v>0</v>
      </c>
      <c r="E74" s="1069">
        <f t="shared" si="6"/>
        <v>0</v>
      </c>
      <c r="F74" s="1069">
        <f t="shared" si="6"/>
        <v>0</v>
      </c>
      <c r="G74" s="1069">
        <f t="shared" si="6"/>
        <v>0</v>
      </c>
      <c r="H74" s="1069">
        <f t="shared" si="6"/>
        <v>0</v>
      </c>
      <c r="I74" s="1069">
        <f t="shared" si="6"/>
        <v>0</v>
      </c>
      <c r="J74" s="1069">
        <f t="shared" si="6"/>
        <v>0</v>
      </c>
      <c r="K74" s="1069">
        <f t="shared" si="6"/>
        <v>0</v>
      </c>
      <c r="L74" s="1069">
        <f t="shared" si="6"/>
        <v>0</v>
      </c>
      <c r="M74" s="1069">
        <f t="shared" si="6"/>
        <v>0</v>
      </c>
      <c r="N74" s="1069">
        <f t="shared" si="6"/>
        <v>0</v>
      </c>
      <c r="O74" s="1069">
        <f t="shared" si="6"/>
        <v>0</v>
      </c>
    </row>
    <row r="75" spans="1:16" x14ac:dyDescent="0.25">
      <c r="A75" s="1047" t="s">
        <v>317</v>
      </c>
      <c r="B75" s="1048"/>
      <c r="C75" s="1049">
        <f t="shared" ref="C75:O75" si="7">C39+C48+C56+C65+C74</f>
        <v>0</v>
      </c>
      <c r="D75" s="1049">
        <f t="shared" si="7"/>
        <v>0</v>
      </c>
      <c r="E75" s="1049">
        <f t="shared" si="7"/>
        <v>0</v>
      </c>
      <c r="F75" s="1049">
        <f t="shared" si="7"/>
        <v>0</v>
      </c>
      <c r="G75" s="1049">
        <f t="shared" si="7"/>
        <v>0</v>
      </c>
      <c r="H75" s="1049">
        <f t="shared" si="7"/>
        <v>0</v>
      </c>
      <c r="I75" s="1049">
        <f t="shared" si="7"/>
        <v>0</v>
      </c>
      <c r="J75" s="1049">
        <f t="shared" si="7"/>
        <v>0</v>
      </c>
      <c r="K75" s="1049">
        <f t="shared" si="7"/>
        <v>0</v>
      </c>
      <c r="L75" s="1049">
        <f t="shared" si="7"/>
        <v>0</v>
      </c>
      <c r="M75" s="1049">
        <f t="shared" si="7"/>
        <v>0</v>
      </c>
      <c r="N75" s="1049">
        <f t="shared" si="7"/>
        <v>0</v>
      </c>
      <c r="O75" s="1049">
        <f t="shared" si="7"/>
        <v>0</v>
      </c>
      <c r="P75" s="1071"/>
    </row>
    <row r="76" spans="1:16" x14ac:dyDescent="0.25">
      <c r="A76" s="1007" t="s">
        <v>338</v>
      </c>
      <c r="C76" s="1051">
        <f t="shared" ref="C76:O76" si="8">C31+C41+C50+C58+C67</f>
        <v>0</v>
      </c>
      <c r="D76" s="1051">
        <f t="shared" si="8"/>
        <v>0</v>
      </c>
      <c r="E76" s="1051">
        <f>E31+E41+E50+E58+E67</f>
        <v>0</v>
      </c>
      <c r="F76" s="1051">
        <f>F31+F41+F50+F58+F67</f>
        <v>0</v>
      </c>
      <c r="G76" s="1051">
        <f t="shared" si="8"/>
        <v>0</v>
      </c>
      <c r="H76" s="1051">
        <f t="shared" si="8"/>
        <v>0</v>
      </c>
      <c r="I76" s="1051">
        <f t="shared" si="8"/>
        <v>0</v>
      </c>
      <c r="J76" s="1051">
        <f t="shared" si="8"/>
        <v>0</v>
      </c>
      <c r="K76" s="1051">
        <f t="shared" si="8"/>
        <v>0</v>
      </c>
      <c r="L76" s="1051">
        <f t="shared" si="8"/>
        <v>0</v>
      </c>
      <c r="M76" s="1051">
        <f t="shared" si="8"/>
        <v>0</v>
      </c>
      <c r="N76" s="1051">
        <f t="shared" si="8"/>
        <v>0</v>
      </c>
      <c r="O76" s="1051">
        <f t="shared" si="8"/>
        <v>0</v>
      </c>
      <c r="P76" s="1071"/>
    </row>
    <row r="77" spans="1:16" x14ac:dyDescent="0.25">
      <c r="A77" s="1007" t="s">
        <v>339</v>
      </c>
      <c r="C77" s="1072"/>
      <c r="D77" s="1072"/>
      <c r="E77" s="1072"/>
      <c r="F77" s="1060"/>
      <c r="G77" s="1072"/>
      <c r="H77" s="1062"/>
      <c r="I77" s="1072"/>
      <c r="J77" s="1073"/>
      <c r="K77" s="1073"/>
      <c r="L77" s="1073"/>
      <c r="M77" s="1073"/>
      <c r="N77" s="1073"/>
    </row>
    <row r="78" spans="1:16" x14ac:dyDescent="0.25">
      <c r="A78" s="1052" t="s">
        <v>340</v>
      </c>
      <c r="B78" s="1052"/>
      <c r="C78" s="1074">
        <f>C79+C80+C81+C82+C83</f>
        <v>0</v>
      </c>
      <c r="D78" s="1074">
        <f>D83+D82+D81+D80+D79</f>
        <v>0</v>
      </c>
      <c r="E78" s="1074">
        <f>E83+E82+E81+E80+E79</f>
        <v>0</v>
      </c>
      <c r="F78" s="1074"/>
      <c r="G78" s="1074"/>
      <c r="H78" s="1049"/>
      <c r="I78" s="1049">
        <f t="shared" ref="I78:O78" si="9">I79+I80+I81+I82+I83</f>
        <v>0</v>
      </c>
      <c r="J78" s="1049">
        <f t="shared" si="9"/>
        <v>0</v>
      </c>
      <c r="K78" s="1049">
        <f t="shared" si="9"/>
        <v>0</v>
      </c>
      <c r="L78" s="1049">
        <f t="shared" si="9"/>
        <v>0</v>
      </c>
      <c r="M78" s="1049">
        <f t="shared" si="9"/>
        <v>0</v>
      </c>
      <c r="N78" s="1049">
        <f t="shared" si="9"/>
        <v>0</v>
      </c>
      <c r="O78" s="1049">
        <f t="shared" si="9"/>
        <v>0</v>
      </c>
    </row>
    <row r="79" spans="1:16" x14ac:dyDescent="0.25">
      <c r="A79" s="1007" t="str">
        <f>A30</f>
        <v>Месторождение 1</v>
      </c>
      <c r="C79" s="1071"/>
      <c r="D79" s="1071"/>
      <c r="E79" s="1075"/>
      <c r="F79" s="1075"/>
      <c r="G79" s="1076"/>
      <c r="H79" s="1071"/>
      <c r="I79" s="1077"/>
      <c r="J79" s="1071"/>
      <c r="K79" s="1071"/>
      <c r="L79" s="1071"/>
    </row>
    <row r="80" spans="1:16" x14ac:dyDescent="0.25">
      <c r="A80" s="1007" t="str">
        <f>A40</f>
        <v>Месторождение 2</v>
      </c>
      <c r="C80" s="1071"/>
      <c r="D80" s="1071"/>
      <c r="E80" s="1071"/>
      <c r="F80" s="1071"/>
      <c r="G80" s="1071"/>
      <c r="H80" s="1071"/>
      <c r="I80" s="1071"/>
      <c r="J80" s="1071"/>
      <c r="K80" s="1071"/>
      <c r="L80" s="1071"/>
    </row>
    <row r="81" spans="1:15" x14ac:dyDescent="0.25">
      <c r="A81" s="1007" t="str">
        <f>A49</f>
        <v>Месторождение 3</v>
      </c>
      <c r="C81" s="1071"/>
      <c r="D81" s="1071"/>
      <c r="E81" s="1071"/>
      <c r="F81" s="1071"/>
      <c r="G81" s="1071"/>
      <c r="H81" s="1071"/>
      <c r="I81" s="1071"/>
      <c r="J81" s="1071"/>
      <c r="K81" s="1071"/>
      <c r="L81" s="1071"/>
    </row>
    <row r="82" spans="1:15" x14ac:dyDescent="0.25">
      <c r="A82" s="1007" t="str">
        <f>A57</f>
        <v>Месторождение 4</v>
      </c>
      <c r="C82" s="1071"/>
      <c r="D82" s="1071"/>
      <c r="E82" s="1071"/>
      <c r="F82" s="1071"/>
      <c r="G82" s="1071"/>
      <c r="H82" s="1071"/>
      <c r="I82" s="1071"/>
      <c r="J82" s="1071"/>
      <c r="K82" s="1071"/>
      <c r="L82" s="1071"/>
    </row>
    <row r="83" spans="1:15" x14ac:dyDescent="0.25">
      <c r="A83" s="1007" t="str">
        <f>A66</f>
        <v>Месторождение 5</v>
      </c>
      <c r="C83" s="1071"/>
      <c r="D83" s="1071"/>
      <c r="E83" s="1071"/>
      <c r="F83" s="1071"/>
      <c r="G83" s="1071"/>
      <c r="H83" s="1071"/>
      <c r="I83" s="1071"/>
      <c r="J83" s="1071"/>
      <c r="K83" s="1071"/>
      <c r="L83" s="1071"/>
    </row>
    <row r="84" spans="1:15" x14ac:dyDescent="0.25">
      <c r="A84" s="1007" t="s">
        <v>341</v>
      </c>
      <c r="C84" s="1078">
        <f t="shared" ref="C84:N84" si="10">C75-C78</f>
        <v>0</v>
      </c>
      <c r="D84" s="1078">
        <f t="shared" si="10"/>
        <v>0</v>
      </c>
      <c r="E84" s="1078">
        <f t="shared" si="10"/>
        <v>0</v>
      </c>
      <c r="F84" s="1078">
        <f>F75-F78</f>
        <v>0</v>
      </c>
      <c r="G84" s="1078">
        <f t="shared" si="10"/>
        <v>0</v>
      </c>
      <c r="H84" s="1078">
        <f t="shared" si="10"/>
        <v>0</v>
      </c>
      <c r="I84" s="1078">
        <f t="shared" si="10"/>
        <v>0</v>
      </c>
      <c r="J84" s="1078">
        <f t="shared" si="10"/>
        <v>0</v>
      </c>
      <c r="K84" s="1078">
        <f t="shared" si="10"/>
        <v>0</v>
      </c>
      <c r="L84" s="1078">
        <f t="shared" si="10"/>
        <v>0</v>
      </c>
      <c r="M84" s="1078">
        <f t="shared" si="10"/>
        <v>0</v>
      </c>
      <c r="N84" s="1078">
        <f t="shared" si="10"/>
        <v>0</v>
      </c>
      <c r="O84" s="1078">
        <f>O75-O78</f>
        <v>0</v>
      </c>
    </row>
    <row r="85" spans="1:15" x14ac:dyDescent="0.25">
      <c r="A85" s="1007" t="s">
        <v>330</v>
      </c>
      <c r="C85" s="1071">
        <f t="shared" ref="C85:J85" si="11">C39-C79</f>
        <v>0</v>
      </c>
      <c r="D85" s="1071">
        <f t="shared" si="11"/>
        <v>0</v>
      </c>
      <c r="E85" s="1071">
        <f t="shared" si="11"/>
        <v>0</v>
      </c>
      <c r="F85" s="1071">
        <f t="shared" si="11"/>
        <v>0</v>
      </c>
      <c r="G85" s="1071">
        <f t="shared" si="11"/>
        <v>0</v>
      </c>
      <c r="H85" s="1071">
        <f t="shared" si="11"/>
        <v>0</v>
      </c>
      <c r="I85" s="1071">
        <f t="shared" si="11"/>
        <v>0</v>
      </c>
      <c r="J85" s="1071">
        <f t="shared" si="11"/>
        <v>0</v>
      </c>
      <c r="K85" s="1071">
        <f>K39-K79</f>
        <v>0</v>
      </c>
      <c r="L85" s="1071">
        <f>L39-L79</f>
        <v>0</v>
      </c>
      <c r="M85" s="1071">
        <f>M39-M79</f>
        <v>0</v>
      </c>
      <c r="N85" s="1071">
        <f>N39-N79</f>
        <v>0</v>
      </c>
      <c r="O85" s="1071">
        <f>O39-O79</f>
        <v>0</v>
      </c>
    </row>
    <row r="86" spans="1:15" x14ac:dyDescent="0.25">
      <c r="A86" s="1007" t="s">
        <v>334</v>
      </c>
      <c r="C86" s="1071">
        <f t="shared" ref="C86:N86" si="12">C48-C80</f>
        <v>0</v>
      </c>
      <c r="D86" s="1071">
        <f t="shared" si="12"/>
        <v>0</v>
      </c>
      <c r="E86" s="1071">
        <f t="shared" si="12"/>
        <v>0</v>
      </c>
      <c r="F86" s="1071">
        <f t="shared" si="12"/>
        <v>0</v>
      </c>
      <c r="G86" s="1071">
        <f t="shared" si="12"/>
        <v>0</v>
      </c>
      <c r="H86" s="1071">
        <f t="shared" si="12"/>
        <v>0</v>
      </c>
      <c r="I86" s="1071">
        <f t="shared" si="12"/>
        <v>0</v>
      </c>
      <c r="J86" s="1071">
        <f t="shared" si="12"/>
        <v>0</v>
      </c>
      <c r="K86" s="1071">
        <f t="shared" si="12"/>
        <v>0</v>
      </c>
      <c r="L86" s="1071">
        <f t="shared" si="12"/>
        <v>0</v>
      </c>
      <c r="M86" s="1071">
        <f t="shared" si="12"/>
        <v>0</v>
      </c>
      <c r="N86" s="1071">
        <f t="shared" si="12"/>
        <v>0</v>
      </c>
      <c r="O86" s="1071">
        <f>O48-O80</f>
        <v>0</v>
      </c>
    </row>
    <row r="87" spans="1:15" x14ac:dyDescent="0.25">
      <c r="A87" s="1007" t="s">
        <v>335</v>
      </c>
      <c r="C87" s="1071">
        <f t="shared" ref="C87:K87" si="13">C56-C81</f>
        <v>0</v>
      </c>
      <c r="D87" s="1071">
        <f t="shared" si="13"/>
        <v>0</v>
      </c>
      <c r="E87" s="1071">
        <f t="shared" si="13"/>
        <v>0</v>
      </c>
      <c r="F87" s="1071">
        <f t="shared" si="13"/>
        <v>0</v>
      </c>
      <c r="G87" s="1071">
        <f t="shared" si="13"/>
        <v>0</v>
      </c>
      <c r="H87" s="1071">
        <f t="shared" si="13"/>
        <v>0</v>
      </c>
      <c r="I87" s="1071">
        <f t="shared" si="13"/>
        <v>0</v>
      </c>
      <c r="J87" s="1071">
        <f t="shared" si="13"/>
        <v>0</v>
      </c>
      <c r="K87" s="1071">
        <f t="shared" si="13"/>
        <v>0</v>
      </c>
      <c r="L87" s="1071">
        <f>L56-L81</f>
        <v>0</v>
      </c>
      <c r="M87" s="1071">
        <f>M56-M81</f>
        <v>0</v>
      </c>
      <c r="N87" s="1071">
        <f>N56-N81</f>
        <v>0</v>
      </c>
      <c r="O87" s="1071">
        <f>O56-O81</f>
        <v>0</v>
      </c>
    </row>
    <row r="88" spans="1:15" x14ac:dyDescent="0.25">
      <c r="A88" s="1007" t="s">
        <v>336</v>
      </c>
      <c r="C88" s="1071">
        <f t="shared" ref="C88:K88" si="14">C65-C82</f>
        <v>0</v>
      </c>
      <c r="D88" s="1071">
        <f t="shared" si="14"/>
        <v>0</v>
      </c>
      <c r="E88" s="1071">
        <f t="shared" si="14"/>
        <v>0</v>
      </c>
      <c r="F88" s="1071">
        <f t="shared" si="14"/>
        <v>0</v>
      </c>
      <c r="G88" s="1071">
        <f t="shared" si="14"/>
        <v>0</v>
      </c>
      <c r="H88" s="1071">
        <f t="shared" si="14"/>
        <v>0</v>
      </c>
      <c r="I88" s="1071">
        <f t="shared" si="14"/>
        <v>0</v>
      </c>
      <c r="J88" s="1071">
        <f t="shared" si="14"/>
        <v>0</v>
      </c>
      <c r="K88" s="1071">
        <f t="shared" si="14"/>
        <v>0</v>
      </c>
      <c r="L88" s="1071">
        <f>L65-L82</f>
        <v>0</v>
      </c>
      <c r="M88" s="1071">
        <f>M65-M82</f>
        <v>0</v>
      </c>
      <c r="N88" s="1071">
        <f>N65-N82</f>
        <v>0</v>
      </c>
      <c r="O88" s="1071">
        <f>O65-O82</f>
        <v>0</v>
      </c>
    </row>
    <row r="89" spans="1:15" x14ac:dyDescent="0.25">
      <c r="A89" s="1007" t="s">
        <v>337</v>
      </c>
      <c r="C89" s="1071">
        <f t="shared" ref="C89:K89" si="15">C74-C83</f>
        <v>0</v>
      </c>
      <c r="D89" s="1071">
        <f t="shared" si="15"/>
        <v>0</v>
      </c>
      <c r="E89" s="1071">
        <f t="shared" si="15"/>
        <v>0</v>
      </c>
      <c r="F89" s="1071">
        <f t="shared" si="15"/>
        <v>0</v>
      </c>
      <c r="G89" s="1071">
        <f t="shared" si="15"/>
        <v>0</v>
      </c>
      <c r="H89" s="1071">
        <f t="shared" si="15"/>
        <v>0</v>
      </c>
      <c r="I89" s="1071">
        <f t="shared" si="15"/>
        <v>0</v>
      </c>
      <c r="J89" s="1071">
        <f t="shared" si="15"/>
        <v>0</v>
      </c>
      <c r="K89" s="1071">
        <f t="shared" si="15"/>
        <v>0</v>
      </c>
      <c r="L89" s="1071">
        <f>L74-L83</f>
        <v>0</v>
      </c>
      <c r="M89" s="1007">
        <v>0</v>
      </c>
      <c r="N89" s="1007">
        <v>0</v>
      </c>
      <c r="O89" s="1007">
        <v>0</v>
      </c>
    </row>
    <row r="91" spans="1:15" x14ac:dyDescent="0.25">
      <c r="A91" s="1007" t="s">
        <v>342</v>
      </c>
      <c r="C91" s="1007" t="e">
        <f>C75/C76</f>
        <v>#DIV/0!</v>
      </c>
      <c r="D91" s="1007" t="e">
        <f t="shared" ref="D91:O91" si="16">D75/D76</f>
        <v>#DIV/0!</v>
      </c>
      <c r="E91" s="1007" t="e">
        <f t="shared" si="16"/>
        <v>#DIV/0!</v>
      </c>
      <c r="F91" s="1007" t="e">
        <f t="shared" si="16"/>
        <v>#DIV/0!</v>
      </c>
      <c r="G91" s="1007" t="e">
        <f t="shared" si="16"/>
        <v>#DIV/0!</v>
      </c>
      <c r="H91" s="1007" t="e">
        <f t="shared" si="16"/>
        <v>#DIV/0!</v>
      </c>
      <c r="I91" s="1007" t="e">
        <f t="shared" si="16"/>
        <v>#DIV/0!</v>
      </c>
      <c r="J91" s="1007" t="e">
        <f t="shared" si="16"/>
        <v>#DIV/0!</v>
      </c>
      <c r="K91" s="1007" t="e">
        <f t="shared" si="16"/>
        <v>#DIV/0!</v>
      </c>
      <c r="L91" s="1007" t="e">
        <f t="shared" si="16"/>
        <v>#DIV/0!</v>
      </c>
      <c r="M91" s="1007" t="e">
        <f t="shared" si="16"/>
        <v>#DIV/0!</v>
      </c>
      <c r="N91" s="1007" t="e">
        <f t="shared" si="16"/>
        <v>#DIV/0!</v>
      </c>
      <c r="O91" s="1007" t="e">
        <f t="shared" si="16"/>
        <v>#DIV/0!</v>
      </c>
    </row>
  </sheetData>
  <autoFilter ref="A5:P75" xr:uid="{00000000-0009-0000-0000-000005000000}"/>
  <pageMargins left="0.31496062992125984" right="0" top="0" bottom="0" header="0" footer="0"/>
  <pageSetup paperSize="9" scale="8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8B3FB8-B6AB-4518-8EB5-A9367DC023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10</vt:i4>
      </vt:variant>
    </vt:vector>
  </HeadingPairs>
  <TitlesOfParts>
    <vt:vector size="18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Пользователь</cp:lastModifiedBy>
  <cp:lastPrinted>2023-01-13T06:54:17Z</cp:lastPrinted>
  <dcterms:created xsi:type="dcterms:W3CDTF">2022-12-16T14:06:12Z</dcterms:created>
  <dcterms:modified xsi:type="dcterms:W3CDTF">2023-09-23T19:02:12Z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