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emg/Documents/Projects/FA/Course III/EXCEL/task13/"/>
    </mc:Choice>
  </mc:AlternateContent>
  <xr:revisionPtr revIDLastSave="0" documentId="13_ncr:1_{2E52E8FB-67BF-914E-9815-B651B5593B80}" xr6:coauthVersionLast="47" xr6:coauthVersionMax="47" xr10:uidLastSave="{00000000-0000-0000-0000-000000000000}"/>
  <bookViews>
    <workbookView xWindow="20" yWindow="500" windowWidth="28800" windowHeight="16640" activeTab="1" xr2:uid="{00000000-000D-0000-FFFF-FFFF00000000}"/>
  </bookViews>
  <sheets>
    <sheet name="Отчет2 ТЕСТ" sheetId="24" r:id="rId1"/>
    <sheet name="Отчет1 ТЕСТ" sheetId="23" r:id="rId2"/>
    <sheet name="Премии" sheetId="14" r:id="rId3"/>
    <sheet name="Отчет1" sheetId="15" r:id="rId4"/>
    <sheet name="Отчет2" sheetId="17" r:id="rId5"/>
    <sheet name="Сводная таблица 1" sheetId="20" r:id="rId6"/>
    <sheet name="Сводная таблица 2" sheetId="21" r:id="rId7"/>
    <sheet name="Сводная таблица 3" sheetId="22" r:id="rId8"/>
    <sheet name="Продажи" sheetId="16" r:id="rId9"/>
    <sheet name=" Информация Клиенты" sheetId="1" r:id="rId10"/>
    <sheet name="ИнформацияТовары" sheetId="2" r:id="rId11"/>
    <sheet name="Информация Менеджеры" sheetId="3" r:id="rId12"/>
  </sheets>
  <definedNames>
    <definedName name="_xlnm._FilterDatabase" localSheetId="8" hidden="1">Продажи!$A$1:$G$52</definedName>
    <definedName name="Дата">Продажи!$A$2:$A$131</definedName>
    <definedName name="индекс_товара">Продажи!$I:$I</definedName>
    <definedName name="индексКлиенты">Продажи!$J:$J</definedName>
    <definedName name="Итог_стоимость" localSheetId="1">'Отчет1 ТЕСТ'!$A$3:$J$9</definedName>
    <definedName name="Итог_стоимость">Отчет1!$A$3:$J$9</definedName>
    <definedName name="ИтогЕИ" localSheetId="1">'Отчет1 ТЕСТ'!$A$11:$J$17</definedName>
    <definedName name="ИтогЕИ">Отчет1!$A$11:$J$17</definedName>
    <definedName name="клиент">' Информация Клиенты'!$A$2:$A$4</definedName>
    <definedName name="Количество">Продажи!$E$2:$E$131</definedName>
    <definedName name="Количество_к_возврату">Продажи!$I$2:$I$131</definedName>
    <definedName name="Конец_периода" localSheetId="1">'Отчет1 ТЕСТ'!$I$1</definedName>
    <definedName name="Конец_периода">Отчет1!$I$1</definedName>
    <definedName name="Наименование_клиента">Продажи!$C$2:$C$131</definedName>
    <definedName name="Наименование_Товара">Продажи!$D$2:$D$131</definedName>
    <definedName name="Начало_периода" localSheetId="1">'Отчет1 ТЕСТ'!$F$1</definedName>
    <definedName name="Начало_периода">Отчет1!$F$1</definedName>
    <definedName name="Стоимость">Продажи!$G$2:$G$131</definedName>
    <definedName name="Стоимость_возврата">Продажи!$J$2:$J$131</definedName>
    <definedName name="Товар">ИнформацияТовары!$A$2:$A$10</definedName>
    <definedName name="ФИО_менеджера">Продажи!$B$2:$B$131</definedName>
    <definedName name="ФИО1">'Информация Менеджеры'!$A$2:$A$6</definedName>
    <definedName name="ХарактеристикаТовара" localSheetId="1">Товары_цена[#All]</definedName>
    <definedName name="ХарактеристикаТовара" localSheetId="0">Товары_цена[#All]</definedName>
    <definedName name="ХарактеристикаТовара">Товары_цена[#All]</definedName>
    <definedName name="Цена_продажи">Продажи!$G$2:$G$131</definedName>
    <definedName name="Цены">ИнформацияТовары!$H$1:$M$9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23" l="1"/>
  <c r="E7" i="24"/>
  <c r="C18" i="24"/>
  <c r="D16" i="24"/>
  <c r="B16" i="24"/>
  <c r="C4" i="23"/>
  <c r="D4" i="23"/>
  <c r="E4" i="23"/>
  <c r="F4" i="23"/>
  <c r="G4" i="23"/>
  <c r="H4" i="23"/>
  <c r="I4" i="23"/>
  <c r="C5" i="23"/>
  <c r="D5" i="23"/>
  <c r="E5" i="23"/>
  <c r="F5" i="23"/>
  <c r="G5" i="23"/>
  <c r="H5" i="23"/>
  <c r="I5" i="23"/>
  <c r="C6" i="23"/>
  <c r="D6" i="23"/>
  <c r="E6" i="23"/>
  <c r="F6" i="23"/>
  <c r="G6" i="23"/>
  <c r="H6" i="23"/>
  <c r="I6" i="23"/>
  <c r="C7" i="23"/>
  <c r="D7" i="23"/>
  <c r="E7" i="23"/>
  <c r="F7" i="23"/>
  <c r="G7" i="23"/>
  <c r="H7" i="23"/>
  <c r="I7" i="23"/>
  <c r="I9" i="23" s="1"/>
  <c r="C8" i="23"/>
  <c r="C9" i="23" s="1"/>
  <c r="D8" i="23"/>
  <c r="E8" i="23"/>
  <c r="F8" i="23"/>
  <c r="G8" i="23"/>
  <c r="H8" i="23"/>
  <c r="I8" i="23"/>
  <c r="B5" i="23"/>
  <c r="B6" i="23"/>
  <c r="B7" i="23"/>
  <c r="B8" i="23"/>
  <c r="B4" i="23"/>
  <c r="C18" i="23"/>
  <c r="D18" i="23"/>
  <c r="E18" i="23"/>
  <c r="F18" i="23"/>
  <c r="G18" i="23"/>
  <c r="H18" i="23"/>
  <c r="I18" i="23"/>
  <c r="B18" i="23"/>
  <c r="C17" i="23"/>
  <c r="D17" i="23"/>
  <c r="E17" i="23"/>
  <c r="F17" i="23"/>
  <c r="F19" i="23" s="1"/>
  <c r="G17" i="23"/>
  <c r="G19" i="23" s="1"/>
  <c r="H17" i="23"/>
  <c r="I17" i="23"/>
  <c r="B17" i="23"/>
  <c r="B19" i="23" s="1"/>
  <c r="B16" i="23"/>
  <c r="B13" i="23"/>
  <c r="C13" i="23"/>
  <c r="D13" i="23"/>
  <c r="E13" i="23"/>
  <c r="F13" i="23"/>
  <c r="G13" i="23"/>
  <c r="H13" i="23"/>
  <c r="J13" i="23" s="1"/>
  <c r="I13" i="23"/>
  <c r="B14" i="23"/>
  <c r="J14" i="23" s="1"/>
  <c r="C14" i="23"/>
  <c r="D14" i="23"/>
  <c r="E14" i="23"/>
  <c r="F14" i="23"/>
  <c r="G14" i="23"/>
  <c r="H14" i="23"/>
  <c r="I14" i="23"/>
  <c r="B15" i="23"/>
  <c r="C15" i="23"/>
  <c r="D15" i="23"/>
  <c r="E15" i="23"/>
  <c r="F15" i="23"/>
  <c r="G15" i="23"/>
  <c r="H15" i="23"/>
  <c r="I15" i="23"/>
  <c r="C16" i="23"/>
  <c r="D16" i="23"/>
  <c r="E16" i="23"/>
  <c r="F16" i="23"/>
  <c r="G16" i="23"/>
  <c r="H16" i="23"/>
  <c r="I16" i="23"/>
  <c r="C12" i="23"/>
  <c r="D12" i="23"/>
  <c r="E12" i="23"/>
  <c r="F12" i="23"/>
  <c r="G12" i="23"/>
  <c r="H12" i="23"/>
  <c r="I12" i="23"/>
  <c r="B12" i="23"/>
  <c r="I26" i="23"/>
  <c r="H26" i="23"/>
  <c r="G26" i="23"/>
  <c r="F26" i="23"/>
  <c r="E26" i="23"/>
  <c r="D26" i="23"/>
  <c r="C26" i="23"/>
  <c r="B26" i="23"/>
  <c r="J26" i="23" s="1"/>
  <c r="I25" i="23"/>
  <c r="H25" i="23"/>
  <c r="G25" i="23"/>
  <c r="F25" i="23"/>
  <c r="E25" i="23"/>
  <c r="D25" i="23"/>
  <c r="C25" i="23"/>
  <c r="B25" i="23"/>
  <c r="J25" i="23" s="1"/>
  <c r="I24" i="23"/>
  <c r="H24" i="23"/>
  <c r="G24" i="23"/>
  <c r="F24" i="23"/>
  <c r="E24" i="23"/>
  <c r="D24" i="23"/>
  <c r="C24" i="23"/>
  <c r="B24" i="23"/>
  <c r="J24" i="23" s="1"/>
  <c r="I23" i="23"/>
  <c r="H23" i="23"/>
  <c r="G23" i="23"/>
  <c r="F23" i="23"/>
  <c r="E23" i="23"/>
  <c r="D23" i="23"/>
  <c r="C23" i="23"/>
  <c r="B23" i="23"/>
  <c r="J23" i="23" s="1"/>
  <c r="I22" i="23"/>
  <c r="I27" i="23" s="1"/>
  <c r="H22" i="23"/>
  <c r="G22" i="23"/>
  <c r="G27" i="23" s="1"/>
  <c r="F22" i="23"/>
  <c r="F27" i="23" s="1"/>
  <c r="E22" i="23"/>
  <c r="E27" i="23" s="1"/>
  <c r="D22" i="23"/>
  <c r="D27" i="23" s="1"/>
  <c r="C22" i="23"/>
  <c r="C27" i="23" s="1"/>
  <c r="B22" i="23"/>
  <c r="E9" i="23"/>
  <c r="B24" i="15"/>
  <c r="B4" i="15"/>
  <c r="D19" i="23" l="1"/>
  <c r="H9" i="23"/>
  <c r="G9" i="23"/>
  <c r="F9" i="23"/>
  <c r="H27" i="23"/>
  <c r="J16" i="23"/>
  <c r="C19" i="23"/>
  <c r="J19" i="23" s="1"/>
  <c r="J15" i="23"/>
  <c r="D9" i="23"/>
  <c r="B27" i="23"/>
  <c r="E19" i="23"/>
  <c r="J7" i="23"/>
  <c r="J6" i="23"/>
  <c r="J5" i="23"/>
  <c r="J8" i="23"/>
  <c r="B9" i="23"/>
  <c r="H19" i="23"/>
  <c r="I19" i="23"/>
  <c r="J17" i="23"/>
  <c r="J12" i="23"/>
  <c r="J18" i="23"/>
  <c r="J4" i="23"/>
  <c r="J22" i="23"/>
  <c r="B18" i="15"/>
  <c r="B13" i="15"/>
  <c r="C13" i="15"/>
  <c r="D13" i="15"/>
  <c r="E13" i="15"/>
  <c r="F13" i="15"/>
  <c r="G13" i="15"/>
  <c r="H13" i="15"/>
  <c r="I13" i="15"/>
  <c r="B14" i="15"/>
  <c r="C14" i="15"/>
  <c r="D14" i="15"/>
  <c r="E14" i="15"/>
  <c r="F14" i="15"/>
  <c r="G14" i="15"/>
  <c r="H14" i="15"/>
  <c r="I14" i="15"/>
  <c r="B15" i="15"/>
  <c r="C15" i="15"/>
  <c r="D15" i="15"/>
  <c r="E15" i="15"/>
  <c r="F15" i="15"/>
  <c r="G15" i="15"/>
  <c r="H15" i="15"/>
  <c r="I15" i="15"/>
  <c r="B16" i="15"/>
  <c r="C16" i="15"/>
  <c r="D16" i="15"/>
  <c r="E16" i="15"/>
  <c r="F16" i="15"/>
  <c r="G16" i="15"/>
  <c r="H16" i="15"/>
  <c r="I16" i="15"/>
  <c r="C12" i="15"/>
  <c r="D12" i="15"/>
  <c r="E12" i="15"/>
  <c r="F12" i="15"/>
  <c r="G12" i="15"/>
  <c r="H12" i="15"/>
  <c r="I12" i="15"/>
  <c r="B12" i="15"/>
  <c r="C18" i="15"/>
  <c r="D18" i="15"/>
  <c r="E18" i="15"/>
  <c r="F18" i="15"/>
  <c r="G18" i="15"/>
  <c r="H18" i="15"/>
  <c r="I18" i="15"/>
  <c r="B17" i="15"/>
  <c r="C17" i="15"/>
  <c r="D17" i="15"/>
  <c r="E17" i="15"/>
  <c r="F17" i="15"/>
  <c r="G17" i="15"/>
  <c r="H17" i="15"/>
  <c r="I17" i="15"/>
  <c r="B22" i="15"/>
  <c r="K2" i="16"/>
  <c r="B5" i="15"/>
  <c r="C5" i="15"/>
  <c r="D5" i="15"/>
  <c r="E5" i="15"/>
  <c r="F5" i="15"/>
  <c r="G5" i="15"/>
  <c r="H5" i="15"/>
  <c r="I5" i="15"/>
  <c r="B6" i="15"/>
  <c r="C6" i="15"/>
  <c r="D6" i="15"/>
  <c r="E6" i="15"/>
  <c r="F6" i="15"/>
  <c r="G6" i="15"/>
  <c r="H6" i="15"/>
  <c r="I6" i="15"/>
  <c r="B7" i="15"/>
  <c r="C7" i="15"/>
  <c r="D7" i="15"/>
  <c r="E7" i="15"/>
  <c r="F7" i="15"/>
  <c r="G7" i="15"/>
  <c r="H7" i="15"/>
  <c r="I7" i="15"/>
  <c r="B8" i="15"/>
  <c r="C8" i="15"/>
  <c r="D8" i="15"/>
  <c r="E8" i="15"/>
  <c r="F8" i="15"/>
  <c r="G8" i="15"/>
  <c r="H8" i="15"/>
  <c r="I8" i="15"/>
  <c r="C4" i="15"/>
  <c r="D4" i="15"/>
  <c r="E4" i="15"/>
  <c r="F4" i="15"/>
  <c r="G4" i="15"/>
  <c r="H4" i="15"/>
  <c r="I4" i="15"/>
  <c r="H25" i="15"/>
  <c r="B23" i="15"/>
  <c r="C23" i="15"/>
  <c r="D23" i="15"/>
  <c r="E23" i="15"/>
  <c r="F23" i="15"/>
  <c r="G23" i="15"/>
  <c r="H23" i="15"/>
  <c r="I23" i="15"/>
  <c r="C24" i="15"/>
  <c r="D24" i="15"/>
  <c r="E24" i="15"/>
  <c r="F24" i="15"/>
  <c r="G24" i="15"/>
  <c r="H24" i="15"/>
  <c r="I24" i="15"/>
  <c r="B25" i="15"/>
  <c r="C25" i="15"/>
  <c r="D25" i="15"/>
  <c r="E25" i="15"/>
  <c r="F25" i="15"/>
  <c r="G25" i="15"/>
  <c r="I25" i="15"/>
  <c r="B26" i="15"/>
  <c r="C26" i="15"/>
  <c r="D26" i="15"/>
  <c r="E26" i="15"/>
  <c r="F26" i="15"/>
  <c r="G26" i="15"/>
  <c r="H26" i="15"/>
  <c r="I26" i="15"/>
  <c r="C22" i="15"/>
  <c r="D22" i="15"/>
  <c r="E22" i="15"/>
  <c r="F22" i="15"/>
  <c r="G22" i="15"/>
  <c r="H22" i="15"/>
  <c r="I22" i="15"/>
  <c r="E12" i="24" l="1"/>
  <c r="E11" i="17"/>
  <c r="E11" i="24"/>
  <c r="B11" i="17"/>
  <c r="B11" i="24"/>
  <c r="B10" i="17"/>
  <c r="B10" i="24"/>
  <c r="B9" i="17"/>
  <c r="B9" i="24"/>
  <c r="B8" i="17"/>
  <c r="B8" i="24"/>
  <c r="E10" i="24"/>
  <c r="B7" i="17"/>
  <c r="B7" i="24"/>
  <c r="E9" i="24"/>
  <c r="E14" i="24"/>
  <c r="E8" i="24"/>
  <c r="E7" i="17"/>
  <c r="E13" i="24"/>
  <c r="J27" i="23"/>
  <c r="C20" i="24"/>
  <c r="J9" i="23"/>
  <c r="E10" i="17"/>
  <c r="E9" i="17"/>
  <c r="E8" i="17"/>
  <c r="E13" i="17"/>
  <c r="J16" i="15"/>
  <c r="J15" i="15"/>
  <c r="J14" i="15"/>
  <c r="J13" i="15"/>
  <c r="C20" i="17"/>
  <c r="C18" i="17"/>
  <c r="J17" i="15"/>
  <c r="J12" i="15"/>
  <c r="J18" i="15"/>
  <c r="E14" i="17"/>
  <c r="E12" i="17"/>
  <c r="B12" i="17"/>
  <c r="G9" i="15"/>
  <c r="I9" i="15"/>
  <c r="F9" i="15"/>
  <c r="D9" i="15"/>
  <c r="C9" i="15"/>
  <c r="B9" i="15"/>
  <c r="E9" i="15"/>
  <c r="H9" i="15"/>
  <c r="J4" i="15"/>
  <c r="B18" i="24" l="1"/>
  <c r="B20" i="24"/>
  <c r="B12" i="24"/>
  <c r="C21" i="24"/>
  <c r="C19" i="24"/>
  <c r="C21" i="17"/>
  <c r="C19" i="17"/>
  <c r="B18" i="17"/>
  <c r="B20" i="17"/>
  <c r="C19" i="15"/>
  <c r="D19" i="15"/>
  <c r="E19" i="15"/>
  <c r="F19" i="15"/>
  <c r="G19" i="15"/>
  <c r="H19" i="15"/>
  <c r="I19" i="15"/>
  <c r="B19" i="15"/>
  <c r="J19" i="15" l="1"/>
  <c r="I15" i="22"/>
  <c r="I16" i="22"/>
  <c r="I17" i="22"/>
  <c r="I18" i="22"/>
  <c r="H15" i="22"/>
  <c r="H16" i="22"/>
  <c r="H17" i="22"/>
  <c r="H18" i="22"/>
  <c r="G15" i="22"/>
  <c r="G16" i="22"/>
  <c r="G17" i="22"/>
  <c r="G18" i="22"/>
  <c r="F15" i="22"/>
  <c r="F16" i="22"/>
  <c r="F17" i="22"/>
  <c r="F18" i="22"/>
  <c r="E15" i="22"/>
  <c r="E16" i="22"/>
  <c r="E17" i="22"/>
  <c r="E18" i="22"/>
  <c r="I14" i="22"/>
  <c r="I19" i="22" s="1"/>
  <c r="H14" i="22"/>
  <c r="H19" i="22" s="1"/>
  <c r="G14" i="22"/>
  <c r="G19" i="22" s="1"/>
  <c r="F14" i="22"/>
  <c r="F19" i="22" s="1"/>
  <c r="E14" i="22"/>
  <c r="E19" i="22" s="1"/>
  <c r="D14" i="22"/>
  <c r="D19" i="22" s="1"/>
  <c r="D15" i="22"/>
  <c r="D16" i="22"/>
  <c r="D17" i="22"/>
  <c r="D18" i="22"/>
  <c r="C14" i="22"/>
  <c r="C19" i="22" s="1"/>
  <c r="C15" i="22"/>
  <c r="C16" i="22"/>
  <c r="C17" i="22"/>
  <c r="C18" i="22"/>
  <c r="B15" i="22"/>
  <c r="J15" i="22" s="1"/>
  <c r="B16" i="22"/>
  <c r="J16" i="22" s="1"/>
  <c r="B17" i="22"/>
  <c r="J17" i="22" s="1"/>
  <c r="B18" i="22"/>
  <c r="J18" i="22" s="1"/>
  <c r="B14" i="22"/>
  <c r="B19" i="22" s="1"/>
  <c r="J14" i="22" l="1"/>
  <c r="J19" i="22" s="1"/>
  <c r="C4" i="14"/>
  <c r="C5" i="14"/>
  <c r="F5" i="14" s="1"/>
  <c r="C6" i="14"/>
  <c r="E6" i="14" s="1"/>
  <c r="B4" i="14"/>
  <c r="B5" i="14"/>
  <c r="B6" i="14"/>
  <c r="D4" i="14"/>
  <c r="D5" i="14"/>
  <c r="F4" i="20"/>
  <c r="F5" i="20"/>
  <c r="F6" i="20"/>
  <c r="F7" i="20"/>
  <c r="F3" i="20"/>
  <c r="F8" i="20" s="1"/>
  <c r="E7" i="20"/>
  <c r="E6" i="20"/>
  <c r="E5" i="20"/>
  <c r="E4" i="20"/>
  <c r="E3" i="20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3" i="21"/>
  <c r="B7" i="14"/>
  <c r="B8" i="14"/>
  <c r="C7" i="14"/>
  <c r="D7" i="14" s="1"/>
  <c r="C8" i="14"/>
  <c r="D8" i="14" s="1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J5" i="16"/>
  <c r="J6" i="16"/>
  <c r="J7" i="16"/>
  <c r="J8" i="16"/>
  <c r="J13" i="16"/>
  <c r="J14" i="16"/>
  <c r="J15" i="16"/>
  <c r="J16" i="16"/>
  <c r="J21" i="16"/>
  <c r="J22" i="16"/>
  <c r="J23" i="16"/>
  <c r="J24" i="16"/>
  <c r="J29" i="16"/>
  <c r="J30" i="16"/>
  <c r="J31" i="16"/>
  <c r="J32" i="16"/>
  <c r="J37" i="16"/>
  <c r="J38" i="16"/>
  <c r="J39" i="16"/>
  <c r="J40" i="16"/>
  <c r="J45" i="16"/>
  <c r="J46" i="16"/>
  <c r="J47" i="16"/>
  <c r="J48" i="16"/>
  <c r="J53" i="16"/>
  <c r="J54" i="16"/>
  <c r="J55" i="16"/>
  <c r="J56" i="16"/>
  <c r="J62" i="16"/>
  <c r="J63" i="16"/>
  <c r="G5" i="16"/>
  <c r="G6" i="16"/>
  <c r="G13" i="16"/>
  <c r="G14" i="16"/>
  <c r="G21" i="16"/>
  <c r="G22" i="16"/>
  <c r="G29" i="16"/>
  <c r="G30" i="16"/>
  <c r="G37" i="16"/>
  <c r="G38" i="16"/>
  <c r="G45" i="16"/>
  <c r="G46" i="16"/>
  <c r="G53" i="16"/>
  <c r="G54" i="16"/>
  <c r="G61" i="16"/>
  <c r="G62" i="16"/>
  <c r="G69" i="16"/>
  <c r="G70" i="16"/>
  <c r="G77" i="16"/>
  <c r="G78" i="16"/>
  <c r="G85" i="16"/>
  <c r="G86" i="16"/>
  <c r="G93" i="16"/>
  <c r="G94" i="16"/>
  <c r="G101" i="16"/>
  <c r="G102" i="16"/>
  <c r="G109" i="16"/>
  <c r="G110" i="16"/>
  <c r="G117" i="16"/>
  <c r="G118" i="16"/>
  <c r="G126" i="16"/>
  <c r="F2" i="16"/>
  <c r="J2" i="16" s="1"/>
  <c r="F3" i="16"/>
  <c r="J3" i="16" s="1"/>
  <c r="F4" i="16"/>
  <c r="J4" i="16" s="1"/>
  <c r="F5" i="16"/>
  <c r="F6" i="16"/>
  <c r="F7" i="16"/>
  <c r="G7" i="16" s="1"/>
  <c r="F8" i="16"/>
  <c r="G8" i="16" s="1"/>
  <c r="F9" i="16"/>
  <c r="G9" i="16" s="1"/>
  <c r="F10" i="16"/>
  <c r="J10" i="16" s="1"/>
  <c r="F11" i="16"/>
  <c r="J11" i="16" s="1"/>
  <c r="F12" i="16"/>
  <c r="J12" i="16" s="1"/>
  <c r="F13" i="16"/>
  <c r="F14" i="16"/>
  <c r="F15" i="16"/>
  <c r="G15" i="16" s="1"/>
  <c r="F16" i="16"/>
  <c r="G16" i="16" s="1"/>
  <c r="F17" i="16"/>
  <c r="G17" i="16" s="1"/>
  <c r="F18" i="16"/>
  <c r="J18" i="16" s="1"/>
  <c r="F19" i="16"/>
  <c r="J19" i="16" s="1"/>
  <c r="F20" i="16"/>
  <c r="J20" i="16" s="1"/>
  <c r="F21" i="16"/>
  <c r="F22" i="16"/>
  <c r="F23" i="16"/>
  <c r="G23" i="16" s="1"/>
  <c r="F24" i="16"/>
  <c r="G24" i="16" s="1"/>
  <c r="F25" i="16"/>
  <c r="G25" i="16" s="1"/>
  <c r="F26" i="16"/>
  <c r="J26" i="16" s="1"/>
  <c r="F27" i="16"/>
  <c r="J27" i="16" s="1"/>
  <c r="F28" i="16"/>
  <c r="J28" i="16" s="1"/>
  <c r="F29" i="16"/>
  <c r="F30" i="16"/>
  <c r="F31" i="16"/>
  <c r="G31" i="16" s="1"/>
  <c r="F32" i="16"/>
  <c r="G32" i="16" s="1"/>
  <c r="F33" i="16"/>
  <c r="G33" i="16" s="1"/>
  <c r="F34" i="16"/>
  <c r="J34" i="16" s="1"/>
  <c r="F35" i="16"/>
  <c r="J35" i="16" s="1"/>
  <c r="F36" i="16"/>
  <c r="J36" i="16" s="1"/>
  <c r="F37" i="16"/>
  <c r="F38" i="16"/>
  <c r="F39" i="16"/>
  <c r="G39" i="16" s="1"/>
  <c r="F40" i="16"/>
  <c r="G40" i="16" s="1"/>
  <c r="F41" i="16"/>
  <c r="G41" i="16" s="1"/>
  <c r="F42" i="16"/>
  <c r="J42" i="16" s="1"/>
  <c r="F43" i="16"/>
  <c r="J43" i="16" s="1"/>
  <c r="F44" i="16"/>
  <c r="J44" i="16" s="1"/>
  <c r="F45" i="16"/>
  <c r="F46" i="16"/>
  <c r="F47" i="16"/>
  <c r="G47" i="16" s="1"/>
  <c r="F48" i="16"/>
  <c r="G48" i="16" s="1"/>
  <c r="F49" i="16"/>
  <c r="G49" i="16" s="1"/>
  <c r="F50" i="16"/>
  <c r="J50" i="16" s="1"/>
  <c r="F51" i="16"/>
  <c r="J51" i="16" s="1"/>
  <c r="F52" i="16"/>
  <c r="J52" i="16" s="1"/>
  <c r="F53" i="16"/>
  <c r="F54" i="16"/>
  <c r="F55" i="16"/>
  <c r="G55" i="16" s="1"/>
  <c r="F56" i="16"/>
  <c r="G56" i="16" s="1"/>
  <c r="F57" i="16"/>
  <c r="G57" i="16" s="1"/>
  <c r="F58" i="16"/>
  <c r="J58" i="16" s="1"/>
  <c r="F59" i="16"/>
  <c r="J59" i="16" s="1"/>
  <c r="F60" i="16"/>
  <c r="J60" i="16" s="1"/>
  <c r="F61" i="16"/>
  <c r="J61" i="16" s="1"/>
  <c r="F62" i="16"/>
  <c r="F63" i="16"/>
  <c r="G63" i="16" s="1"/>
  <c r="F64" i="16"/>
  <c r="G64" i="16" s="1"/>
  <c r="F65" i="16"/>
  <c r="G65" i="16" s="1"/>
  <c r="F66" i="16"/>
  <c r="J66" i="16" s="1"/>
  <c r="F67" i="16"/>
  <c r="J67" i="16" s="1"/>
  <c r="F68" i="16"/>
  <c r="J68" i="16" s="1"/>
  <c r="F69" i="16"/>
  <c r="J69" i="16" s="1"/>
  <c r="F70" i="16"/>
  <c r="J70" i="16" s="1"/>
  <c r="F71" i="16"/>
  <c r="J71" i="16" s="1"/>
  <c r="F72" i="16"/>
  <c r="G72" i="16" s="1"/>
  <c r="F73" i="16"/>
  <c r="G73" i="16" s="1"/>
  <c r="F74" i="16"/>
  <c r="J74" i="16" s="1"/>
  <c r="F75" i="16"/>
  <c r="J75" i="16" s="1"/>
  <c r="F76" i="16"/>
  <c r="J76" i="16" s="1"/>
  <c r="F77" i="16"/>
  <c r="J77" i="16" s="1"/>
  <c r="F78" i="16"/>
  <c r="J78" i="16" s="1"/>
  <c r="F79" i="16"/>
  <c r="J79" i="16" s="1"/>
  <c r="F80" i="16"/>
  <c r="G80" i="16" s="1"/>
  <c r="F81" i="16"/>
  <c r="G81" i="16" s="1"/>
  <c r="F82" i="16"/>
  <c r="J82" i="16" s="1"/>
  <c r="F83" i="16"/>
  <c r="J83" i="16" s="1"/>
  <c r="F84" i="16"/>
  <c r="J84" i="16" s="1"/>
  <c r="F85" i="16"/>
  <c r="J85" i="16" s="1"/>
  <c r="F86" i="16"/>
  <c r="J86" i="16" s="1"/>
  <c r="F87" i="16"/>
  <c r="J87" i="16" s="1"/>
  <c r="F88" i="16"/>
  <c r="G88" i="16" s="1"/>
  <c r="F89" i="16"/>
  <c r="G89" i="16" s="1"/>
  <c r="F90" i="16"/>
  <c r="J90" i="16" s="1"/>
  <c r="F91" i="16"/>
  <c r="J91" i="16" s="1"/>
  <c r="F92" i="16"/>
  <c r="J92" i="16" s="1"/>
  <c r="F93" i="16"/>
  <c r="J93" i="16" s="1"/>
  <c r="F94" i="16"/>
  <c r="J94" i="16" s="1"/>
  <c r="F95" i="16"/>
  <c r="J95" i="16" s="1"/>
  <c r="F96" i="16"/>
  <c r="G96" i="16" s="1"/>
  <c r="F97" i="16"/>
  <c r="G97" i="16" s="1"/>
  <c r="F98" i="16"/>
  <c r="J98" i="16" s="1"/>
  <c r="F99" i="16"/>
  <c r="J99" i="16" s="1"/>
  <c r="F100" i="16"/>
  <c r="J100" i="16" s="1"/>
  <c r="F101" i="16"/>
  <c r="J101" i="16" s="1"/>
  <c r="F102" i="16"/>
  <c r="J102" i="16" s="1"/>
  <c r="F103" i="16"/>
  <c r="J103" i="16" s="1"/>
  <c r="F104" i="16"/>
  <c r="G104" i="16" s="1"/>
  <c r="F105" i="16"/>
  <c r="G105" i="16" s="1"/>
  <c r="F106" i="16"/>
  <c r="J106" i="16" s="1"/>
  <c r="F107" i="16"/>
  <c r="J107" i="16" s="1"/>
  <c r="F108" i="16"/>
  <c r="J108" i="16" s="1"/>
  <c r="F109" i="16"/>
  <c r="J109" i="16" s="1"/>
  <c r="F110" i="16"/>
  <c r="J110" i="16" s="1"/>
  <c r="F111" i="16"/>
  <c r="J111" i="16" s="1"/>
  <c r="F112" i="16"/>
  <c r="G112" i="16" s="1"/>
  <c r="F113" i="16"/>
  <c r="G113" i="16" s="1"/>
  <c r="F114" i="16"/>
  <c r="J114" i="16" s="1"/>
  <c r="F115" i="16"/>
  <c r="J115" i="16" s="1"/>
  <c r="F116" i="16"/>
  <c r="J116" i="16" s="1"/>
  <c r="F117" i="16"/>
  <c r="J117" i="16" s="1"/>
  <c r="F118" i="16"/>
  <c r="J118" i="16" s="1"/>
  <c r="F119" i="16"/>
  <c r="J119" i="16" s="1"/>
  <c r="F120" i="16"/>
  <c r="G120" i="16" s="1"/>
  <c r="F121" i="16"/>
  <c r="G121" i="16" s="1"/>
  <c r="F122" i="16"/>
  <c r="J122" i="16" s="1"/>
  <c r="F123" i="16"/>
  <c r="J123" i="16" s="1"/>
  <c r="F124" i="16"/>
  <c r="J124" i="16" s="1"/>
  <c r="F125" i="16"/>
  <c r="J125" i="16" s="1"/>
  <c r="F126" i="16"/>
  <c r="J126" i="16" s="1"/>
  <c r="F127" i="16"/>
  <c r="J127" i="16" s="1"/>
  <c r="F128" i="16"/>
  <c r="G128" i="16" s="1"/>
  <c r="F129" i="16"/>
  <c r="G129" i="16" s="1"/>
  <c r="F130" i="16"/>
  <c r="J130" i="16" s="1"/>
  <c r="F131" i="16"/>
  <c r="J131" i="16" s="1"/>
  <c r="E8" i="14" l="1"/>
  <c r="C9" i="14"/>
  <c r="G8" i="14"/>
  <c r="G4" i="14"/>
  <c r="E7" i="14"/>
  <c r="E4" i="14"/>
  <c r="E5" i="14"/>
  <c r="F4" i="14"/>
  <c r="F9" i="14" s="1"/>
  <c r="F8" i="14"/>
  <c r="F7" i="14"/>
  <c r="F6" i="14"/>
  <c r="G7" i="14"/>
  <c r="G5" i="14"/>
  <c r="G6" i="14"/>
  <c r="D6" i="14"/>
  <c r="D9" i="14" s="1"/>
  <c r="G127" i="16"/>
  <c r="G119" i="16"/>
  <c r="G111" i="16"/>
  <c r="G103" i="16"/>
  <c r="G95" i="16"/>
  <c r="G87" i="16"/>
  <c r="G79" i="16"/>
  <c r="G71" i="16"/>
  <c r="J129" i="16"/>
  <c r="J121" i="16"/>
  <c r="J113" i="16"/>
  <c r="J105" i="16"/>
  <c r="J97" i="16"/>
  <c r="J89" i="16"/>
  <c r="J81" i="16"/>
  <c r="J73" i="16"/>
  <c r="J65" i="16"/>
  <c r="J57" i="16"/>
  <c r="J49" i="16"/>
  <c r="J41" i="16"/>
  <c r="J33" i="16"/>
  <c r="J25" i="16"/>
  <c r="J17" i="16"/>
  <c r="J9" i="16"/>
  <c r="J128" i="16"/>
  <c r="J120" i="16"/>
  <c r="J112" i="16"/>
  <c r="J104" i="16"/>
  <c r="J96" i="16"/>
  <c r="J88" i="16"/>
  <c r="J80" i="16"/>
  <c r="J72" i="16"/>
  <c r="J64" i="16"/>
  <c r="G125" i="16"/>
  <c r="G124" i="16"/>
  <c r="G116" i="16"/>
  <c r="G108" i="16"/>
  <c r="G100" i="16"/>
  <c r="G92" i="16"/>
  <c r="G84" i="16"/>
  <c r="G76" i="16"/>
  <c r="G68" i="16"/>
  <c r="G60" i="16"/>
  <c r="G52" i="16"/>
  <c r="G44" i="16"/>
  <c r="G36" i="16"/>
  <c r="G28" i="16"/>
  <c r="G20" i="16"/>
  <c r="G12" i="16"/>
  <c r="G4" i="16"/>
  <c r="G131" i="16"/>
  <c r="G123" i="16"/>
  <c r="G115" i="16"/>
  <c r="G107" i="16"/>
  <c r="G99" i="16"/>
  <c r="G91" i="16"/>
  <c r="G83" i="16"/>
  <c r="G75" i="16"/>
  <c r="G67" i="16"/>
  <c r="G59" i="16"/>
  <c r="G51" i="16"/>
  <c r="G43" i="16"/>
  <c r="G35" i="16"/>
  <c r="G27" i="16"/>
  <c r="G19" i="16"/>
  <c r="G11" i="16"/>
  <c r="G3" i="16"/>
  <c r="G130" i="16"/>
  <c r="G122" i="16"/>
  <c r="G114" i="16"/>
  <c r="G106" i="16"/>
  <c r="G98" i="16"/>
  <c r="G90" i="16"/>
  <c r="G82" i="16"/>
  <c r="G74" i="16"/>
  <c r="G66" i="16"/>
  <c r="G58" i="16"/>
  <c r="G50" i="16"/>
  <c r="G42" i="16"/>
  <c r="G34" i="16"/>
  <c r="G26" i="16"/>
  <c r="G18" i="16"/>
  <c r="G10" i="16"/>
  <c r="G2" i="16"/>
  <c r="E9" i="14" l="1"/>
  <c r="G9" i="14"/>
  <c r="D16" i="17"/>
  <c r="B16" i="17"/>
  <c r="B27" i="15"/>
  <c r="C27" i="15"/>
  <c r="D27" i="15"/>
  <c r="E27" i="15"/>
  <c r="F27" i="15"/>
  <c r="G27" i="15"/>
  <c r="H27" i="15"/>
  <c r="I27" i="15"/>
  <c r="J26" i="15"/>
  <c r="J25" i="15"/>
  <c r="J24" i="15"/>
  <c r="J23" i="15"/>
  <c r="J22" i="15"/>
  <c r="J8" i="15"/>
  <c r="J7" i="15"/>
  <c r="J6" i="15"/>
  <c r="J5" i="15"/>
  <c r="B19" i="24" l="1"/>
  <c r="B21" i="24"/>
  <c r="D18" i="24"/>
  <c r="D20" i="24"/>
  <c r="D21" i="24"/>
  <c r="D19" i="24"/>
  <c r="B19" i="17"/>
  <c r="B21" i="17"/>
  <c r="J9" i="15"/>
  <c r="D19" i="17"/>
  <c r="D21" i="17"/>
  <c r="D20" i="17"/>
  <c r="J27" i="15"/>
  <c r="D18" i="17"/>
  <c r="N2" i="2"/>
  <c r="N3" i="2"/>
  <c r="N4" i="2"/>
  <c r="N5" i="2"/>
  <c r="N6" i="2"/>
  <c r="N7" i="2"/>
  <c r="N8" i="2"/>
  <c r="N9" i="2"/>
</calcChain>
</file>

<file path=xl/sharedStrings.xml><?xml version="1.0" encoding="utf-8"?>
<sst xmlns="http://schemas.openxmlformats.org/spreadsheetml/2006/main" count="830" uniqueCount="99">
  <si>
    <t>Наименование клиента</t>
  </si>
  <si>
    <t>Адрес</t>
  </si>
  <si>
    <t>ООО Первый</t>
  </si>
  <si>
    <t>ООО Второй</t>
  </si>
  <si>
    <t>ООО Четвертый</t>
  </si>
  <si>
    <t>Наименование Товара</t>
  </si>
  <si>
    <t>Товарная группа</t>
  </si>
  <si>
    <t>Печенье Солнышко</t>
  </si>
  <si>
    <t>Печенье</t>
  </si>
  <si>
    <t>Печенье Вкусное</t>
  </si>
  <si>
    <t>Печенье Доброе</t>
  </si>
  <si>
    <t>Вафли</t>
  </si>
  <si>
    <t>Сухие торты</t>
  </si>
  <si>
    <t>ФИО менеджера</t>
  </si>
  <si>
    <t>Подразделение</t>
  </si>
  <si>
    <t>Фиксированная выплата менеджеру</t>
  </si>
  <si>
    <t>Волокушин Иван Иванович</t>
  </si>
  <si>
    <t>Григорьев Сергей Петрович</t>
  </si>
  <si>
    <t>Поснова Ольга Евгеньевна</t>
  </si>
  <si>
    <t>Белова Анастасия Ивановна</t>
  </si>
  <si>
    <t>Ракушко Игорь Харитонович</t>
  </si>
  <si>
    <t>Стоимость</t>
  </si>
  <si>
    <t>Количество</t>
  </si>
  <si>
    <t>Дата</t>
  </si>
  <si>
    <t>Восток</t>
  </si>
  <si>
    <t>Запад</t>
  </si>
  <si>
    <t>Снежок</t>
  </si>
  <si>
    <t>Нежные</t>
  </si>
  <si>
    <t>Голландские</t>
  </si>
  <si>
    <t xml:space="preserve"> Полярный</t>
  </si>
  <si>
    <t xml:space="preserve"> Балтийский</t>
  </si>
  <si>
    <t>Санкт-Петербург</t>
  </si>
  <si>
    <t>Москва</t>
  </si>
  <si>
    <t>Цена товара (фикс)</t>
  </si>
  <si>
    <t>Торт Прага</t>
  </si>
  <si>
    <t>01.01.2017</t>
  </si>
  <si>
    <t>01.03.2017</t>
  </si>
  <si>
    <t>01.05.2017</t>
  </si>
  <si>
    <t>01.07.2017</t>
  </si>
  <si>
    <t>01.11.2017</t>
  </si>
  <si>
    <t>Общий итог</t>
  </si>
  <si>
    <t>Среднее</t>
  </si>
  <si>
    <t>График</t>
  </si>
  <si>
    <t>План менеджера</t>
  </si>
  <si>
    <t>Процент премии менеджера</t>
  </si>
  <si>
    <t>Названия строк</t>
  </si>
  <si>
    <t>Отдел</t>
  </si>
  <si>
    <t>Сумма сделок</t>
  </si>
  <si>
    <t>Премия по регламенту 1</t>
  </si>
  <si>
    <t>Премия по регламенту 2</t>
  </si>
  <si>
    <t>Премия по регламенту 3</t>
  </si>
  <si>
    <t>Премия по регламенту 4</t>
  </si>
  <si>
    <t>Регламент 1</t>
  </si>
  <si>
    <t>Премия 5% назначается всем менеджерам, которые перевыполнилои план 40000</t>
  </si>
  <si>
    <t>Регламент 2</t>
  </si>
  <si>
    <t>Премия 5% назначается всем менеджерам, которые перевыполнилои план для своего отдела</t>
  </si>
  <si>
    <t>Регламент 3</t>
  </si>
  <si>
    <t>Премия  в размере, установленном для сотрудников подразделения, назначается всем менеджерам, которые перевыполнили план для своего отдела</t>
  </si>
  <si>
    <t>Регламент 4</t>
  </si>
  <si>
    <t>Премия  в размере, установленном для сотрудников подразделения, назначается всем менеджерам, которыевсе вместе  перевыполнилои план для своего отдела</t>
  </si>
  <si>
    <t>Отчет о продажах товаров менеджерами за заданный период</t>
  </si>
  <si>
    <t>Начало периода</t>
  </si>
  <si>
    <t>Конец Периода</t>
  </si>
  <si>
    <t>В рублях</t>
  </si>
  <si>
    <t>Полярный</t>
  </si>
  <si>
    <t>Балтийский</t>
  </si>
  <si>
    <t>Итого товар</t>
  </si>
  <si>
    <t>В единицах измерения</t>
  </si>
  <si>
    <t>Итого товар продано</t>
  </si>
  <si>
    <t>Итого возврат</t>
  </si>
  <si>
    <t>Количество сделок</t>
  </si>
  <si>
    <t>Дата возрата по рекламации</t>
  </si>
  <si>
    <t>Количество к возврату</t>
  </si>
  <si>
    <t>Стоимость возврата</t>
  </si>
  <si>
    <t>Цена</t>
  </si>
  <si>
    <t>Детальные показатели продаж по выбранным условиям</t>
  </si>
  <si>
    <t>Товар продажи</t>
  </si>
  <si>
    <t>Менеджер продажи</t>
  </si>
  <si>
    <t>Структура продаж</t>
  </si>
  <si>
    <t>Менеджеры</t>
  </si>
  <si>
    <t>Доля продаж по товару (ЕИ)</t>
  </si>
  <si>
    <t>Товары</t>
  </si>
  <si>
    <t>Доля сделок в объем количестве сделок</t>
  </si>
  <si>
    <t>Период с</t>
  </si>
  <si>
    <t>по</t>
  </si>
  <si>
    <t>За указанный период</t>
  </si>
  <si>
    <t>По стоимости продаж</t>
  </si>
  <si>
    <t>По объему продаж (ЕИ)</t>
  </si>
  <si>
    <t>По количеству сделок</t>
  </si>
  <si>
    <t>Популярный товар</t>
  </si>
  <si>
    <t>Результативный менеджер</t>
  </si>
  <si>
    <t>Товар-аутсайдер</t>
  </si>
  <si>
    <t>Менеджер-аутсайдер</t>
  </si>
  <si>
    <t>Названия столбцов</t>
  </si>
  <si>
    <t>Чистая стоимость</t>
  </si>
  <si>
    <t>Сумма по полю Чистая стоимость</t>
  </si>
  <si>
    <t>даты включаются!</t>
  </si>
  <si>
    <t>Итого NET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</si>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</sst>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р.&quot;;\-#,##0.00\ &quot;р.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44" fontId="0" fillId="0" borderId="0" xfId="1" applyFont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14" fontId="2" fillId="0" borderId="0" xfId="0" applyNumberFormat="1" applyFont="1"/>
    <xf numFmtId="9" fontId="0" fillId="0" borderId="0" xfId="2" applyFont="1"/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2" fillId="0" borderId="0" xfId="0" applyFont="1" applyBorder="1" applyAlignment="1">
      <alignment wrapText="1"/>
    </xf>
    <xf numFmtId="164" fontId="0" fillId="0" borderId="0" xfId="1" applyNumberFormat="1" applyFont="1"/>
    <xf numFmtId="0" fontId="2" fillId="0" borderId="0" xfId="0" applyFont="1" applyBorder="1"/>
    <xf numFmtId="164" fontId="2" fillId="0" borderId="0" xfId="1" applyNumberFormat="1" applyFont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9" fontId="0" fillId="0" borderId="3" xfId="0" applyNumberFormat="1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2" fillId="0" borderId="3" xfId="0" applyFont="1" applyBorder="1" applyAlignment="1">
      <alignment horizontal="left"/>
    </xf>
    <xf numFmtId="16" fontId="0" fillId="0" borderId="0" xfId="0" applyNumberFormat="1"/>
    <xf numFmtId="0" fontId="0" fillId="0" borderId="3" xfId="0" applyBorder="1" applyAlignment="1">
      <alignment wrapText="1"/>
    </xf>
    <xf numFmtId="44" fontId="0" fillId="0" borderId="3" xfId="1" applyFont="1" applyBorder="1"/>
    <xf numFmtId="0" fontId="2" fillId="0" borderId="3" xfId="0" applyFont="1" applyBorder="1"/>
    <xf numFmtId="0" fontId="2" fillId="0" borderId="3" xfId="0" applyFont="1" applyFill="1" applyBorder="1"/>
    <xf numFmtId="0" fontId="0" fillId="0" borderId="3" xfId="0" applyFill="1" applyBorder="1"/>
    <xf numFmtId="0" fontId="2" fillId="0" borderId="0" xfId="0" applyFont="1" applyFill="1" applyBorder="1"/>
    <xf numFmtId="0" fontId="0" fillId="0" borderId="3" xfId="1" applyNumberFormat="1" applyFont="1" applyBorder="1"/>
    <xf numFmtId="0" fontId="0" fillId="0" borderId="0" xfId="0" applyNumberFormat="1"/>
    <xf numFmtId="0" fontId="2" fillId="0" borderId="3" xfId="0" applyFont="1" applyBorder="1" applyAlignment="1">
      <alignment wrapText="1"/>
    </xf>
    <xf numFmtId="14" fontId="0" fillId="0" borderId="3" xfId="0" applyNumberFormat="1" applyFont="1" applyFill="1" applyBorder="1"/>
    <xf numFmtId="0" fontId="0" fillId="0" borderId="3" xfId="0" applyFont="1" applyFill="1" applyBorder="1"/>
    <xf numFmtId="44" fontId="0" fillId="0" borderId="3" xfId="1" applyNumberFormat="1" applyFont="1" applyFill="1" applyBorder="1"/>
    <xf numFmtId="14" fontId="0" fillId="0" borderId="4" xfId="0" applyNumberFormat="1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1" fillId="0" borderId="0" xfId="0" applyFont="1"/>
    <xf numFmtId="0" fontId="1" fillId="0" borderId="3" xfId="0" applyFont="1" applyBorder="1"/>
    <xf numFmtId="0" fontId="1" fillId="0" borderId="0" xfId="0" applyFont="1" applyBorder="1"/>
    <xf numFmtId="9" fontId="1" fillId="0" borderId="3" xfId="2" applyFont="1" applyBorder="1"/>
    <xf numFmtId="9" fontId="1" fillId="0" borderId="0" xfId="1" applyNumberFormat="1" applyFont="1" applyBorder="1"/>
    <xf numFmtId="44" fontId="1" fillId="0" borderId="0" xfId="1" applyFont="1" applyBorder="1"/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6" xfId="0" applyFont="1" applyFill="1" applyBorder="1"/>
    <xf numFmtId="0" fontId="0" fillId="0" borderId="0" xfId="0" applyAlignment="1">
      <alignment horizontal="left" indent="1"/>
    </xf>
    <xf numFmtId="0" fontId="6" fillId="0" borderId="0" xfId="0" applyFont="1" applyAlignment="1">
      <alignment wrapText="1"/>
    </xf>
    <xf numFmtId="44" fontId="5" fillId="0" borderId="0" xfId="0" applyNumberFormat="1" applyFont="1" applyFill="1"/>
    <xf numFmtId="0" fontId="0" fillId="0" borderId="3" xfId="0" applyBorder="1" applyAlignment="1">
      <alignment horizontal="left" indent="1"/>
    </xf>
    <xf numFmtId="0" fontId="7" fillId="0" borderId="3" xfId="0" applyNumberFormat="1" applyFont="1" applyBorder="1"/>
    <xf numFmtId="0" fontId="2" fillId="2" borderId="7" xfId="0" applyFont="1" applyFill="1" applyBorder="1" applyAlignment="1">
      <alignment horizontal="left"/>
    </xf>
    <xf numFmtId="0" fontId="2" fillId="2" borderId="7" xfId="0" applyNumberFormat="1" applyFont="1" applyFill="1" applyBorder="1"/>
    <xf numFmtId="0" fontId="8" fillId="0" borderId="0" xfId="0" applyFont="1"/>
    <xf numFmtId="0" fontId="0" fillId="0" borderId="3" xfId="0" applyFont="1" applyBorder="1"/>
    <xf numFmtId="44" fontId="0" fillId="3" borderId="3" xfId="1" applyFont="1" applyFill="1" applyBorder="1"/>
    <xf numFmtId="0" fontId="0" fillId="3" borderId="3" xfId="0" applyFill="1" applyBorder="1"/>
    <xf numFmtId="0" fontId="0" fillId="3" borderId="3" xfId="0" applyFont="1" applyFill="1" applyBorder="1"/>
    <xf numFmtId="0" fontId="7" fillId="3" borderId="3" xfId="0" applyNumberFormat="1" applyFont="1" applyFill="1" applyBorder="1"/>
    <xf numFmtId="2" fontId="0" fillId="3" borderId="0" xfId="0" applyNumberFormat="1" applyFill="1"/>
  </cellXfs>
  <cellStyles count="3">
    <cellStyle name="Денежный" xfId="1" builtinId="4"/>
    <cellStyle name="Обычный" xfId="0" builtinId="0"/>
    <cellStyle name="Процентный" xfId="2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₽&quot;_-;\-* #,##0.00\ &quot;₽&quot;_-;_-* &quot;-&quot;??\ &quot;₽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₽&quot;_-;\-* #,##0.00\ &quot;₽&quot;_-;_-* &quot;-&quot;??\ &quot;₽&quot;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2.382853819443" createdVersion="7" refreshedVersion="7" minRefreshableVersion="3" recordCount="130" xr:uid="{5F163343-6BFF-BC47-808D-92CCB5F6D9AA}">
  <cacheSource type="worksheet">
    <worksheetSource name="Таблица1"/>
  </cacheSource>
  <cacheFields count="11">
    <cacheField name="Дата" numFmtId="14">
      <sharedItems containsSemiMixedTypes="0" containsNonDate="0" containsDate="1" containsString="0" minDate="2017-01-10T00:00:00" maxDate="2018-09-15T00:00:00"/>
    </cacheField>
    <cacheField name="ФИО менеджера" numFmtId="0">
      <sharedItems count="5">
        <s v="Григорьев Сергей Петрович"/>
        <s v="Ракушко Игорь Харитонович"/>
        <s v="Поснова Ольга Евгеньевна"/>
        <s v="Волокушин Иван Иванович"/>
        <s v="Белова Анастасия Ивановна"/>
      </sharedItems>
    </cacheField>
    <cacheField name="Наименование клиента" numFmtId="0">
      <sharedItems/>
    </cacheField>
    <cacheField name="Наименование Товара" numFmtId="0">
      <sharedItems count="8">
        <s v="Печенье Доброе"/>
        <s v="Печенье Вкусное"/>
        <s v="Балтийский"/>
        <s v="Печенье Солнышко"/>
        <s v="Нежные"/>
        <s v="Снежок"/>
        <s v="Голландские"/>
        <s v="Полярный"/>
      </sharedItems>
    </cacheField>
    <cacheField name="Количество" numFmtId="0">
      <sharedItems containsSemiMixedTypes="0" containsString="0" containsNumber="1" containsInteger="1" minValue="12" maxValue="500"/>
    </cacheField>
    <cacheField name="Цена" numFmtId="0">
      <sharedItems containsSemiMixedTypes="0" containsString="0" containsNumber="1" containsInteger="1" minValue="25" maxValue="136"/>
    </cacheField>
    <cacheField name="Стоимость" numFmtId="44">
      <sharedItems containsSemiMixedTypes="0" containsString="0" containsNumber="1" containsInteger="1" minValue="1320" maxValue="55000" count="87">
        <n v="5400"/>
        <n v="3520"/>
        <n v="14960"/>
        <n v="1750"/>
        <n v="1950"/>
        <n v="16320"/>
        <n v="14950"/>
        <n v="3200"/>
        <n v="6966"/>
        <n v="26100"/>
        <n v="55000"/>
        <n v="2000"/>
        <n v="4800"/>
        <n v="4860"/>
        <n v="26970"/>
        <n v="13200"/>
        <n v="17680"/>
        <n v="2848"/>
        <n v="7560"/>
        <n v="13920"/>
        <n v="17600"/>
        <n v="2520"/>
        <n v="2560"/>
        <n v="2240"/>
        <n v="1920"/>
        <n v="8100"/>
        <n v="14442"/>
        <n v="10440"/>
        <n v="20900"/>
        <n v="23100"/>
        <n v="4000"/>
        <n v="3375"/>
        <n v="8800"/>
        <n v="9585"/>
        <n v="13650"/>
        <n v="6500"/>
        <n v="9900"/>
        <n v="4950"/>
        <n v="11000"/>
        <n v="20150"/>
        <n v="7392"/>
        <n v="4160"/>
        <n v="1400"/>
        <n v="7800"/>
        <n v="1500"/>
        <n v="6400"/>
        <n v="18270"/>
        <n v="24480"/>
        <n v="1320"/>
        <n v="4510"/>
        <n v="2720"/>
        <n v="2500"/>
        <n v="6720"/>
        <n v="2160"/>
        <n v="5220"/>
        <n v="13600"/>
        <n v="3600"/>
        <n v="2250"/>
        <n v="1792"/>
        <n v="4320"/>
        <n v="2600"/>
        <n v="6090"/>
        <n v="18700"/>
        <n v="6664"/>
        <n v="3000"/>
        <n v="11700"/>
        <n v="14790"/>
        <n v="8160"/>
        <n v="6600"/>
        <n v="3250"/>
        <n v="4872"/>
        <n v="6075"/>
        <n v="10880"/>
        <n v="5200"/>
        <n v="13050"/>
        <n v="16500"/>
        <n v="14850"/>
        <n v="21760"/>
        <n v="5940"/>
        <n v="5750"/>
        <n v="10350"/>
        <n v="3400"/>
        <n v="7650"/>
        <n v="4250"/>
        <n v="3024"/>
        <n v="5850"/>
        <n v="5500"/>
      </sharedItems>
    </cacheField>
    <cacheField name="Дата возрата по рекламации" numFmtId="0">
      <sharedItems containsNonDate="0" containsDate="1" containsString="0" containsBlank="1" minDate="2014-07-30T00:00:00" maxDate="2017-09-16T00:00:00"/>
    </cacheField>
    <cacheField name="Количество к возврату" numFmtId="0">
      <sharedItems containsString="0" containsBlank="1" containsNumber="1" containsInteger="1" minValue="10" maxValue="80" count="13">
        <n v="20"/>
        <m/>
        <n v="80"/>
        <n v="50"/>
        <n v="10"/>
        <n v="60"/>
        <n v="40"/>
        <n v="30"/>
        <n v="48"/>
        <n v="34"/>
        <n v="12"/>
        <n v="45"/>
        <n v="21"/>
      </sharedItems>
    </cacheField>
    <cacheField name="Стоимость возврата" numFmtId="0">
      <sharedItems containsSemiMixedTypes="0" containsString="0" containsNumber="1" containsInteger="1" minValue="0" maxValue="10880"/>
    </cacheField>
    <cacheField name="Чистая стоимость" numFmtId="44">
      <sharedItems containsSemiMixedTypes="0" containsString="0" containsNumber="1" containsInteger="1" minValue="1320" maxValue="55000" count="89">
        <n v="4500"/>
        <n v="3520"/>
        <n v="14960"/>
        <n v="1750"/>
        <n v="1950"/>
        <n v="5440"/>
        <n v="14950"/>
        <n v="3200"/>
        <n v="6966"/>
        <n v="26100"/>
        <n v="55000"/>
        <n v="8160"/>
        <n v="2000"/>
        <n v="4860"/>
        <n v="26970"/>
        <n v="2880"/>
        <n v="13200"/>
        <n v="17680"/>
        <n v="2848"/>
        <n v="7560"/>
        <n v="8700"/>
        <n v="2520"/>
        <n v="5400"/>
        <n v="2240"/>
        <n v="1920"/>
        <n v="14442"/>
        <n v="10440"/>
        <n v="20900"/>
        <n v="19800"/>
        <n v="4000"/>
        <n v="2175"/>
        <n v="6600"/>
        <n v="4800"/>
        <n v="9585"/>
        <n v="11050"/>
        <n v="6500"/>
        <n v="9900"/>
        <n v="4950"/>
        <n v="4400"/>
        <n v="20150"/>
        <n v="7392"/>
        <n v="2560"/>
        <n v="1400"/>
        <n v="5590"/>
        <n v="1500"/>
        <n v="6400"/>
        <n v="13920"/>
        <n v="7800"/>
        <n v="13600"/>
        <n v="1320"/>
        <n v="4510"/>
        <n v="2720"/>
        <n v="2200"/>
        <n v="4160"/>
        <n v="2160"/>
        <n v="5220"/>
        <n v="8800"/>
        <n v="3600"/>
        <n v="2250"/>
        <n v="1792"/>
        <n v="4320"/>
        <n v="2600"/>
        <n v="6090"/>
        <n v="14300"/>
        <n v="18700"/>
        <n v="6664"/>
        <n v="3000"/>
        <n v="1800"/>
        <n v="11700"/>
        <n v="14790"/>
        <n v="4872"/>
        <n v="4545"/>
        <n v="6075"/>
        <n v="10880"/>
        <n v="5200"/>
        <n v="13050"/>
        <n v="11550"/>
        <n v="12650"/>
        <n v="3375"/>
        <n v="5940"/>
        <n v="5750"/>
        <n v="9000"/>
        <n v="3400"/>
        <n v="7650"/>
        <n v="4250"/>
        <n v="3024"/>
        <n v="1890"/>
        <n v="5850"/>
        <n v="5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17-01-10T00:00:00"/>
    <x v="0"/>
    <s v="ООО Четвертый"/>
    <x v="0"/>
    <n v="120"/>
    <n v="45"/>
    <x v="0"/>
    <d v="2017-01-16T00:00:00"/>
    <x v="0"/>
    <n v="900"/>
    <x v="0"/>
  </r>
  <r>
    <d v="2017-01-11T00:00:00"/>
    <x v="0"/>
    <s v="ООО Четвертый"/>
    <x v="1"/>
    <n v="110"/>
    <n v="32"/>
    <x v="1"/>
    <m/>
    <x v="1"/>
    <n v="0"/>
    <x v="1"/>
  </r>
  <r>
    <d v="2017-01-12T00:00:00"/>
    <x v="1"/>
    <s v="ООО Второй"/>
    <x v="2"/>
    <n v="110"/>
    <n v="136"/>
    <x v="2"/>
    <m/>
    <x v="1"/>
    <n v="0"/>
    <x v="2"/>
  </r>
  <r>
    <d v="2017-01-17T00:00:00"/>
    <x v="2"/>
    <s v="ООО Первый"/>
    <x v="3"/>
    <n v="70"/>
    <n v="25"/>
    <x v="3"/>
    <m/>
    <x v="1"/>
    <n v="0"/>
    <x v="3"/>
  </r>
  <r>
    <d v="2017-01-19T00:00:00"/>
    <x v="0"/>
    <s v="ООО Первый"/>
    <x v="3"/>
    <n v="78"/>
    <n v="25"/>
    <x v="4"/>
    <m/>
    <x v="1"/>
    <n v="0"/>
    <x v="4"/>
  </r>
  <r>
    <d v="2017-01-24T00:00:00"/>
    <x v="3"/>
    <s v="ООО Четвертый"/>
    <x v="2"/>
    <n v="120"/>
    <n v="136"/>
    <x v="5"/>
    <d v="2017-01-30T00:00:00"/>
    <x v="2"/>
    <n v="10880"/>
    <x v="5"/>
  </r>
  <r>
    <d v="2017-01-24T00:00:00"/>
    <x v="1"/>
    <s v="ООО Второй"/>
    <x v="4"/>
    <n v="230"/>
    <n v="65"/>
    <x v="6"/>
    <m/>
    <x v="1"/>
    <n v="0"/>
    <x v="6"/>
  </r>
  <r>
    <d v="2017-01-25T00:00:00"/>
    <x v="3"/>
    <s v="ООО Первый"/>
    <x v="1"/>
    <n v="100"/>
    <n v="32"/>
    <x v="7"/>
    <m/>
    <x v="1"/>
    <n v="0"/>
    <x v="7"/>
  </r>
  <r>
    <d v="2017-01-31T00:00:00"/>
    <x v="2"/>
    <s v="ООО Четвертый"/>
    <x v="5"/>
    <n v="129"/>
    <n v="54"/>
    <x v="8"/>
    <m/>
    <x v="1"/>
    <n v="0"/>
    <x v="8"/>
  </r>
  <r>
    <d v="2017-02-02T00:00:00"/>
    <x v="4"/>
    <s v="ООО Четвертый"/>
    <x v="6"/>
    <n v="300"/>
    <n v="87"/>
    <x v="9"/>
    <m/>
    <x v="1"/>
    <n v="0"/>
    <x v="9"/>
  </r>
  <r>
    <d v="2017-02-03T00:00:00"/>
    <x v="3"/>
    <s v="ООО Второй"/>
    <x v="7"/>
    <n v="500"/>
    <n v="110"/>
    <x v="10"/>
    <m/>
    <x v="1"/>
    <n v="0"/>
    <x v="10"/>
  </r>
  <r>
    <d v="2017-02-03T00:00:00"/>
    <x v="4"/>
    <s v="ООО Первый"/>
    <x v="2"/>
    <n v="110"/>
    <n v="136"/>
    <x v="2"/>
    <d v="2017-02-20T00:00:00"/>
    <x v="3"/>
    <n v="6800"/>
    <x v="11"/>
  </r>
  <r>
    <d v="2017-02-03T00:00:00"/>
    <x v="2"/>
    <s v="ООО Первый"/>
    <x v="3"/>
    <n v="80"/>
    <n v="25"/>
    <x v="11"/>
    <m/>
    <x v="1"/>
    <n v="0"/>
    <x v="12"/>
  </r>
  <r>
    <d v="2017-02-08T00:00:00"/>
    <x v="0"/>
    <s v="ООО Четвертый"/>
    <x v="1"/>
    <n v="150"/>
    <n v="32"/>
    <x v="12"/>
    <d v="2017-02-16T00:00:00"/>
    <x v="3"/>
    <n v="1600"/>
    <x v="7"/>
  </r>
  <r>
    <d v="2017-02-09T00:00:00"/>
    <x v="1"/>
    <s v="ООО Второй"/>
    <x v="5"/>
    <n v="90"/>
    <n v="54"/>
    <x v="13"/>
    <m/>
    <x v="1"/>
    <n v="0"/>
    <x v="13"/>
  </r>
  <r>
    <d v="2017-02-17T00:00:00"/>
    <x v="0"/>
    <s v="ООО Четвертый"/>
    <x v="6"/>
    <n v="310"/>
    <n v="87"/>
    <x v="14"/>
    <m/>
    <x v="1"/>
    <n v="0"/>
    <x v="14"/>
  </r>
  <r>
    <d v="2017-02-17T00:00:00"/>
    <x v="0"/>
    <s v="ООО Четвертый"/>
    <x v="1"/>
    <n v="100"/>
    <n v="32"/>
    <x v="7"/>
    <d v="2017-03-01T00:00:00"/>
    <x v="4"/>
    <n v="320"/>
    <x v="15"/>
  </r>
  <r>
    <d v="2017-02-20T00:00:00"/>
    <x v="1"/>
    <s v="ООО Четвертый"/>
    <x v="7"/>
    <n v="120"/>
    <n v="110"/>
    <x v="15"/>
    <m/>
    <x v="1"/>
    <n v="0"/>
    <x v="16"/>
  </r>
  <r>
    <d v="2017-02-21T00:00:00"/>
    <x v="2"/>
    <s v="ООО Второй"/>
    <x v="2"/>
    <n v="130"/>
    <n v="136"/>
    <x v="16"/>
    <m/>
    <x v="1"/>
    <n v="0"/>
    <x v="17"/>
  </r>
  <r>
    <d v="2017-02-21T00:00:00"/>
    <x v="0"/>
    <s v="ООО Первый"/>
    <x v="3"/>
    <n v="78"/>
    <n v="25"/>
    <x v="4"/>
    <m/>
    <x v="1"/>
    <n v="0"/>
    <x v="4"/>
  </r>
  <r>
    <d v="2017-03-13T00:00:00"/>
    <x v="3"/>
    <s v="ООО Первый"/>
    <x v="1"/>
    <n v="89"/>
    <n v="32"/>
    <x v="17"/>
    <m/>
    <x v="1"/>
    <n v="0"/>
    <x v="18"/>
  </r>
  <r>
    <d v="2017-03-13T00:00:00"/>
    <x v="1"/>
    <s v="ООО Четвертый"/>
    <x v="5"/>
    <n v="140"/>
    <n v="54"/>
    <x v="18"/>
    <m/>
    <x v="1"/>
    <n v="0"/>
    <x v="19"/>
  </r>
  <r>
    <d v="2017-03-14T00:00:00"/>
    <x v="2"/>
    <s v="ООО Второй"/>
    <x v="6"/>
    <n v="160"/>
    <n v="87"/>
    <x v="19"/>
    <d v="2017-03-29T00:00:00"/>
    <x v="5"/>
    <n v="5220"/>
    <x v="20"/>
  </r>
  <r>
    <d v="2017-03-15T00:00:00"/>
    <x v="4"/>
    <s v="ООО Четвертый"/>
    <x v="7"/>
    <n v="160"/>
    <n v="110"/>
    <x v="20"/>
    <d v="2017-03-30T00:00:00"/>
    <x v="6"/>
    <n v="4400"/>
    <x v="16"/>
  </r>
  <r>
    <d v="2017-03-16T00:00:00"/>
    <x v="3"/>
    <s v="ООО Четвертый"/>
    <x v="0"/>
    <n v="56"/>
    <n v="45"/>
    <x v="21"/>
    <m/>
    <x v="1"/>
    <n v="0"/>
    <x v="21"/>
  </r>
  <r>
    <d v="2017-03-17T00:00:00"/>
    <x v="4"/>
    <s v="ООО Второй"/>
    <x v="0"/>
    <n v="120"/>
    <n v="45"/>
    <x v="0"/>
    <m/>
    <x v="1"/>
    <n v="0"/>
    <x v="22"/>
  </r>
  <r>
    <d v="2017-03-17T00:00:00"/>
    <x v="2"/>
    <s v="ООО Первый"/>
    <x v="1"/>
    <n v="80"/>
    <n v="32"/>
    <x v="22"/>
    <d v="2017-03-20T00:00:00"/>
    <x v="4"/>
    <n v="320"/>
    <x v="23"/>
  </r>
  <r>
    <d v="2017-03-17T00:00:00"/>
    <x v="0"/>
    <s v="ООО Первый"/>
    <x v="1"/>
    <n v="70"/>
    <n v="32"/>
    <x v="23"/>
    <m/>
    <x v="1"/>
    <n v="0"/>
    <x v="23"/>
  </r>
  <r>
    <d v="2017-03-18T00:00:00"/>
    <x v="0"/>
    <s v="ООО Четвертый"/>
    <x v="1"/>
    <n v="60"/>
    <n v="32"/>
    <x v="24"/>
    <m/>
    <x v="1"/>
    <n v="0"/>
    <x v="24"/>
  </r>
  <r>
    <d v="2017-03-20T00:00:00"/>
    <x v="0"/>
    <s v="ООО Второй"/>
    <x v="5"/>
    <n v="150"/>
    <n v="54"/>
    <x v="25"/>
    <d v="2017-04-01T00:00:00"/>
    <x v="3"/>
    <n v="2700"/>
    <x v="22"/>
  </r>
  <r>
    <d v="2017-03-20T00:00:00"/>
    <x v="1"/>
    <s v="ООО Второй"/>
    <x v="6"/>
    <n v="166"/>
    <n v="87"/>
    <x v="26"/>
    <m/>
    <x v="1"/>
    <n v="0"/>
    <x v="25"/>
  </r>
  <r>
    <d v="2017-03-21T00:00:00"/>
    <x v="3"/>
    <s v="ООО Четвертый"/>
    <x v="6"/>
    <n v="120"/>
    <n v="87"/>
    <x v="27"/>
    <m/>
    <x v="1"/>
    <n v="0"/>
    <x v="26"/>
  </r>
  <r>
    <d v="2017-03-23T00:00:00"/>
    <x v="0"/>
    <s v="ООО Второй"/>
    <x v="7"/>
    <n v="190"/>
    <n v="110"/>
    <x v="28"/>
    <m/>
    <x v="1"/>
    <n v="0"/>
    <x v="27"/>
  </r>
  <r>
    <d v="2017-03-24T00:00:00"/>
    <x v="1"/>
    <s v="ООО Четвертый"/>
    <x v="7"/>
    <n v="210"/>
    <n v="110"/>
    <x v="29"/>
    <d v="2017-04-02T00:00:00"/>
    <x v="7"/>
    <n v="3300"/>
    <x v="28"/>
  </r>
  <r>
    <d v="2017-03-27T00:00:00"/>
    <x v="2"/>
    <s v="ООО Четвертый"/>
    <x v="3"/>
    <n v="160"/>
    <n v="25"/>
    <x v="30"/>
    <m/>
    <x v="1"/>
    <n v="0"/>
    <x v="29"/>
  </r>
  <r>
    <d v="2017-04-13T00:00:00"/>
    <x v="4"/>
    <s v="ООО Четвертый"/>
    <x v="6"/>
    <n v="120"/>
    <n v="87"/>
    <x v="27"/>
    <m/>
    <x v="1"/>
    <n v="0"/>
    <x v="26"/>
  </r>
  <r>
    <d v="2017-04-14T00:00:00"/>
    <x v="2"/>
    <s v="ООО Второй"/>
    <x v="3"/>
    <n v="135"/>
    <n v="25"/>
    <x v="31"/>
    <d v="2017-04-23T00:00:00"/>
    <x v="8"/>
    <n v="1200"/>
    <x v="30"/>
  </r>
  <r>
    <d v="2017-04-14T00:00:00"/>
    <x v="0"/>
    <s v="ООО Первый"/>
    <x v="3"/>
    <n v="80"/>
    <n v="25"/>
    <x v="11"/>
    <m/>
    <x v="1"/>
    <n v="0"/>
    <x v="12"/>
  </r>
  <r>
    <d v="2017-04-18T00:00:00"/>
    <x v="3"/>
    <s v="ООО Первый"/>
    <x v="7"/>
    <n v="80"/>
    <n v="110"/>
    <x v="32"/>
    <d v="2017-04-22T00:00:00"/>
    <x v="0"/>
    <n v="2200"/>
    <x v="31"/>
  </r>
  <r>
    <d v="2017-04-17T00:00:00"/>
    <x v="0"/>
    <s v="ООО Четвертый"/>
    <x v="1"/>
    <n v="150"/>
    <n v="32"/>
    <x v="12"/>
    <m/>
    <x v="1"/>
    <n v="0"/>
    <x v="32"/>
  </r>
  <r>
    <d v="2017-04-17T00:00:00"/>
    <x v="1"/>
    <s v="ООО Второй"/>
    <x v="0"/>
    <n v="213"/>
    <n v="45"/>
    <x v="33"/>
    <m/>
    <x v="1"/>
    <n v="0"/>
    <x v="33"/>
  </r>
  <r>
    <d v="2017-04-17T00:00:00"/>
    <x v="3"/>
    <s v="ООО Второй"/>
    <x v="4"/>
    <n v="210"/>
    <n v="65"/>
    <x v="34"/>
    <d v="2017-04-25T00:00:00"/>
    <x v="6"/>
    <n v="2600"/>
    <x v="34"/>
  </r>
  <r>
    <d v="2017-04-18T00:00:00"/>
    <x v="3"/>
    <s v="ООО Второй"/>
    <x v="7"/>
    <n v="120"/>
    <n v="110"/>
    <x v="15"/>
    <m/>
    <x v="1"/>
    <n v="0"/>
    <x v="16"/>
  </r>
  <r>
    <d v="2017-04-19T00:00:00"/>
    <x v="0"/>
    <s v="ООО Первый"/>
    <x v="4"/>
    <n v="100"/>
    <n v="65"/>
    <x v="35"/>
    <m/>
    <x v="1"/>
    <n v="0"/>
    <x v="35"/>
  </r>
  <r>
    <d v="2017-04-20T00:00:00"/>
    <x v="0"/>
    <s v="ООО Четвертый"/>
    <x v="7"/>
    <n v="90"/>
    <n v="110"/>
    <x v="36"/>
    <m/>
    <x v="1"/>
    <n v="0"/>
    <x v="36"/>
  </r>
  <r>
    <d v="2017-04-21T00:00:00"/>
    <x v="2"/>
    <s v="ООО Второй"/>
    <x v="0"/>
    <n v="110"/>
    <n v="45"/>
    <x v="37"/>
    <m/>
    <x v="1"/>
    <n v="0"/>
    <x v="37"/>
  </r>
  <r>
    <d v="2017-04-20T00:00:00"/>
    <x v="0"/>
    <s v="ООО Четвертый"/>
    <x v="7"/>
    <n v="100"/>
    <n v="110"/>
    <x v="38"/>
    <d v="2017-04-30T00:00:00"/>
    <x v="5"/>
    <n v="6600"/>
    <x v="38"/>
  </r>
  <r>
    <d v="2017-04-21T00:00:00"/>
    <x v="4"/>
    <s v="ООО Второй"/>
    <x v="4"/>
    <n v="310"/>
    <n v="65"/>
    <x v="39"/>
    <m/>
    <x v="1"/>
    <n v="0"/>
    <x v="39"/>
  </r>
  <r>
    <d v="2017-04-22T00:00:00"/>
    <x v="2"/>
    <s v="ООО Четвертый"/>
    <x v="1"/>
    <n v="231"/>
    <n v="32"/>
    <x v="40"/>
    <m/>
    <x v="1"/>
    <n v="0"/>
    <x v="40"/>
  </r>
  <r>
    <d v="2017-04-24T00:00:00"/>
    <x v="0"/>
    <s v="ООО Второй"/>
    <x v="1"/>
    <n v="80"/>
    <n v="32"/>
    <x v="22"/>
    <m/>
    <x v="1"/>
    <n v="0"/>
    <x v="41"/>
  </r>
  <r>
    <d v="2017-04-24T00:00:00"/>
    <x v="4"/>
    <s v="ООО Первый"/>
    <x v="1"/>
    <n v="60"/>
    <n v="32"/>
    <x v="24"/>
    <m/>
    <x v="1"/>
    <n v="0"/>
    <x v="24"/>
  </r>
  <r>
    <d v="2017-05-17T00:00:00"/>
    <x v="2"/>
    <s v="ООО Первый"/>
    <x v="1"/>
    <n v="130"/>
    <n v="32"/>
    <x v="41"/>
    <d v="2017-05-20T00:00:00"/>
    <x v="7"/>
    <n v="960"/>
    <x v="7"/>
  </r>
  <r>
    <d v="2017-05-25T00:00:00"/>
    <x v="2"/>
    <s v="ООО Первый"/>
    <x v="3"/>
    <n v="56"/>
    <n v="25"/>
    <x v="42"/>
    <m/>
    <x v="1"/>
    <n v="0"/>
    <x v="42"/>
  </r>
  <r>
    <d v="2017-05-25T00:00:00"/>
    <x v="4"/>
    <s v="ООО Четвертый"/>
    <x v="4"/>
    <n v="120"/>
    <n v="65"/>
    <x v="43"/>
    <d v="2017-06-01T00:00:00"/>
    <x v="9"/>
    <n v="2210"/>
    <x v="43"/>
  </r>
  <r>
    <d v="2017-05-26T00:00:00"/>
    <x v="4"/>
    <s v="ООО Четвертый"/>
    <x v="1"/>
    <n v="100"/>
    <n v="32"/>
    <x v="7"/>
    <m/>
    <x v="1"/>
    <n v="0"/>
    <x v="7"/>
  </r>
  <r>
    <d v="2017-05-26T00:00:00"/>
    <x v="2"/>
    <s v="ООО Второй"/>
    <x v="3"/>
    <n v="60"/>
    <n v="25"/>
    <x v="44"/>
    <m/>
    <x v="1"/>
    <n v="0"/>
    <x v="44"/>
  </r>
  <r>
    <d v="2017-05-27T00:00:00"/>
    <x v="2"/>
    <s v="ООО Второй"/>
    <x v="1"/>
    <n v="200"/>
    <n v="32"/>
    <x v="45"/>
    <m/>
    <x v="1"/>
    <n v="0"/>
    <x v="45"/>
  </r>
  <r>
    <d v="2017-06-06T00:00:00"/>
    <x v="1"/>
    <s v="ООО Второй"/>
    <x v="6"/>
    <n v="210"/>
    <n v="87"/>
    <x v="46"/>
    <d v="2017-06-18T00:00:00"/>
    <x v="3"/>
    <n v="4350"/>
    <x v="46"/>
  </r>
  <r>
    <d v="2017-06-08T00:00:00"/>
    <x v="2"/>
    <s v="ООО Первый"/>
    <x v="4"/>
    <n v="120"/>
    <n v="65"/>
    <x v="43"/>
    <m/>
    <x v="1"/>
    <n v="0"/>
    <x v="47"/>
  </r>
  <r>
    <d v="2017-06-09T00:00:00"/>
    <x v="4"/>
    <s v="ООО Первый"/>
    <x v="2"/>
    <n v="180"/>
    <n v="136"/>
    <x v="47"/>
    <d v="2017-06-28T00:00:00"/>
    <x v="2"/>
    <n v="10880"/>
    <x v="48"/>
  </r>
  <r>
    <d v="2017-06-10T00:00:00"/>
    <x v="4"/>
    <s v="ООО Четвертый"/>
    <x v="7"/>
    <n v="12"/>
    <n v="110"/>
    <x v="48"/>
    <m/>
    <x v="1"/>
    <n v="0"/>
    <x v="49"/>
  </r>
  <r>
    <d v="2017-06-13T00:00:00"/>
    <x v="0"/>
    <s v="ООО Второй"/>
    <x v="6"/>
    <n v="160"/>
    <n v="87"/>
    <x v="19"/>
    <m/>
    <x v="1"/>
    <n v="0"/>
    <x v="46"/>
  </r>
  <r>
    <d v="2017-06-12T00:00:00"/>
    <x v="1"/>
    <s v="ООО Второй"/>
    <x v="7"/>
    <n v="41"/>
    <n v="110"/>
    <x v="49"/>
    <m/>
    <x v="1"/>
    <n v="0"/>
    <x v="50"/>
  </r>
  <r>
    <d v="2017-06-13T00:00:00"/>
    <x v="0"/>
    <s v="ООО Второй"/>
    <x v="2"/>
    <n v="20"/>
    <n v="136"/>
    <x v="50"/>
    <m/>
    <x v="1"/>
    <n v="0"/>
    <x v="51"/>
  </r>
  <r>
    <d v="2017-06-15T00:00:00"/>
    <x v="1"/>
    <s v="ООО Первый"/>
    <x v="3"/>
    <n v="100"/>
    <n v="25"/>
    <x v="51"/>
    <d v="2017-07-01T00:00:00"/>
    <x v="10"/>
    <n v="300"/>
    <x v="52"/>
  </r>
  <r>
    <d v="2017-06-15T00:00:00"/>
    <x v="4"/>
    <s v="ООО Первый"/>
    <x v="1"/>
    <n v="210"/>
    <n v="32"/>
    <x v="52"/>
    <d v="2017-06-26T00:00:00"/>
    <x v="2"/>
    <n v="2560"/>
    <x v="53"/>
  </r>
  <r>
    <d v="2017-07-15T00:00:00"/>
    <x v="2"/>
    <s v="ООО Первый"/>
    <x v="1"/>
    <n v="100"/>
    <n v="32"/>
    <x v="7"/>
    <m/>
    <x v="1"/>
    <n v="0"/>
    <x v="7"/>
  </r>
  <r>
    <d v="2017-07-16T00:00:00"/>
    <x v="4"/>
    <s v="ООО Четвертый"/>
    <x v="5"/>
    <n v="40"/>
    <n v="54"/>
    <x v="53"/>
    <m/>
    <x v="1"/>
    <n v="0"/>
    <x v="54"/>
  </r>
  <r>
    <d v="2017-07-17T00:00:00"/>
    <x v="2"/>
    <s v="ООО Второй"/>
    <x v="6"/>
    <n v="60"/>
    <n v="87"/>
    <x v="54"/>
    <m/>
    <x v="1"/>
    <n v="0"/>
    <x v="55"/>
  </r>
  <r>
    <d v="2017-07-18T00:00:00"/>
    <x v="0"/>
    <s v="ООО Второй"/>
    <x v="7"/>
    <n v="90"/>
    <n v="110"/>
    <x v="36"/>
    <d v="2017-07-20T00:00:00"/>
    <x v="4"/>
    <n v="1100"/>
    <x v="56"/>
  </r>
  <r>
    <d v="2017-07-19T00:00:00"/>
    <x v="1"/>
    <s v="ООО Второй"/>
    <x v="2"/>
    <n v="100"/>
    <n v="136"/>
    <x v="55"/>
    <m/>
    <x v="1"/>
    <n v="0"/>
    <x v="48"/>
  </r>
  <r>
    <d v="2017-07-20T00:00:00"/>
    <x v="0"/>
    <s v="ООО Первый"/>
    <x v="0"/>
    <n v="80"/>
    <n v="45"/>
    <x v="56"/>
    <m/>
    <x v="1"/>
    <n v="0"/>
    <x v="57"/>
  </r>
  <r>
    <d v="2017-07-21T00:00:00"/>
    <x v="1"/>
    <s v="ООО Первый"/>
    <x v="3"/>
    <n v="90"/>
    <n v="25"/>
    <x v="57"/>
    <m/>
    <x v="1"/>
    <n v="0"/>
    <x v="58"/>
  </r>
  <r>
    <d v="2017-07-22T00:00:00"/>
    <x v="4"/>
    <s v="ООО Первый"/>
    <x v="1"/>
    <n v="56"/>
    <n v="32"/>
    <x v="58"/>
    <m/>
    <x v="1"/>
    <n v="0"/>
    <x v="59"/>
  </r>
  <r>
    <d v="2017-07-23T00:00:00"/>
    <x v="2"/>
    <s v="ООО Четвертый"/>
    <x v="0"/>
    <n v="120"/>
    <n v="45"/>
    <x v="0"/>
    <d v="2017-07-27T00:00:00"/>
    <x v="6"/>
    <n v="1800"/>
    <x v="57"/>
  </r>
  <r>
    <d v="2017-07-24T00:00:00"/>
    <x v="4"/>
    <s v="ООО Второй"/>
    <x v="5"/>
    <n v="80"/>
    <n v="54"/>
    <x v="59"/>
    <m/>
    <x v="1"/>
    <n v="0"/>
    <x v="60"/>
  </r>
  <r>
    <d v="2017-07-24T00:00:00"/>
    <x v="4"/>
    <s v="ООО Второй"/>
    <x v="5"/>
    <n v="80"/>
    <n v="54"/>
    <x v="59"/>
    <m/>
    <x v="1"/>
    <n v="0"/>
    <x v="60"/>
  </r>
  <r>
    <d v="2017-07-25T00:00:00"/>
    <x v="2"/>
    <s v="ООО Второй"/>
    <x v="4"/>
    <n v="40"/>
    <n v="65"/>
    <x v="60"/>
    <m/>
    <x v="1"/>
    <n v="0"/>
    <x v="61"/>
  </r>
  <r>
    <d v="2017-07-25T00:00:00"/>
    <x v="2"/>
    <s v="ООО Второй"/>
    <x v="4"/>
    <n v="40"/>
    <n v="65"/>
    <x v="60"/>
    <m/>
    <x v="1"/>
    <n v="0"/>
    <x v="61"/>
  </r>
  <r>
    <d v="2017-07-26T00:00:00"/>
    <x v="0"/>
    <s v="ООО Второй"/>
    <x v="6"/>
    <n v="70"/>
    <n v="87"/>
    <x v="61"/>
    <d v="2017-08-01T00:00:00"/>
    <x v="4"/>
    <n v="870"/>
    <x v="55"/>
  </r>
  <r>
    <d v="2017-07-26T00:00:00"/>
    <x v="0"/>
    <s v="ООО Второй"/>
    <x v="6"/>
    <n v="70"/>
    <n v="87"/>
    <x v="61"/>
    <m/>
    <x v="1"/>
    <n v="0"/>
    <x v="62"/>
  </r>
  <r>
    <d v="2017-07-27T00:00:00"/>
    <x v="1"/>
    <s v="ООО Первый"/>
    <x v="7"/>
    <n v="170"/>
    <n v="110"/>
    <x v="62"/>
    <d v="2014-07-30T00:00:00"/>
    <x v="6"/>
    <n v="4400"/>
    <x v="63"/>
  </r>
  <r>
    <d v="2017-07-27T00:00:00"/>
    <x v="1"/>
    <s v="ООО Первый"/>
    <x v="7"/>
    <n v="170"/>
    <n v="110"/>
    <x v="62"/>
    <m/>
    <x v="1"/>
    <n v="0"/>
    <x v="64"/>
  </r>
  <r>
    <d v="2017-07-28T00:00:00"/>
    <x v="0"/>
    <s v="ООО Первый"/>
    <x v="2"/>
    <n v="49"/>
    <n v="136"/>
    <x v="63"/>
    <m/>
    <x v="1"/>
    <n v="0"/>
    <x v="65"/>
  </r>
  <r>
    <d v="2017-07-29T00:00:00"/>
    <x v="3"/>
    <s v="ООО Первый"/>
    <x v="3"/>
    <n v="120"/>
    <n v="25"/>
    <x v="64"/>
    <m/>
    <x v="1"/>
    <n v="0"/>
    <x v="66"/>
  </r>
  <r>
    <d v="2017-08-09T00:00:00"/>
    <x v="2"/>
    <s v="ООО Четвертый"/>
    <x v="1"/>
    <n v="100"/>
    <n v="32"/>
    <x v="7"/>
    <m/>
    <x v="1"/>
    <n v="0"/>
    <x v="7"/>
  </r>
  <r>
    <d v="2017-08-10T00:00:00"/>
    <x v="4"/>
    <s v="ООО Второй"/>
    <x v="0"/>
    <n v="50"/>
    <n v="45"/>
    <x v="57"/>
    <d v="2017-08-12T00:00:00"/>
    <x v="4"/>
    <n v="450"/>
    <x v="67"/>
  </r>
  <r>
    <d v="2017-08-11T00:00:00"/>
    <x v="2"/>
    <s v="ООО Первый"/>
    <x v="5"/>
    <n v="100"/>
    <n v="54"/>
    <x v="0"/>
    <m/>
    <x v="1"/>
    <n v="0"/>
    <x v="22"/>
  </r>
  <r>
    <d v="2017-08-12T00:00:00"/>
    <x v="0"/>
    <s v="ООО Первый"/>
    <x v="4"/>
    <n v="180"/>
    <n v="65"/>
    <x v="65"/>
    <m/>
    <x v="1"/>
    <n v="0"/>
    <x v="68"/>
  </r>
  <r>
    <d v="2017-08-13T00:00:00"/>
    <x v="1"/>
    <s v="ООО Четвертый"/>
    <x v="6"/>
    <n v="170"/>
    <n v="87"/>
    <x v="66"/>
    <m/>
    <x v="1"/>
    <n v="0"/>
    <x v="69"/>
  </r>
  <r>
    <d v="2017-08-14T00:00:00"/>
    <x v="0"/>
    <s v="ООО Второй"/>
    <x v="7"/>
    <n v="80"/>
    <n v="110"/>
    <x v="32"/>
    <m/>
    <x v="1"/>
    <n v="0"/>
    <x v="56"/>
  </r>
  <r>
    <d v="2017-08-14T00:00:00"/>
    <x v="0"/>
    <s v="ООО Второй"/>
    <x v="7"/>
    <n v="80"/>
    <n v="110"/>
    <x v="32"/>
    <d v="2017-08-20T00:00:00"/>
    <x v="0"/>
    <n v="2200"/>
    <x v="31"/>
  </r>
  <r>
    <d v="2017-08-15T00:00:00"/>
    <x v="3"/>
    <s v="ООО Второй"/>
    <x v="2"/>
    <n v="60"/>
    <n v="136"/>
    <x v="67"/>
    <m/>
    <x v="1"/>
    <n v="0"/>
    <x v="11"/>
  </r>
  <r>
    <d v="2017-08-15T00:00:00"/>
    <x v="3"/>
    <s v="ООО Второй"/>
    <x v="7"/>
    <n v="60"/>
    <n v="110"/>
    <x v="68"/>
    <m/>
    <x v="1"/>
    <n v="0"/>
    <x v="31"/>
  </r>
  <r>
    <d v="2017-08-16T00:00:00"/>
    <x v="2"/>
    <s v="ООО Второй"/>
    <x v="3"/>
    <n v="130"/>
    <n v="25"/>
    <x v="69"/>
    <d v="2017-08-20T00:00:00"/>
    <x v="6"/>
    <n v="1000"/>
    <x v="58"/>
  </r>
  <r>
    <d v="2017-08-16T00:00:00"/>
    <x v="2"/>
    <s v="ООО Второй"/>
    <x v="1"/>
    <n v="130"/>
    <n v="32"/>
    <x v="41"/>
    <m/>
    <x v="1"/>
    <n v="0"/>
    <x v="53"/>
  </r>
  <r>
    <d v="2017-08-17T00:00:00"/>
    <x v="0"/>
    <s v="ООО Четвертый"/>
    <x v="1"/>
    <n v="56"/>
    <n v="32"/>
    <x v="58"/>
    <m/>
    <x v="1"/>
    <n v="0"/>
    <x v="59"/>
  </r>
  <r>
    <d v="2017-08-17T00:00:00"/>
    <x v="3"/>
    <s v="ООО Четвертый"/>
    <x v="6"/>
    <n v="56"/>
    <n v="87"/>
    <x v="70"/>
    <m/>
    <x v="1"/>
    <n v="0"/>
    <x v="70"/>
  </r>
  <r>
    <d v="2017-08-18T00:00:00"/>
    <x v="2"/>
    <s v="ООО Четвертый"/>
    <x v="0"/>
    <n v="135"/>
    <n v="45"/>
    <x v="71"/>
    <d v="2017-08-22T00:00:00"/>
    <x v="9"/>
    <n v="1530"/>
    <x v="71"/>
  </r>
  <r>
    <d v="2017-08-18T00:00:00"/>
    <x v="4"/>
    <s v="ООО Четвертый"/>
    <x v="0"/>
    <n v="135"/>
    <n v="45"/>
    <x v="71"/>
    <m/>
    <x v="1"/>
    <n v="0"/>
    <x v="72"/>
  </r>
  <r>
    <d v="2017-08-19T00:00:00"/>
    <x v="2"/>
    <s v="ООО Второй"/>
    <x v="5"/>
    <n v="80"/>
    <n v="54"/>
    <x v="59"/>
    <m/>
    <x v="1"/>
    <n v="0"/>
    <x v="60"/>
  </r>
  <r>
    <d v="2017-08-19T00:00:00"/>
    <x v="0"/>
    <s v="ООО Второй"/>
    <x v="2"/>
    <n v="80"/>
    <n v="136"/>
    <x v="72"/>
    <m/>
    <x v="1"/>
    <n v="0"/>
    <x v="73"/>
  </r>
  <r>
    <d v="2017-08-20T00:00:00"/>
    <x v="1"/>
    <s v="ООО Первый"/>
    <x v="4"/>
    <n v="80"/>
    <n v="65"/>
    <x v="73"/>
    <m/>
    <x v="1"/>
    <n v="0"/>
    <x v="74"/>
  </r>
  <r>
    <d v="2017-08-20T00:00:00"/>
    <x v="1"/>
    <s v="ООО Первый"/>
    <x v="1"/>
    <n v="80"/>
    <n v="32"/>
    <x v="22"/>
    <m/>
    <x v="1"/>
    <n v="0"/>
    <x v="41"/>
  </r>
  <r>
    <d v="2017-08-21T00:00:00"/>
    <x v="0"/>
    <s v="ООО Первый"/>
    <x v="6"/>
    <n v="150"/>
    <n v="87"/>
    <x v="74"/>
    <m/>
    <x v="1"/>
    <n v="0"/>
    <x v="75"/>
  </r>
  <r>
    <d v="2017-08-21T00:00:00"/>
    <x v="0"/>
    <s v="ООО Первый"/>
    <x v="7"/>
    <n v="150"/>
    <n v="110"/>
    <x v="75"/>
    <d v="2017-08-25T00:00:00"/>
    <x v="11"/>
    <n v="4950"/>
    <x v="76"/>
  </r>
  <r>
    <d v="2017-08-22T00:00:00"/>
    <x v="3"/>
    <s v="ООО Четвертый"/>
    <x v="7"/>
    <n v="135"/>
    <n v="110"/>
    <x v="76"/>
    <d v="2017-08-24T00:00:00"/>
    <x v="0"/>
    <n v="2200"/>
    <x v="77"/>
  </r>
  <r>
    <d v="2017-08-22T00:00:00"/>
    <x v="3"/>
    <s v="ООО Четвертый"/>
    <x v="3"/>
    <n v="135"/>
    <n v="25"/>
    <x v="31"/>
    <m/>
    <x v="1"/>
    <n v="0"/>
    <x v="78"/>
  </r>
  <r>
    <d v="2017-08-23T00:00:00"/>
    <x v="2"/>
    <s v="ООО Второй"/>
    <x v="2"/>
    <n v="80"/>
    <n v="136"/>
    <x v="72"/>
    <m/>
    <x v="1"/>
    <n v="0"/>
    <x v="73"/>
  </r>
  <r>
    <d v="2017-08-23T00:00:00"/>
    <x v="3"/>
    <s v="ООО Второй"/>
    <x v="7"/>
    <n v="80"/>
    <n v="110"/>
    <x v="32"/>
    <d v="2017-08-25T00:00:00"/>
    <x v="0"/>
    <n v="2200"/>
    <x v="31"/>
  </r>
  <r>
    <d v="2018-09-03T00:00:00"/>
    <x v="4"/>
    <s v="ООО Первый"/>
    <x v="3"/>
    <n v="80"/>
    <n v="25"/>
    <x v="11"/>
    <m/>
    <x v="1"/>
    <n v="0"/>
    <x v="12"/>
  </r>
  <r>
    <d v="2018-09-03T00:00:00"/>
    <x v="4"/>
    <s v="ООО Первый"/>
    <x v="4"/>
    <n v="80"/>
    <n v="65"/>
    <x v="73"/>
    <m/>
    <x v="1"/>
    <n v="0"/>
    <x v="74"/>
  </r>
  <r>
    <d v="2018-09-04T00:00:00"/>
    <x v="0"/>
    <s v="ООО Второй"/>
    <x v="7"/>
    <n v="90"/>
    <n v="110"/>
    <x v="36"/>
    <m/>
    <x v="1"/>
    <n v="0"/>
    <x v="36"/>
  </r>
  <r>
    <d v="2018-09-04T00:00:00"/>
    <x v="0"/>
    <s v="ООО Второй"/>
    <x v="2"/>
    <n v="80"/>
    <n v="136"/>
    <x v="72"/>
    <m/>
    <x v="1"/>
    <n v="0"/>
    <x v="73"/>
  </r>
  <r>
    <d v="2018-09-05T00:00:00"/>
    <x v="3"/>
    <s v="ООО Второй"/>
    <x v="2"/>
    <n v="160"/>
    <n v="136"/>
    <x v="77"/>
    <d v="2017-09-08T00:00:00"/>
    <x v="7"/>
    <n v="4080"/>
    <x v="17"/>
  </r>
  <r>
    <d v="2018-09-05T00:00:00"/>
    <x v="2"/>
    <s v="ООО Второй"/>
    <x v="5"/>
    <n v="110"/>
    <n v="54"/>
    <x v="78"/>
    <m/>
    <x v="1"/>
    <n v="0"/>
    <x v="79"/>
  </r>
  <r>
    <d v="2018-09-06T00:00:00"/>
    <x v="2"/>
    <s v="ООО Четвертый"/>
    <x v="3"/>
    <n v="230"/>
    <n v="25"/>
    <x v="79"/>
    <m/>
    <x v="1"/>
    <n v="0"/>
    <x v="80"/>
  </r>
  <r>
    <d v="2018-09-06T00:00:00"/>
    <x v="2"/>
    <s v="ООО Четвертый"/>
    <x v="0"/>
    <n v="230"/>
    <n v="45"/>
    <x v="80"/>
    <d v="2017-09-11T00:00:00"/>
    <x v="7"/>
    <n v="1350"/>
    <x v="81"/>
  </r>
  <r>
    <d v="2018-09-07T00:00:00"/>
    <x v="4"/>
    <s v="ООО Четвертый"/>
    <x v="1"/>
    <n v="60"/>
    <n v="32"/>
    <x v="24"/>
    <m/>
    <x v="1"/>
    <n v="0"/>
    <x v="24"/>
  </r>
  <r>
    <d v="2018-09-07T00:00:00"/>
    <x v="4"/>
    <s v="ООО Четвертый"/>
    <x v="2"/>
    <n v="25"/>
    <n v="136"/>
    <x v="81"/>
    <m/>
    <x v="1"/>
    <n v="0"/>
    <x v="82"/>
  </r>
  <r>
    <d v="2018-09-10T00:00:00"/>
    <x v="2"/>
    <s v="ООО Второй"/>
    <x v="0"/>
    <n v="170"/>
    <n v="45"/>
    <x v="82"/>
    <m/>
    <x v="1"/>
    <n v="0"/>
    <x v="83"/>
  </r>
  <r>
    <d v="2018-09-10T00:00:00"/>
    <x v="2"/>
    <s v="ООО Второй"/>
    <x v="3"/>
    <n v="170"/>
    <n v="25"/>
    <x v="83"/>
    <m/>
    <x v="1"/>
    <n v="0"/>
    <x v="84"/>
  </r>
  <r>
    <d v="2018-09-11T00:00:00"/>
    <x v="2"/>
    <s v="ООО Первый"/>
    <x v="5"/>
    <n v="56"/>
    <n v="54"/>
    <x v="84"/>
    <m/>
    <x v="1"/>
    <n v="0"/>
    <x v="85"/>
  </r>
  <r>
    <d v="2018-09-11T00:00:00"/>
    <x v="0"/>
    <s v="ООО Первый"/>
    <x v="5"/>
    <n v="56"/>
    <n v="54"/>
    <x v="84"/>
    <d v="2017-09-15T00:00:00"/>
    <x v="12"/>
    <n v="1134"/>
    <x v="86"/>
  </r>
  <r>
    <d v="2018-09-12T00:00:00"/>
    <x v="1"/>
    <s v="ООО Первый"/>
    <x v="4"/>
    <n v="90"/>
    <n v="65"/>
    <x v="85"/>
    <m/>
    <x v="1"/>
    <n v="0"/>
    <x v="87"/>
  </r>
  <r>
    <d v="2018-09-12T00:00:00"/>
    <x v="1"/>
    <s v="ООО Первый"/>
    <x v="5"/>
    <n v="90"/>
    <n v="54"/>
    <x v="13"/>
    <m/>
    <x v="1"/>
    <n v="0"/>
    <x v="13"/>
  </r>
  <r>
    <d v="2018-09-13T00:00:00"/>
    <x v="3"/>
    <s v="ООО Четвертый"/>
    <x v="6"/>
    <n v="70"/>
    <n v="87"/>
    <x v="61"/>
    <m/>
    <x v="1"/>
    <n v="0"/>
    <x v="62"/>
  </r>
  <r>
    <d v="2018-09-13T00:00:00"/>
    <x v="0"/>
    <s v="ООО Четвертый"/>
    <x v="6"/>
    <n v="70"/>
    <n v="87"/>
    <x v="61"/>
    <m/>
    <x v="1"/>
    <n v="0"/>
    <x v="62"/>
  </r>
  <r>
    <d v="2018-09-14T00:00:00"/>
    <x v="2"/>
    <s v="ООО Второй"/>
    <x v="7"/>
    <n v="50"/>
    <n v="110"/>
    <x v="86"/>
    <m/>
    <x v="1"/>
    <n v="0"/>
    <x v="88"/>
  </r>
  <r>
    <d v="2018-09-14T00:00:00"/>
    <x v="3"/>
    <s v="ООО Второй"/>
    <x v="7"/>
    <n v="50"/>
    <n v="110"/>
    <x v="86"/>
    <m/>
    <x v="1"/>
    <n v="0"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8ED6B-ECB3-0D49-A3A2-58FF07C82502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9" firstHeaderRow="1" firstDataRow="1" firstDataCol="1"/>
  <pivotFields count="11">
    <pivotField numFmtId="14"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44" showAll="0"/>
    <pivotField showAll="0"/>
    <pivotField showAll="0">
      <items count="14">
        <item x="4"/>
        <item x="10"/>
        <item x="0"/>
        <item x="12"/>
        <item x="7"/>
        <item x="9"/>
        <item x="6"/>
        <item x="11"/>
        <item x="8"/>
        <item x="3"/>
        <item x="5"/>
        <item x="2"/>
        <item x="1"/>
        <item t="default"/>
      </items>
    </pivotField>
    <pivotField showAll="0"/>
    <pivotField dataField="1" numFmtId="44" showAll="0">
      <items count="90">
        <item x="49"/>
        <item x="42"/>
        <item x="44"/>
        <item x="3"/>
        <item x="59"/>
        <item x="67"/>
        <item x="86"/>
        <item x="24"/>
        <item x="4"/>
        <item x="12"/>
        <item x="54"/>
        <item x="30"/>
        <item x="52"/>
        <item x="23"/>
        <item x="58"/>
        <item x="21"/>
        <item x="41"/>
        <item x="61"/>
        <item x="51"/>
        <item x="18"/>
        <item x="15"/>
        <item x="66"/>
        <item x="85"/>
        <item x="7"/>
        <item x="78"/>
        <item x="82"/>
        <item x="1"/>
        <item x="57"/>
        <item x="29"/>
        <item x="53"/>
        <item x="84"/>
        <item x="60"/>
        <item x="38"/>
        <item x="0"/>
        <item x="50"/>
        <item x="71"/>
        <item x="32"/>
        <item x="13"/>
        <item x="70"/>
        <item x="37"/>
        <item x="74"/>
        <item x="55"/>
        <item x="22"/>
        <item x="5"/>
        <item x="88"/>
        <item x="43"/>
        <item x="80"/>
        <item x="87"/>
        <item x="79"/>
        <item x="72"/>
        <item x="62"/>
        <item x="45"/>
        <item x="35"/>
        <item x="31"/>
        <item x="65"/>
        <item x="8"/>
        <item x="40"/>
        <item x="19"/>
        <item x="83"/>
        <item x="47"/>
        <item x="11"/>
        <item x="20"/>
        <item x="56"/>
        <item x="81"/>
        <item x="33"/>
        <item x="36"/>
        <item x="26"/>
        <item x="73"/>
        <item x="34"/>
        <item x="76"/>
        <item x="68"/>
        <item x="77"/>
        <item x="75"/>
        <item x="16"/>
        <item x="48"/>
        <item x="46"/>
        <item x="63"/>
        <item x="25"/>
        <item x="69"/>
        <item x="6"/>
        <item x="2"/>
        <item x="17"/>
        <item x="64"/>
        <item x="28"/>
        <item x="39"/>
        <item x="27"/>
        <item x="9"/>
        <item x="14"/>
        <item x="1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Чистая стоимость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C8B51-5789-0B49-8181-F9D3CDCC942F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48" firstHeaderRow="1" firstDataRow="1" firstDataCol="1"/>
  <pivotFields count="11">
    <pivotField numFmtId="14"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axis="axisRow" showAll="0">
      <items count="9">
        <item x="2"/>
        <item x="6"/>
        <item x="4"/>
        <item x="1"/>
        <item x="0"/>
        <item x="3"/>
        <item x="7"/>
        <item x="5"/>
        <item t="default"/>
      </items>
    </pivotField>
    <pivotField showAll="0"/>
    <pivotField showAll="0"/>
    <pivotField numFmtId="44" showAll="0">
      <items count="88">
        <item x="48"/>
        <item x="42"/>
        <item x="44"/>
        <item x="3"/>
        <item x="58"/>
        <item x="24"/>
        <item x="4"/>
        <item x="11"/>
        <item x="53"/>
        <item x="23"/>
        <item x="57"/>
        <item x="51"/>
        <item x="21"/>
        <item x="22"/>
        <item x="60"/>
        <item x="50"/>
        <item x="17"/>
        <item x="64"/>
        <item x="84"/>
        <item x="7"/>
        <item x="69"/>
        <item x="31"/>
        <item x="81"/>
        <item x="1"/>
        <item x="56"/>
        <item x="30"/>
        <item x="41"/>
        <item x="83"/>
        <item x="59"/>
        <item x="49"/>
        <item x="12"/>
        <item x="13"/>
        <item x="70"/>
        <item x="37"/>
        <item x="73"/>
        <item x="54"/>
        <item x="0"/>
        <item x="86"/>
        <item x="79"/>
        <item x="85"/>
        <item x="78"/>
        <item x="71"/>
        <item x="61"/>
        <item x="45"/>
        <item x="35"/>
        <item x="68"/>
        <item x="63"/>
        <item x="52"/>
        <item x="8"/>
        <item x="40"/>
        <item x="18"/>
        <item x="82"/>
        <item x="43"/>
        <item x="25"/>
        <item x="67"/>
        <item x="32"/>
        <item x="33"/>
        <item x="36"/>
        <item x="80"/>
        <item x="27"/>
        <item x="72"/>
        <item x="38"/>
        <item x="65"/>
        <item x="74"/>
        <item x="15"/>
        <item x="55"/>
        <item x="34"/>
        <item x="19"/>
        <item x="26"/>
        <item x="66"/>
        <item x="76"/>
        <item x="6"/>
        <item x="2"/>
        <item x="5"/>
        <item x="75"/>
        <item x="20"/>
        <item x="16"/>
        <item x="46"/>
        <item x="62"/>
        <item x="39"/>
        <item x="28"/>
        <item x="77"/>
        <item x="29"/>
        <item x="47"/>
        <item x="9"/>
        <item x="14"/>
        <item x="10"/>
        <item t="default"/>
      </items>
    </pivotField>
    <pivotField showAll="0"/>
    <pivotField showAll="0">
      <items count="14">
        <item x="4"/>
        <item x="10"/>
        <item x="0"/>
        <item x="12"/>
        <item x="7"/>
        <item x="9"/>
        <item x="6"/>
        <item x="11"/>
        <item x="8"/>
        <item x="3"/>
        <item x="5"/>
        <item x="2"/>
        <item x="1"/>
        <item t="default"/>
      </items>
    </pivotField>
    <pivotField showAll="0"/>
    <pivotField dataField="1" numFmtId="44" showAll="0"/>
  </pivotFields>
  <rowFields count="2">
    <field x="1"/>
    <field x="3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Сумма по полю Чистая стоимость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44B72-6E5C-9149-85D0-71AB99100126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J10" firstHeaderRow="1" firstDataRow="2" firstDataCol="1"/>
  <pivotFields count="11">
    <pivotField numFmtId="14"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axis="axisCol" showAll="0">
      <items count="9">
        <item x="2"/>
        <item x="6"/>
        <item x="4"/>
        <item x="1"/>
        <item x="0"/>
        <item x="3"/>
        <item x="7"/>
        <item x="5"/>
        <item t="default"/>
      </items>
    </pivotField>
    <pivotField showAll="0"/>
    <pivotField showAll="0"/>
    <pivotField numFmtId="44" showAll="0"/>
    <pivotField showAll="0"/>
    <pivotField showAll="0">
      <items count="14">
        <item x="4"/>
        <item x="10"/>
        <item x="0"/>
        <item x="12"/>
        <item x="7"/>
        <item x="9"/>
        <item x="6"/>
        <item x="11"/>
        <item x="8"/>
        <item x="3"/>
        <item x="5"/>
        <item x="2"/>
        <item x="1"/>
        <item t="default"/>
      </items>
    </pivotField>
    <pivotField showAll="0"/>
    <pivotField dataField="1"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Сумма по полю Чистая стоимость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93217D-365C-B544-A15C-AA08DB54E894}" name="Таблица1" displayName="Таблица1" ref="A1:K131" totalsRowShown="0" headerRowDxfId="27" dataDxfId="26" tableBorderDxfId="25">
  <autoFilter ref="A1:K131" xr:uid="{00000000-0009-0000-0100-000001000000}"/>
  <tableColumns count="11">
    <tableColumn id="1" xr3:uid="{A8113154-9406-AF47-8935-9A510E7D72E1}" name="Дата" dataDxfId="24"/>
    <tableColumn id="2" xr3:uid="{1334C2B4-20B2-A442-A4F3-671B65ECB11B}" name="ФИО менеджера" dataDxfId="23"/>
    <tableColumn id="3" xr3:uid="{CA6F0B49-B211-6E46-A299-C6DACE5210CE}" name="Наименование клиента" dataDxfId="22"/>
    <tableColumn id="4" xr3:uid="{B128F39C-208F-8846-AB45-F8C694832C2F}" name="Наименование Товара" dataDxfId="21"/>
    <tableColumn id="5" xr3:uid="{7CB16B93-A4C3-2F48-832A-8F28980BA11D}" name="Количество" dataDxfId="20"/>
    <tableColumn id="7" xr3:uid="{99D661F8-5861-B74E-89C2-D864F4865FCB}" name="Цена" dataDxfId="19">
      <calculatedColumnFormula>VLOOKUP(Таблица1[[#This Row],[Наименование Товара]],Товары_цена[],3,0)</calculatedColumnFormula>
    </tableColumn>
    <tableColumn id="6" xr3:uid="{D4F76BCB-83CB-B54B-AA28-1AB0558F8AC3}" name="Стоимость" dataDxfId="18">
      <calculatedColumnFormula>Таблица1[[#This Row],[Количество]]*Таблица1[[#This Row],[Цена]]</calculatedColumnFormula>
    </tableColumn>
    <tableColumn id="8" xr3:uid="{D5BA46C4-2F6A-8644-B808-DE6E035CBFEA}" name="Дата возрата по рекламации" dataDxfId="17"/>
    <tableColumn id="9" xr3:uid="{328C5F7A-1219-D645-A955-70AAC1579211}" name="Количество к возврату" dataDxfId="16"/>
    <tableColumn id="10" xr3:uid="{6F63CF1B-9A06-5C42-BC36-634DBDFBB63D}" name="Стоимость возврата" dataDxfId="15">
      <calculatedColumnFormula>Таблица1[[#This Row],[Количество к возврату]]*Таблица1[[#This Row],[Цена]]</calculatedColumnFormula>
    </tableColumn>
    <tableColumn id="11" xr3:uid="{C475F730-85B8-0047-AD16-AFEB535CF7A7}" name="Чистая стоимость" dataDxfId="14">
      <calculatedColumnFormula>Таблица1[[#This Row],[Стоимость]]-Таблица1[[#This Row],[Стоимость возврата]]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05A849-88B4-477D-8CEE-A085A19807CA}" name="Товары_цена" displayName="Товары_цена" ref="A1:C10" totalsRowShown="0" headerRowDxfId="13" tableBorderDxfId="12">
  <autoFilter ref="A1:C10" xr:uid="{454C3029-940F-4B72-A163-E14653329684}"/>
  <tableColumns count="3">
    <tableColumn id="1" xr3:uid="{C21BE010-591F-4F91-976D-C3ACDAC571D2}" name="Наименование Товара" dataDxfId="11"/>
    <tableColumn id="2" xr3:uid="{6D28B93F-29BB-4C84-BAC1-094B469F8D36}" name="Товарная группа"/>
    <tableColumn id="3" xr3:uid="{C07542A1-29C5-4DCC-8FBD-CD4C8416012D}" name="Цена товара (фикс)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10835D-CFDE-4ADA-ACE5-AE2F2EB8EA78}" name="Цены_таблица" displayName="Цены_таблица" ref="H1:O9" totalsRowShown="0" headerRowDxfId="9" dataDxfId="8">
  <autoFilter ref="H1:O9" xr:uid="{6CD477E7-D69C-4286-BD95-23EB993B86AF}"/>
  <tableColumns count="8">
    <tableColumn id="1" xr3:uid="{D620B6AA-BC38-42E8-8574-40BE31879CA6}" name="Наименование Товара" dataDxfId="7"/>
    <tableColumn id="2" xr3:uid="{D4DE033C-B84C-443A-A956-9D0C318FE2E5}" name="01.01.2017" dataDxfId="6"/>
    <tableColumn id="3" xr3:uid="{A9D0B3E3-B7C7-4FB4-BC1A-33516CD49D1A}" name="01.03.2017" dataDxfId="5"/>
    <tableColumn id="4" xr3:uid="{A023DE96-F723-4D35-BE1F-3FFEC926F7BD}" name="01.05.2017" dataDxfId="4"/>
    <tableColumn id="5" xr3:uid="{066AC885-6762-4C56-B4AC-F2D0BFC45461}" name="01.07.2017" dataDxfId="3"/>
    <tableColumn id="6" xr3:uid="{B5A31CE2-7123-46F3-B909-69F6B480159B}" name="01.11.2017" dataDxfId="2"/>
    <tableColumn id="7" xr3:uid="{04D930A7-BDE4-4452-A8B2-372913D81B00}" name="Среднее" dataDxfId="1">
      <calculatedColumnFormula>AVERAGE(Цены_таблица[[#This Row],[01.01.2017]:[01.11.2017]])</calculatedColumnFormula>
    </tableColumn>
    <tableColumn id="8" xr3:uid="{DBA13C5D-03CE-4F07-9827-1EF72B70732D}" name="График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C43D-AF2E-F742-B5D8-B37A7BACFB9E}">
  <dimension ref="A1:J25"/>
  <sheetViews>
    <sheetView showGridLines="0" zoomScale="91" workbookViewId="0">
      <selection activeCell="E7" sqref="E7"/>
    </sheetView>
  </sheetViews>
  <sheetFormatPr baseColWidth="10" defaultColWidth="9.1640625" defaultRowHeight="15" x14ac:dyDescent="0.2"/>
  <cols>
    <col min="1" max="1" width="29.83203125" style="37" customWidth="1"/>
    <col min="2" max="2" width="27.5" style="37" bestFit="1" customWidth="1"/>
    <col min="3" max="4" width="25" style="37" customWidth="1"/>
    <col min="5" max="5" width="39.5" style="37" bestFit="1" customWidth="1"/>
    <col min="6" max="6" width="9.1640625" style="37"/>
    <col min="7" max="7" width="18.83203125" style="37" customWidth="1"/>
    <col min="8" max="16384" width="9.1640625" style="37"/>
  </cols>
  <sheetData>
    <row r="1" spans="1:10" x14ac:dyDescent="0.2">
      <c r="A1" s="2" t="s">
        <v>75</v>
      </c>
      <c r="H1" s="39"/>
      <c r="I1" s="39"/>
      <c r="J1" s="39"/>
    </row>
    <row r="2" spans="1:10" x14ac:dyDescent="0.2">
      <c r="A2" s="24" t="s">
        <v>76</v>
      </c>
      <c r="D2" s="24" t="s">
        <v>77</v>
      </c>
      <c r="H2" s="39"/>
      <c r="I2" s="39"/>
      <c r="J2" s="39"/>
    </row>
    <row r="3" spans="1:10" x14ac:dyDescent="0.2">
      <c r="A3" s="38" t="s">
        <v>27</v>
      </c>
      <c r="D3" s="38" t="s">
        <v>19</v>
      </c>
      <c r="H3" s="39"/>
      <c r="I3" s="39"/>
      <c r="J3" s="39"/>
    </row>
    <row r="4" spans="1:10" x14ac:dyDescent="0.2">
      <c r="A4" s="39"/>
      <c r="G4" s="39"/>
      <c r="H4" s="39"/>
      <c r="I4" s="39"/>
      <c r="J4" s="39"/>
    </row>
    <row r="5" spans="1:10" x14ac:dyDescent="0.2">
      <c r="A5" s="2" t="s">
        <v>78</v>
      </c>
      <c r="H5" s="39"/>
      <c r="I5" s="39"/>
      <c r="J5" s="39"/>
    </row>
    <row r="6" spans="1:10" ht="17.25" customHeight="1" x14ac:dyDescent="0.2">
      <c r="A6" s="24" t="s">
        <v>79</v>
      </c>
      <c r="B6" s="24" t="s">
        <v>80</v>
      </c>
      <c r="D6" s="24" t="s">
        <v>81</v>
      </c>
      <c r="E6" s="24" t="s">
        <v>82</v>
      </c>
      <c r="H6" s="39"/>
      <c r="I6" s="11"/>
      <c r="J6" s="39"/>
    </row>
    <row r="7" spans="1:10" x14ac:dyDescent="0.2">
      <c r="A7" s="16" t="s">
        <v>16</v>
      </c>
      <c r="B7" s="40">
        <f>INDEX(Отчет1!$B$12:$I$16,MATCH($A7,Отчет1!$A$12:$A$16,0),MATCH($A$3,Отчет1!$B$11:$I$11,0))/SUM(INDEX(Отчет1!$B$12:$I$16,0,MATCH($A$3,Отчет1!$B$11:$I$11,0)))</f>
        <v>0.12536873156342182</v>
      </c>
      <c r="D7" s="16" t="s">
        <v>7</v>
      </c>
      <c r="E7" s="38">
        <f>INDEX(Отчет1!$B$22:$I$26,MATCH($D$3,Отчет1!$A$22:$A$26,0),MATCH($D7,Отчет1!$B$21:$I$21,0))/INDEX(Отчет1!$J$22:$J$26,MATCH($D$3,Отчет1!$A$22:$A$26,0),0)</f>
        <v>0</v>
      </c>
      <c r="H7" s="39"/>
      <c r="I7" s="39"/>
      <c r="J7" s="39"/>
    </row>
    <row r="8" spans="1:10" x14ac:dyDescent="0.2">
      <c r="A8" s="16" t="s">
        <v>17</v>
      </c>
      <c r="B8" s="40">
        <f>INDEX(Отчет1!$B$12:$I$16,MATCH($A8,Отчет1!$A$12:$A$16,0),MATCH($A$3,Отчет1!$B$11:$I$11,0))/SUM(INDEX(Отчет1!$B$12:$I$16,0,MATCH($A$3,Отчет1!$B$11:$I$11,0)))</f>
        <v>0.20648967551622419</v>
      </c>
      <c r="D8" s="16" t="s">
        <v>9</v>
      </c>
      <c r="E8" s="38">
        <f>INDEX(Отчет1!$B$22:$I$26,MATCH($D$3,Отчет1!$A$22:$A$26,0),MATCH($D8,Отчет1!$B$21:$I$21,0))/SUM(INDEX(Отчет1!$B$22:$I$26,0,MATCH($D8,Отчет1!$B$21:$I$21,0)))</f>
        <v>0.18181818181818182</v>
      </c>
      <c r="H8" s="39"/>
      <c r="I8" s="39"/>
      <c r="J8" s="39"/>
    </row>
    <row r="9" spans="1:10" x14ac:dyDescent="0.2">
      <c r="A9" s="16" t="s">
        <v>18</v>
      </c>
      <c r="B9" s="40">
        <f>INDEX(Отчет1!$B$12:$I$16,MATCH($A9,Отчет1!$A$12:$A$16,0),MATCH($A$3,Отчет1!$B$11:$I$11,0))/SUM(INDEX(Отчет1!$B$12:$I$16,0,MATCH($A$3,Отчет1!$B$11:$I$11,0)))</f>
        <v>0.14749262536873156</v>
      </c>
      <c r="D9" s="16" t="s">
        <v>10</v>
      </c>
      <c r="E9" s="38">
        <f>INDEX(Отчет1!$B$22:$I$26,MATCH($D$3,Отчет1!$A$22:$A$26,0),MATCH($D9,Отчет1!$B$21:$I$21,0))/SUM(INDEX(Отчет1!$B$22:$I$26,0,MATCH($D9,Отчет1!$B$21:$I$21,0)))</f>
        <v>0.3</v>
      </c>
      <c r="H9" s="39"/>
      <c r="I9" s="39"/>
      <c r="J9" s="39"/>
    </row>
    <row r="10" spans="1:10" x14ac:dyDescent="0.2">
      <c r="A10" s="16" t="s">
        <v>19</v>
      </c>
      <c r="B10" s="40">
        <f>INDEX(Отчет1!$B$12:$I$16,MATCH($A10,Отчет1!$A$12:$A$16,0),MATCH($A$3,Отчет1!$B$11:$I$11,0))/SUM(INDEX(Отчет1!$B$12:$I$16,0,MATCH($A$3,Отчет1!$B$11:$I$11,0)))</f>
        <v>0.29203539823008851</v>
      </c>
      <c r="D10" s="16" t="s">
        <v>26</v>
      </c>
      <c r="E10" s="38">
        <f>INDEX(Отчет1!$B$22:$I$26,MATCH($D$3,Отчет1!$A$22:$A$26,0),MATCH($D10,Отчет1!$B$21:$I$21,0))/SUM(INDEX(Отчет1!$B$22:$I$26,0,MATCH($D10,Отчет1!$B$21:$I$21,0)))</f>
        <v>0.33333333333333331</v>
      </c>
      <c r="H10" s="39"/>
      <c r="I10" s="39"/>
      <c r="J10" s="39"/>
    </row>
    <row r="11" spans="1:10" x14ac:dyDescent="0.2">
      <c r="A11" s="16" t="s">
        <v>20</v>
      </c>
      <c r="B11" s="40">
        <f>INDEX(Отчет1!$B$12:$I$16,MATCH($A11,Отчет1!$A$12:$A$16,0),MATCH($A$3,Отчет1!$B$11:$I$11,0))/SUM(INDEX(Отчет1!$B$12:$I$16,0,MATCH($A$3,Отчет1!$B$11:$I$11,0)))</f>
        <v>0.22861356932153393</v>
      </c>
      <c r="D11" s="16" t="s">
        <v>27</v>
      </c>
      <c r="E11" s="38">
        <f>INDEX(Отчет1!$B$22:$I$26,MATCH($D$3,Отчет1!$A$22:$A$26,0),MATCH($D11,Отчет1!$B$21:$I$21,0))/SUM(INDEX(Отчет1!$B$22:$I$26,0,MATCH($D11,Отчет1!$B$21:$I$21,0)))</f>
        <v>0.2</v>
      </c>
      <c r="H11" s="39"/>
      <c r="I11" s="39"/>
      <c r="J11" s="39"/>
    </row>
    <row r="12" spans="1:10" x14ac:dyDescent="0.2">
      <c r="A12" s="13"/>
      <c r="B12" s="41" t="str">
        <f>IF(SUM(B7:B11)=100%,"OK","ОШИБКА")</f>
        <v>OK</v>
      </c>
      <c r="C12" s="42"/>
      <c r="D12" s="16" t="s">
        <v>28</v>
      </c>
      <c r="E12" s="38">
        <f>INDEX(Отчет1!$B$22:$I$26,MATCH($D$3,Отчет1!$A$22:$A$26,0),MATCH($D12,Отчет1!$B$21:$I$21,0))/SUM(INDEX(Отчет1!$B$22:$I$26,0,MATCH($D12,Отчет1!$B$21:$I$21,0)))</f>
        <v>0.14285714285714285</v>
      </c>
      <c r="H12" s="39"/>
      <c r="I12" s="39"/>
      <c r="J12" s="39"/>
    </row>
    <row r="13" spans="1:10" x14ac:dyDescent="0.2">
      <c r="A13" s="13"/>
      <c r="B13" s="42"/>
      <c r="C13" s="42"/>
      <c r="D13" s="16" t="s">
        <v>64</v>
      </c>
      <c r="E13" s="38">
        <f>INDEX(Отчет1!$B$22:$I$26,MATCH($D$3,Отчет1!$A$22:$A$26,0),MATCH($D13,Отчет1!$B$21:$I$21,0))/SUM(INDEX(Отчет1!$B$22:$I$26,0,MATCH($D13,Отчет1!$B$21:$I$21,0)))</f>
        <v>0.1</v>
      </c>
      <c r="H13" s="39"/>
      <c r="I13" s="39"/>
      <c r="J13" s="39"/>
    </row>
    <row r="14" spans="1:10" x14ac:dyDescent="0.2">
      <c r="D14" s="16" t="s">
        <v>65</v>
      </c>
      <c r="E14" s="38">
        <f>INDEX(Отчет1!$B$22:$I$26,MATCH($D$3,Отчет1!$A$22:$A$26,0),MATCH($D14,Отчет1!$B$21:$I$21,0))/SUM(INDEX(Отчет1!$B$22:$I$26,0,MATCH($D14,Отчет1!$B$21:$I$21,0)))</f>
        <v>0.18181818181818182</v>
      </c>
      <c r="H14" s="39"/>
      <c r="I14" s="39"/>
      <c r="J14" s="39"/>
    </row>
    <row r="16" spans="1:10" x14ac:dyDescent="0.2">
      <c r="A16" s="43" t="s">
        <v>83</v>
      </c>
      <c r="B16" s="44">
        <f>Начало_периода</f>
        <v>42736</v>
      </c>
      <c r="C16" s="45" t="s">
        <v>84</v>
      </c>
      <c r="D16" s="46">
        <f>Конец_периода</f>
        <v>43028</v>
      </c>
      <c r="E16"/>
    </row>
    <row r="17" spans="1:4" x14ac:dyDescent="0.2">
      <c r="A17" s="24" t="s">
        <v>85</v>
      </c>
      <c r="B17" s="24" t="s">
        <v>86</v>
      </c>
      <c r="C17" s="24" t="s">
        <v>87</v>
      </c>
      <c r="D17" s="25" t="s">
        <v>88</v>
      </c>
    </row>
    <row r="18" spans="1:4" x14ac:dyDescent="0.2">
      <c r="A18" s="24" t="s">
        <v>89</v>
      </c>
      <c r="B18" s="58" t="str">
        <f>INDEX(Отчет1!B3:I3,0,MATCH(MAX(Отчет1!B9:I9),Отчет1!B9:I9,0))</f>
        <v>Полярный</v>
      </c>
      <c r="C18" s="58" t="str">
        <f>INDEX(Отчет1!B11:I11,0,MATCH(MAX(Отчет1!B17:I17),Отчет1!B17:I17,0))</f>
        <v>Полярный</v>
      </c>
      <c r="D18" s="38" t="str">
        <f>INDEX(Отчет1!B21:I21,0,MATCH(MAX(Отчет1!B27:I27),Отчет1!B27:I27,0))</f>
        <v>Печенье Вкусное</v>
      </c>
    </row>
    <row r="19" spans="1:4" ht="16" x14ac:dyDescent="0.2">
      <c r="A19" s="30" t="s">
        <v>90</v>
      </c>
      <c r="B19" s="61" t="str">
        <f>INDEX(Отчет1!A4:A8,MATCH(MAX(Отчет1!J4:J8),Отчет1!J4:J8,0),0)</f>
        <v>Григорьев Сергей Петрович</v>
      </c>
      <c r="C19" s="58" t="str">
        <f>INDEX(Отчет1!A12:A16,MATCH(MAX(Отчет1!J12:J16),Отчет1!J12:J16,0),0)</f>
        <v>Григорьев Сергей Петрович</v>
      </c>
      <c r="D19" s="38" t="str">
        <f>INDEX(Отчет1!A22:A26,MATCH(MAX(Отчет1!J22:J26),Отчет1!J22:J26,0),0)</f>
        <v>Григорьев Сергей Петрович</v>
      </c>
    </row>
    <row r="20" spans="1:4" x14ac:dyDescent="0.2">
      <c r="A20" s="25" t="s">
        <v>91</v>
      </c>
      <c r="B20" s="58" t="str">
        <f>INDEX(Отчет1!B3:I3,0,MATCH(MIN(Отчет1!B9:I9),Отчет1!B9:I9,0))</f>
        <v>Печенье Солнышко</v>
      </c>
      <c r="C20" s="58" t="str">
        <f>INDEX(Отчет1!B11:I11,0,MATCH(MIN(Отчет1!B17:I17),Отчет1!B17:I17,0))</f>
        <v>Снежок</v>
      </c>
      <c r="D20" s="38" t="str">
        <f>INDEX(Отчет1!B21:I21,0,MATCH(MIN(Отчет1!B27:I27),Отчет1!B27:I27,0))</f>
        <v>Снежок</v>
      </c>
    </row>
    <row r="21" spans="1:4" x14ac:dyDescent="0.2">
      <c r="A21" s="25" t="s">
        <v>92</v>
      </c>
      <c r="B21" s="58" t="str">
        <f>INDEX(Отчет1!A4:A8,MATCH(MIN(Отчет1!J4:J8),Отчет1!J4:J8,0),0)</f>
        <v>Поснова Ольга Евгеньевна</v>
      </c>
      <c r="C21" s="58" t="str">
        <f>INDEX(Отчет1!A12:A16,MATCH(MIN(Отчет1!J12:J16),Отчет1!J12:J16,0),0)</f>
        <v>Волокушин Иван Иванович</v>
      </c>
      <c r="D21" s="38" t="str">
        <f>INDEX(Отчет1!A22:A26,MATCH(MIN(Отчет1!J22:J26),Отчет1!J22:J26,0),0)</f>
        <v>Волокушин Иван Иванович</v>
      </c>
    </row>
    <row r="24" spans="1:4" ht="16" x14ac:dyDescent="0.2">
      <c r="A24" s="57"/>
    </row>
    <row r="25" spans="1:4" x14ac:dyDescent="0.2">
      <c r="A25"/>
    </row>
  </sheetData>
  <dataValidations count="2">
    <dataValidation type="list" allowBlank="1" showInputMessage="1" showErrorMessage="1" sqref="A3:A4" xr:uid="{987D942B-2434-E141-B2F5-26E611B400E7}">
      <formula1>Товар</formula1>
    </dataValidation>
    <dataValidation type="list" allowBlank="1" showInputMessage="1" showErrorMessage="1" sqref="G4 D3" xr:uid="{44EA40B8-4E23-B644-89AB-BFB1D8EA0F09}">
      <formula1>ФИО1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17" customWidth="1"/>
    <col min="2" max="2" width="16.6640625" bestFit="1" customWidth="1"/>
    <col min="4" max="4" width="15.83203125" customWidth="1"/>
    <col min="6" max="6" width="23.6640625" customWidth="1"/>
    <col min="7" max="7" width="16.83203125" customWidth="1"/>
    <col min="8" max="8" width="18.1640625" customWidth="1"/>
    <col min="9" max="9" width="12.6640625" customWidth="1"/>
  </cols>
  <sheetData>
    <row r="1" spans="1:7" ht="29.25" customHeight="1" x14ac:dyDescent="0.2">
      <c r="A1" s="30" t="s">
        <v>0</v>
      </c>
      <c r="B1" s="24" t="s">
        <v>1</v>
      </c>
      <c r="C1" s="1"/>
      <c r="D1" s="1"/>
      <c r="F1" s="1"/>
      <c r="G1" s="1"/>
    </row>
    <row r="2" spans="1:7" ht="27.75" customHeight="1" x14ac:dyDescent="0.2">
      <c r="A2" s="16" t="s">
        <v>2</v>
      </c>
      <c r="B2" s="16" t="s">
        <v>31</v>
      </c>
      <c r="D2" s="3"/>
      <c r="G2" s="7"/>
    </row>
    <row r="3" spans="1:7" x14ac:dyDescent="0.2">
      <c r="A3" s="16" t="s">
        <v>3</v>
      </c>
      <c r="B3" s="16" t="s">
        <v>32</v>
      </c>
      <c r="D3" s="3"/>
      <c r="G3" s="7"/>
    </row>
    <row r="4" spans="1:7" x14ac:dyDescent="0.2">
      <c r="A4" s="16" t="s">
        <v>4</v>
      </c>
      <c r="B4" s="16" t="s">
        <v>31</v>
      </c>
      <c r="D4" s="3"/>
      <c r="G4" s="7"/>
    </row>
    <row r="5" spans="1:7" x14ac:dyDescent="0.2">
      <c r="G5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M34" sqref="M34"/>
    </sheetView>
  </sheetViews>
  <sheetFormatPr baseColWidth="10" defaultColWidth="8.83203125" defaultRowHeight="15" x14ac:dyDescent="0.2"/>
  <cols>
    <col min="1" max="1" width="21.6640625" customWidth="1"/>
    <col min="2" max="2" width="16.5" customWidth="1"/>
    <col min="3" max="3" width="18.83203125" customWidth="1"/>
    <col min="8" max="8" width="22" bestFit="1" customWidth="1"/>
    <col min="9" max="13" width="11.6640625" customWidth="1"/>
  </cols>
  <sheetData>
    <row r="1" spans="1:15" ht="16" x14ac:dyDescent="0.2">
      <c r="A1" s="11" t="s">
        <v>5</v>
      </c>
      <c r="B1" s="11" t="s">
        <v>6</v>
      </c>
      <c r="C1" s="11" t="s">
        <v>33</v>
      </c>
      <c r="H1" s="2" t="s">
        <v>5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41</v>
      </c>
      <c r="O1" s="6" t="s">
        <v>42</v>
      </c>
    </row>
    <row r="2" spans="1:15" x14ac:dyDescent="0.2">
      <c r="A2" s="8" t="s">
        <v>7</v>
      </c>
      <c r="B2" t="s">
        <v>8</v>
      </c>
      <c r="C2" s="3">
        <v>25</v>
      </c>
      <c r="H2" s="8" t="s">
        <v>7</v>
      </c>
      <c r="I2" s="12">
        <v>25</v>
      </c>
      <c r="J2" s="12">
        <v>25</v>
      </c>
      <c r="K2" s="12">
        <v>34</v>
      </c>
      <c r="L2" s="12">
        <v>34</v>
      </c>
      <c r="M2" s="12">
        <v>40</v>
      </c>
      <c r="N2" s="14">
        <f>AVERAGE(Цены_таблица[[#This Row],[01.01.2017]:[01.11.2017]])</f>
        <v>31.6</v>
      </c>
      <c r="O2" s="12"/>
    </row>
    <row r="3" spans="1:15" x14ac:dyDescent="0.2">
      <c r="A3" s="9" t="s">
        <v>9</v>
      </c>
      <c r="B3" t="s">
        <v>8</v>
      </c>
      <c r="C3" s="3">
        <v>32</v>
      </c>
      <c r="H3" s="9" t="s">
        <v>9</v>
      </c>
      <c r="I3" s="12">
        <v>32</v>
      </c>
      <c r="J3" s="12">
        <v>32</v>
      </c>
      <c r="K3" s="12">
        <v>30</v>
      </c>
      <c r="L3" s="12">
        <v>36</v>
      </c>
      <c r="M3" s="12">
        <v>36.6666666666667</v>
      </c>
      <c r="N3" s="14">
        <f>AVERAGE(Цены_таблица[[#This Row],[01.01.2017]:[01.11.2017]])</f>
        <v>33.333333333333336</v>
      </c>
      <c r="O3" s="12"/>
    </row>
    <row r="4" spans="1:15" x14ac:dyDescent="0.2">
      <c r="A4" s="9" t="s">
        <v>10</v>
      </c>
      <c r="B4" t="s">
        <v>8</v>
      </c>
      <c r="C4" s="3">
        <v>45</v>
      </c>
      <c r="H4" s="9" t="s">
        <v>10</v>
      </c>
      <c r="I4" s="12">
        <v>45</v>
      </c>
      <c r="J4" s="12">
        <v>45</v>
      </c>
      <c r="K4" s="12">
        <v>43</v>
      </c>
      <c r="L4" s="12">
        <v>48</v>
      </c>
      <c r="M4" s="12">
        <v>40</v>
      </c>
      <c r="N4" s="14">
        <f>AVERAGE(Цены_таблица[[#This Row],[01.01.2017]:[01.11.2017]])</f>
        <v>44.2</v>
      </c>
      <c r="O4" s="12"/>
    </row>
    <row r="5" spans="1:15" x14ac:dyDescent="0.2">
      <c r="A5" s="9" t="s">
        <v>26</v>
      </c>
      <c r="B5" t="s">
        <v>11</v>
      </c>
      <c r="C5" s="3">
        <v>54</v>
      </c>
      <c r="H5" s="9" t="s">
        <v>26</v>
      </c>
      <c r="I5" s="12">
        <v>54</v>
      </c>
      <c r="J5" s="12">
        <v>80</v>
      </c>
      <c r="K5" s="12">
        <v>60</v>
      </c>
      <c r="L5" s="12">
        <v>65</v>
      </c>
      <c r="M5" s="12">
        <v>53.3333333333333</v>
      </c>
      <c r="N5" s="14">
        <f>AVERAGE(Цены_таблица[[#This Row],[01.01.2017]:[01.11.2017]])</f>
        <v>62.466666666666661</v>
      </c>
      <c r="O5" s="12"/>
    </row>
    <row r="6" spans="1:15" x14ac:dyDescent="0.2">
      <c r="A6" s="9" t="s">
        <v>27</v>
      </c>
      <c r="B6" t="s">
        <v>11</v>
      </c>
      <c r="C6" s="3">
        <v>65</v>
      </c>
      <c r="H6" s="9" t="s">
        <v>27</v>
      </c>
      <c r="I6" s="12">
        <v>65</v>
      </c>
      <c r="J6" s="12">
        <v>56</v>
      </c>
      <c r="K6" s="12">
        <v>72</v>
      </c>
      <c r="L6" s="12">
        <v>78</v>
      </c>
      <c r="M6" s="12">
        <v>90.6666666666667</v>
      </c>
      <c r="N6" s="14">
        <f>AVERAGE(Цены_таблица[[#This Row],[01.01.2017]:[01.11.2017]])</f>
        <v>72.333333333333343</v>
      </c>
      <c r="O6" s="12"/>
    </row>
    <row r="7" spans="1:15" x14ac:dyDescent="0.2">
      <c r="A7" s="9" t="s">
        <v>28</v>
      </c>
      <c r="B7" t="s">
        <v>11</v>
      </c>
      <c r="C7" s="3">
        <v>87</v>
      </c>
      <c r="H7" s="9" t="s">
        <v>28</v>
      </c>
      <c r="I7" s="12">
        <v>87</v>
      </c>
      <c r="J7" s="12">
        <v>90</v>
      </c>
      <c r="K7" s="12">
        <v>96</v>
      </c>
      <c r="L7" s="12">
        <v>96</v>
      </c>
      <c r="M7" s="12">
        <v>100</v>
      </c>
      <c r="N7" s="14">
        <f>AVERAGE(Цены_таблица[[#This Row],[01.01.2017]:[01.11.2017]])</f>
        <v>93.8</v>
      </c>
      <c r="O7" s="12"/>
    </row>
    <row r="8" spans="1:15" x14ac:dyDescent="0.2">
      <c r="A8" s="9" t="s">
        <v>64</v>
      </c>
      <c r="B8" t="s">
        <v>12</v>
      </c>
      <c r="C8" s="3">
        <v>110</v>
      </c>
      <c r="H8" s="9" t="s">
        <v>29</v>
      </c>
      <c r="I8" s="12">
        <v>110</v>
      </c>
      <c r="J8" s="12">
        <v>120</v>
      </c>
      <c r="K8" s="12">
        <v>130</v>
      </c>
      <c r="L8" s="12">
        <v>140</v>
      </c>
      <c r="M8" s="12">
        <v>150</v>
      </c>
      <c r="N8" s="14">
        <f>AVERAGE(Цены_таблица[[#This Row],[01.01.2017]:[01.11.2017]])</f>
        <v>130</v>
      </c>
      <c r="O8" s="12"/>
    </row>
    <row r="9" spans="1:15" x14ac:dyDescent="0.2">
      <c r="A9" s="10" t="s">
        <v>65</v>
      </c>
      <c r="B9" t="s">
        <v>12</v>
      </c>
      <c r="C9" s="3">
        <v>136</v>
      </c>
      <c r="H9" s="10" t="s">
        <v>30</v>
      </c>
      <c r="I9" s="12">
        <v>136</v>
      </c>
      <c r="J9" s="12">
        <v>140</v>
      </c>
      <c r="K9" s="12">
        <v>147</v>
      </c>
      <c r="L9" s="12">
        <v>147</v>
      </c>
      <c r="M9" s="12">
        <v>145</v>
      </c>
      <c r="N9" s="14">
        <f>AVERAGE(Цены_таблица[[#This Row],[01.01.2017]:[01.11.2017]])</f>
        <v>143</v>
      </c>
      <c r="O9" s="12"/>
    </row>
    <row r="10" spans="1:15" x14ac:dyDescent="0.2">
      <c r="A10" s="9" t="s">
        <v>34</v>
      </c>
      <c r="C10" s="3"/>
    </row>
  </sheetData>
  <phoneticPr fontId="3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B8C8B6E-8A6E-43DD-82D7-29AA079EBF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ИнформацияТовары!I2:O2</xm:f>
              <xm:sqref>O2</xm:sqref>
            </x14:sparkline>
            <x14:sparkline>
              <xm:f>ИнформацияТовары!I3:O3</xm:f>
              <xm:sqref>O3</xm:sqref>
            </x14:sparkline>
            <x14:sparkline>
              <xm:f>ИнформацияТовары!I4:O4</xm:f>
              <xm:sqref>O4</xm:sqref>
            </x14:sparkline>
            <x14:sparkline>
              <xm:f>ИнформацияТовары!I5:O5</xm:f>
              <xm:sqref>O5</xm:sqref>
            </x14:sparkline>
            <x14:sparkline>
              <xm:f>ИнформацияТовары!I6:O6</xm:f>
              <xm:sqref>O6</xm:sqref>
            </x14:sparkline>
            <x14:sparkline>
              <xm:f>ИнформацияТовары!I7:O7</xm:f>
              <xm:sqref>O7</xm:sqref>
            </x14:sparkline>
            <x14:sparkline>
              <xm:f>ИнформацияТовары!I8:O8</xm:f>
              <xm:sqref>O8</xm:sqref>
            </x14:sparkline>
            <x14:sparkline>
              <xm:f>ИнформацияТовары!I9:O9</xm:f>
              <xm:sqref>O9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7.6640625" bestFit="1" customWidth="1"/>
    <col min="2" max="2" width="20.83203125" bestFit="1" customWidth="1"/>
    <col min="4" max="4" width="20.83203125" bestFit="1" customWidth="1"/>
    <col min="5" max="5" width="23.6640625" customWidth="1"/>
  </cols>
  <sheetData>
    <row r="1" spans="1:7" ht="64" x14ac:dyDescent="0.2">
      <c r="A1" s="4" t="s">
        <v>13</v>
      </c>
      <c r="B1" s="1" t="s">
        <v>14</v>
      </c>
      <c r="D1" s="15" t="s">
        <v>14</v>
      </c>
      <c r="E1" s="15" t="s">
        <v>15</v>
      </c>
      <c r="F1" s="15" t="s">
        <v>43</v>
      </c>
      <c r="G1" s="15" t="s">
        <v>44</v>
      </c>
    </row>
    <row r="2" spans="1:7" x14ac:dyDescent="0.2">
      <c r="A2" t="s">
        <v>16</v>
      </c>
      <c r="B2" t="s">
        <v>24</v>
      </c>
      <c r="D2" s="16" t="s">
        <v>24</v>
      </c>
      <c r="E2" s="16">
        <v>3500</v>
      </c>
      <c r="F2" s="16">
        <v>15000</v>
      </c>
      <c r="G2" s="17">
        <v>0.04</v>
      </c>
    </row>
    <row r="3" spans="1:7" x14ac:dyDescent="0.2">
      <c r="A3" t="s">
        <v>17</v>
      </c>
      <c r="B3" t="s">
        <v>24</v>
      </c>
      <c r="D3" s="16" t="s">
        <v>25</v>
      </c>
      <c r="E3" s="16">
        <v>4100</v>
      </c>
      <c r="F3" s="16">
        <v>13000</v>
      </c>
      <c r="G3" s="17">
        <v>0.06</v>
      </c>
    </row>
    <row r="4" spans="1:7" x14ac:dyDescent="0.2">
      <c r="A4" t="s">
        <v>18</v>
      </c>
      <c r="B4" t="s">
        <v>24</v>
      </c>
    </row>
    <row r="5" spans="1:7" x14ac:dyDescent="0.2">
      <c r="A5" t="s">
        <v>19</v>
      </c>
      <c r="B5" t="s">
        <v>25</v>
      </c>
    </row>
    <row r="6" spans="1:7" x14ac:dyDescent="0.2">
      <c r="A6" t="s">
        <v>20</v>
      </c>
      <c r="B6" t="s">
        <v>25</v>
      </c>
    </row>
    <row r="7" spans="1:7" x14ac:dyDescent="0.2">
      <c r="A7" s="5"/>
    </row>
    <row r="8" spans="1:7" x14ac:dyDescent="0.2">
      <c r="A8" s="5"/>
    </row>
    <row r="9" spans="1:7" x14ac:dyDescent="0.2">
      <c r="A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0845-1105-F14C-B7CC-B4958EE79984}">
  <dimension ref="A1:K29"/>
  <sheetViews>
    <sheetView tabSelected="1" workbookViewId="0">
      <selection activeCell="D33" sqref="D33"/>
    </sheetView>
  </sheetViews>
  <sheetFormatPr baseColWidth="10" defaultColWidth="8.83203125" defaultRowHeight="15" x14ac:dyDescent="0.2"/>
  <cols>
    <col min="1" max="1" width="27.5" bestFit="1" customWidth="1"/>
    <col min="2" max="2" width="19.5" bestFit="1" customWidth="1"/>
    <col min="3" max="3" width="17" bestFit="1" customWidth="1"/>
    <col min="4" max="4" width="16.6640625" bestFit="1" customWidth="1"/>
    <col min="5" max="5" width="16.1640625" bestFit="1" customWidth="1"/>
    <col min="6" max="7" width="13.1640625" bestFit="1" customWidth="1"/>
    <col min="8" max="8" width="15.5" bestFit="1" customWidth="1"/>
    <col min="9" max="9" width="13.1640625" bestFit="1" customWidth="1"/>
    <col min="10" max="10" width="18.33203125" customWidth="1"/>
    <col min="14" max="14" width="26.5" bestFit="1" customWidth="1"/>
    <col min="15" max="15" width="14.5" customWidth="1"/>
    <col min="16" max="16" width="26.33203125" bestFit="1" customWidth="1"/>
  </cols>
  <sheetData>
    <row r="1" spans="1:11" x14ac:dyDescent="0.2">
      <c r="A1" s="2" t="s">
        <v>60</v>
      </c>
      <c r="E1" s="2" t="s">
        <v>61</v>
      </c>
      <c r="F1" s="21">
        <v>42736</v>
      </c>
      <c r="H1" s="2" t="s">
        <v>62</v>
      </c>
      <c r="I1" s="21">
        <v>43028</v>
      </c>
      <c r="K1" t="s">
        <v>96</v>
      </c>
    </row>
    <row r="3" spans="1:11" ht="18" customHeight="1" x14ac:dyDescent="0.2">
      <c r="A3" s="24" t="s">
        <v>63</v>
      </c>
      <c r="B3" s="22" t="s">
        <v>7</v>
      </c>
      <c r="C3" s="22" t="s">
        <v>9</v>
      </c>
      <c r="D3" s="22" t="s">
        <v>10</v>
      </c>
      <c r="E3" s="22" t="s">
        <v>26</v>
      </c>
      <c r="F3" s="22" t="s">
        <v>27</v>
      </c>
      <c r="G3" s="22" t="s">
        <v>28</v>
      </c>
      <c r="H3" s="22" t="s">
        <v>64</v>
      </c>
      <c r="I3" s="22" t="s">
        <v>65</v>
      </c>
      <c r="J3" s="22" t="s">
        <v>98</v>
      </c>
    </row>
    <row r="4" spans="1:11" x14ac:dyDescent="0.2">
      <c r="A4" s="16" t="s">
        <v>16</v>
      </c>
      <c r="B4" s="23">
        <f>SUMIFS(Продажи!$K$2:$K$131,ФИО_менеджера,'Отчет1 ТЕСТ'!$A4,Наименование_Товара,'Отчет1 ТЕСТ'!B$3)</f>
        <v>6375</v>
      </c>
      <c r="C4" s="23">
        <f>SUMIFS(Продажи!$K$2:$K$131,ФИО_менеджера,'Отчет1 ТЕСТ'!$A4,Наименование_Товара,'Отчет1 ТЕСТ'!C$3)</f>
        <v>6048</v>
      </c>
      <c r="D4" s="23">
        <f>SUMIFS(Продажи!$K$2:$K$131,ФИО_менеджера,'Отчет1 ТЕСТ'!$A4,Наименование_Товара,'Отчет1 ТЕСТ'!D$3)</f>
        <v>2520</v>
      </c>
      <c r="E4" s="23">
        <f>SUMIFS(Продажи!$K$2:$K$131,ФИО_менеджера,'Отчет1 ТЕСТ'!$A4,Наименование_Товара,'Отчет1 ТЕСТ'!E$3)</f>
        <v>0</v>
      </c>
      <c r="F4" s="23">
        <f>SUMIFS(Продажи!$K$2:$K$131,ФИО_менеджера,'Отчет1 ТЕСТ'!$A4,Наименование_Товара,'Отчет1 ТЕСТ'!F$3)</f>
        <v>11050</v>
      </c>
      <c r="G4" s="23">
        <f>SUMIFS(Продажи!$K$2:$K$131,ФИО_менеджера,'Отчет1 ТЕСТ'!$A4,Наименование_Товара,'Отчет1 ТЕСТ'!G$3)</f>
        <v>21402</v>
      </c>
      <c r="H4" s="23">
        <f>SUMIFS(Продажи!$K$2:$K$131,ФИО_менеджера,'Отчет1 ТЕСТ'!$A4,Наименование_Товара,'Отчет1 ТЕСТ'!H$3)</f>
        <v>106150</v>
      </c>
      <c r="I4" s="23">
        <f>SUMIFS(Продажи!$K$2:$K$131,ФИО_менеджера,'Отчет1 ТЕСТ'!$A4,Наименование_Товара,'Отчет1 ТЕСТ'!I$3)</f>
        <v>31280</v>
      </c>
      <c r="J4" s="23">
        <f>SUM(B4:I4)</f>
        <v>184825</v>
      </c>
    </row>
    <row r="5" spans="1:11" x14ac:dyDescent="0.2">
      <c r="A5" s="16" t="s">
        <v>17</v>
      </c>
      <c r="B5" s="23">
        <f>SUMIFS(Продажи!$K$2:$K$131,ФИО_менеджера,'Отчет1 ТЕСТ'!$A5,Наименование_Товара,'Отчет1 ТЕСТ'!B$3)</f>
        <v>5900</v>
      </c>
      <c r="C5" s="23">
        <f>SUMIFS(Продажи!$K$2:$K$131,ФИО_менеджера,'Отчет1 ТЕСТ'!$A5,Наименование_Товара,'Отчет1 ТЕСТ'!C$3)</f>
        <v>22912</v>
      </c>
      <c r="D5" s="23">
        <f>SUMIFS(Продажи!$K$2:$K$131,ФИО_менеджера,'Отчет1 ТЕСТ'!$A5,Наименование_Товара,'Отчет1 ТЕСТ'!D$3)</f>
        <v>8100</v>
      </c>
      <c r="E5" s="23">
        <f>SUMIFS(Продажи!$K$2:$K$131,ФИО_менеджера,'Отчет1 ТЕСТ'!$A5,Наименование_Товара,'Отчет1 ТЕСТ'!E$3)</f>
        <v>7290</v>
      </c>
      <c r="F5" s="23">
        <f>SUMIFS(Продажи!$K$2:$K$131,ФИО_менеджера,'Отчет1 ТЕСТ'!$A5,Наименование_Товара,'Отчет1 ТЕСТ'!F$3)</f>
        <v>18200</v>
      </c>
      <c r="G5" s="23">
        <f>SUMIFS(Продажи!$K$2:$K$131,ФИО_менеджера,'Отчет1 ТЕСТ'!$A5,Наименование_Товара,'Отчет1 ТЕСТ'!G$3)</f>
        <v>71340</v>
      </c>
      <c r="H5" s="23">
        <f>SUMIFS(Продажи!$K$2:$K$131,ФИО_менеджера,'Отчет1 ТЕСТ'!$A5,Наименование_Товара,'Отчет1 ТЕСТ'!H$3)</f>
        <v>80850</v>
      </c>
      <c r="I5" s="23">
        <f>SUMIFS(Продажи!$K$2:$K$131,ФИО_менеджера,'Отчет1 ТЕСТ'!$A5,Наименование_Товара,'Отчет1 ТЕСТ'!I$3)</f>
        <v>31144</v>
      </c>
      <c r="J5" s="23">
        <f t="shared" ref="J5:J8" si="0">SUM(B5:I5)</f>
        <v>245736</v>
      </c>
    </row>
    <row r="6" spans="1:11" x14ac:dyDescent="0.2">
      <c r="A6" s="16" t="s">
        <v>18</v>
      </c>
      <c r="B6" s="23">
        <f>SUMIFS(Продажи!$K$2:$K$131,ФИО_менеджера,'Отчет1 ТЕСТ'!$A6,Наименование_Товара,'Отчет1 ТЕСТ'!B$3)</f>
        <v>25075</v>
      </c>
      <c r="C6" s="23">
        <f>SUMIFS(Продажи!$K$2:$K$131,ФИО_менеджера,'Отчет1 ТЕСТ'!$A6,Наименование_Товара,'Отчет1 ТЕСТ'!C$3)</f>
        <v>29792</v>
      </c>
      <c r="D6" s="23">
        <f>SUMIFS(Продажи!$K$2:$K$131,ФИО_менеджера,'Отчет1 ТЕСТ'!$A6,Наименование_Товара,'Отчет1 ТЕСТ'!D$3)</f>
        <v>29745</v>
      </c>
      <c r="E6" s="23">
        <f>SUMIFS(Продажи!$K$2:$K$131,ФИО_менеджера,'Отчет1 ТЕСТ'!$A6,Наименование_Товара,'Отчет1 ТЕСТ'!E$3)</f>
        <v>25650</v>
      </c>
      <c r="F6" s="23">
        <f>SUMIFS(Продажи!$K$2:$K$131,ФИО_менеджера,'Отчет1 ТЕСТ'!$A6,Наименование_Товара,'Отчет1 ТЕСТ'!F$3)</f>
        <v>13000</v>
      </c>
      <c r="G6" s="23">
        <f>SUMIFS(Продажи!$K$2:$K$131,ФИО_менеджера,'Отчет1 ТЕСТ'!$A6,Наименование_Товара,'Отчет1 ТЕСТ'!G$3)</f>
        <v>13920</v>
      </c>
      <c r="H6" s="23">
        <f>SUMIFS(Продажи!$K$2:$K$131,ФИО_менеджера,'Отчет1 ТЕСТ'!$A6,Наименование_Товара,'Отчет1 ТЕСТ'!H$3)</f>
        <v>5500</v>
      </c>
      <c r="I6" s="23">
        <f>SUMIFS(Продажи!$K$2:$K$131,ФИО_менеджера,'Отчет1 ТЕСТ'!$A6,Наименование_Товара,'Отчет1 ТЕСТ'!I$3)</f>
        <v>28560</v>
      </c>
      <c r="J6" s="59">
        <f t="shared" si="0"/>
        <v>171242</v>
      </c>
    </row>
    <row r="7" spans="1:11" x14ac:dyDescent="0.2">
      <c r="A7" s="16" t="s">
        <v>19</v>
      </c>
      <c r="B7" s="23">
        <f>SUMIFS(Продажи!$K$2:$K$131,ФИО_менеджера,'Отчет1 ТЕСТ'!$A7,Наименование_Товара,'Отчет1 ТЕСТ'!B$3)</f>
        <v>2000</v>
      </c>
      <c r="C7" s="23">
        <f>SUMIFS(Продажи!$K$2:$K$131,ФИО_менеджера,'Отчет1 ТЕСТ'!$A7,Наименование_Товара,'Отчет1 ТЕСТ'!C$3)</f>
        <v>12992</v>
      </c>
      <c r="D7" s="23">
        <f>SUMIFS(Продажи!$K$2:$K$131,ФИО_менеджера,'Отчет1 ТЕСТ'!$A7,Наименование_Товара,'Отчет1 ТЕСТ'!D$3)</f>
        <v>13275</v>
      </c>
      <c r="E7" s="23">
        <f>SUMIFS(Продажи!$K$2:$K$131,ФИО_менеджера,'Отчет1 ТЕСТ'!$A7,Наименование_Товара,'Отчет1 ТЕСТ'!E$3)</f>
        <v>10800</v>
      </c>
      <c r="F7" s="23">
        <f>SUMIFS(Продажи!$K$2:$K$131,ФИО_менеджера,'Отчет1 ТЕСТ'!$A7,Наименование_Товара,'Отчет1 ТЕСТ'!F$3)</f>
        <v>30940</v>
      </c>
      <c r="G7" s="23">
        <f>SUMIFS(Продажи!$K$2:$K$131,ФИО_менеджера,'Отчет1 ТЕСТ'!$A7,Наименование_Товара,'Отчет1 ТЕСТ'!G$3)</f>
        <v>36540</v>
      </c>
      <c r="H7" s="23">
        <f>SUMIFS(Продажи!$K$2:$K$131,ФИО_менеджера,'Отчет1 ТЕСТ'!$A7,Наименование_Товара,'Отчет1 ТЕСТ'!H$3)</f>
        <v>14520</v>
      </c>
      <c r="I7" s="23">
        <f>SUMIFS(Продажи!$K$2:$K$131,ФИО_менеджера,'Отчет1 ТЕСТ'!$A7,Наименование_Товара,'Отчет1 ТЕСТ'!I$3)</f>
        <v>25160</v>
      </c>
      <c r="J7" s="23">
        <f t="shared" si="0"/>
        <v>146227</v>
      </c>
    </row>
    <row r="8" spans="1:11" x14ac:dyDescent="0.2">
      <c r="A8" s="16" t="s">
        <v>20</v>
      </c>
      <c r="B8" s="23">
        <f>SUMIFS(Продажи!$K$2:$K$131,ФИО_менеджера,'Отчет1 ТЕСТ'!$A8,Наименование_Товара,'Отчет1 ТЕСТ'!B$3)</f>
        <v>4450</v>
      </c>
      <c r="C8" s="23">
        <f>SUMIFS(Продажи!$K$2:$K$131,ФИО_менеджера,'Отчет1 ТЕСТ'!$A8,Наименование_Товара,'Отчет1 ТЕСТ'!C$3)</f>
        <v>2560</v>
      </c>
      <c r="D8" s="23">
        <f>SUMIFS(Продажи!$K$2:$K$131,ФИО_менеджера,'Отчет1 ТЕСТ'!$A8,Наименование_Товара,'Отчет1 ТЕСТ'!D$3)</f>
        <v>9585</v>
      </c>
      <c r="E8" s="23">
        <f>SUMIFS(Продажи!$K$2:$K$131,ФИО_менеджера,'Отчет1 ТЕСТ'!$A8,Наименование_Товара,'Отчет1 ТЕСТ'!E$3)</f>
        <v>17280</v>
      </c>
      <c r="F8" s="23">
        <f>SUMIFS(Продажи!$K$2:$K$131,ФИО_менеджера,'Отчет1 ТЕСТ'!$A8,Наименование_Товара,'Отчет1 ТЕСТ'!F$3)</f>
        <v>26000</v>
      </c>
      <c r="G8" s="23">
        <f>SUMIFS(Продажи!$K$2:$K$131,ФИО_менеджера,'Отчет1 ТЕСТ'!$A8,Наименование_Товара,'Отчет1 ТЕСТ'!G$3)</f>
        <v>43152</v>
      </c>
      <c r="H8" s="23">
        <f>SUMIFS(Продажи!$K$2:$K$131,ФИО_менеджера,'Отчет1 ТЕСТ'!$A8,Наименование_Товара,'Отчет1 ТЕСТ'!H$3)</f>
        <v>70510</v>
      </c>
      <c r="I8" s="23">
        <f>SUMIFS(Продажи!$K$2:$K$131,ФИО_менеджера,'Отчет1 ТЕСТ'!$A8,Наименование_Товара,'Отчет1 ТЕСТ'!I$3)</f>
        <v>28560</v>
      </c>
      <c r="J8" s="23">
        <f t="shared" si="0"/>
        <v>202097</v>
      </c>
    </row>
    <row r="9" spans="1:11" x14ac:dyDescent="0.2">
      <c r="A9" s="16" t="s">
        <v>66</v>
      </c>
      <c r="B9" s="23">
        <f>SUM(B4:B8)</f>
        <v>43800</v>
      </c>
      <c r="C9" s="23">
        <f t="shared" ref="C9:H9" si="1">SUM(C4:C8)</f>
        <v>74304</v>
      </c>
      <c r="D9" s="23">
        <f t="shared" si="1"/>
        <v>63225</v>
      </c>
      <c r="E9" s="23">
        <f t="shared" si="1"/>
        <v>61020</v>
      </c>
      <c r="F9" s="23">
        <f t="shared" si="1"/>
        <v>99190</v>
      </c>
      <c r="G9" s="23">
        <f t="shared" si="1"/>
        <v>186354</v>
      </c>
      <c r="H9" s="23">
        <f t="shared" si="1"/>
        <v>277530</v>
      </c>
      <c r="I9" s="23">
        <f>SUM(I4:I8)</f>
        <v>144704</v>
      </c>
      <c r="J9" s="59">
        <f>SUM(J4:J8)</f>
        <v>950127</v>
      </c>
    </row>
    <row r="11" spans="1:11" ht="16" x14ac:dyDescent="0.2">
      <c r="A11" s="24" t="s">
        <v>67</v>
      </c>
      <c r="B11" s="22" t="s">
        <v>7</v>
      </c>
      <c r="C11" s="22" t="s">
        <v>9</v>
      </c>
      <c r="D11" s="22" t="s">
        <v>10</v>
      </c>
      <c r="E11" s="22" t="s">
        <v>26</v>
      </c>
      <c r="F11" s="22" t="s">
        <v>27</v>
      </c>
      <c r="G11" s="22" t="s">
        <v>28</v>
      </c>
      <c r="H11" s="22" t="s">
        <v>64</v>
      </c>
      <c r="I11" s="22" t="s">
        <v>65</v>
      </c>
      <c r="J11" s="22" t="s">
        <v>98</v>
      </c>
    </row>
    <row r="12" spans="1:11" x14ac:dyDescent="0.2">
      <c r="A12" s="16" t="s">
        <v>16</v>
      </c>
      <c r="B12" s="26">
        <f>SUMIFS(Количество,ФИО_менеджера,$A12,Наименование_Товара,'Отчет1 ТЕСТ'!B$11) - SUMIFS(Количество_к_возврату,ФИО_менеджера,$A12,Наименование_Товара,'Отчет1 ТЕСТ'!B$11)</f>
        <v>255</v>
      </c>
      <c r="C12" s="26">
        <f>SUMIFS(Количество,ФИО_менеджера,$A12,Наименование_Товара,'Отчет1 ТЕСТ'!C$11) - SUMIFS(Количество_к_возврату,ФИО_менеджера,$A12,Наименование_Товара,'Отчет1 ТЕСТ'!C$11)</f>
        <v>189</v>
      </c>
      <c r="D12" s="26">
        <f>SUMIFS(Количество,ФИО_менеджера,$A12,Наименование_Товара,'Отчет1 ТЕСТ'!D$11) - SUMIFS(Количество_к_возврату,ФИО_менеджера,$A12,Наименование_Товара,'Отчет1 ТЕСТ'!D$11)</f>
        <v>56</v>
      </c>
      <c r="E12" s="26">
        <f>SUMIFS(Количество,ФИО_менеджера,$A12,Наименование_Товара,'Отчет1 ТЕСТ'!E$11) - SUMIFS(Количество_к_возврату,ФИО_менеджера,$A12,Наименование_Товара,'Отчет1 ТЕСТ'!E$11)</f>
        <v>0</v>
      </c>
      <c r="F12" s="26">
        <f>SUMIFS(Количество,ФИО_менеджера,$A12,Наименование_Товара,'Отчет1 ТЕСТ'!F$11) - SUMIFS(Количество_к_возврату,ФИО_менеджера,$A12,Наименование_Товара,'Отчет1 ТЕСТ'!F$11)</f>
        <v>170</v>
      </c>
      <c r="G12" s="26">
        <f>SUMIFS(Количество,ФИО_менеджера,$A12,Наименование_Товара,'Отчет1 ТЕСТ'!G$11) - SUMIFS(Количество_к_возврату,ФИО_менеджера,$A12,Наименование_Товара,'Отчет1 ТЕСТ'!G$11)</f>
        <v>246</v>
      </c>
      <c r="H12" s="26">
        <f>SUMIFS(Количество,ФИО_менеджера,$A12,Наименование_Товара,'Отчет1 ТЕСТ'!H$11) - SUMIFS(Количество_к_возврату,ФИО_менеджера,$A12,Наименование_Товара,'Отчет1 ТЕСТ'!H$11)</f>
        <v>965</v>
      </c>
      <c r="I12" s="26">
        <f>SUMIFS(Количество,ФИО_менеджера,$A12,Наименование_Товара,'Отчет1 ТЕСТ'!I$11) - SUMIFS(Количество_к_возврату,ФИО_менеджера,$A12,Наименование_Товара,'Отчет1 ТЕСТ'!I$11)</f>
        <v>230</v>
      </c>
      <c r="J12" s="16">
        <f>SUM(B12:I12)</f>
        <v>2111</v>
      </c>
    </row>
    <row r="13" spans="1:11" x14ac:dyDescent="0.2">
      <c r="A13" s="16" t="s">
        <v>17</v>
      </c>
      <c r="B13" s="26">
        <f>SUMIFS(Количество,ФИО_менеджера,$A13,Наименование_Товара,'Отчет1 ТЕСТ'!B$11) - SUMIFS(Количество_к_возврату,ФИО_менеджера,$A13,Наименование_Товара,'Отчет1 ТЕСТ'!B$11)</f>
        <v>236</v>
      </c>
      <c r="C13" s="26">
        <f>SUMIFS(Количество,ФИО_менеджера,$A13,Наименование_Товара,'Отчет1 ТЕСТ'!C$11) - SUMIFS(Количество_к_возврату,ФИО_менеджера,$A13,Наименование_Товара,'Отчет1 ТЕСТ'!C$11)</f>
        <v>716</v>
      </c>
      <c r="D13" s="26">
        <f>SUMIFS(Количество,ФИО_менеджера,$A13,Наименование_Товара,'Отчет1 ТЕСТ'!D$11) - SUMIFS(Количество_к_возврату,ФИО_менеджера,$A13,Наименование_Товара,'Отчет1 ТЕСТ'!D$11)</f>
        <v>180</v>
      </c>
      <c r="E13" s="26">
        <f>SUMIFS(Количество,ФИО_менеджера,$A13,Наименование_Товара,'Отчет1 ТЕСТ'!E$11) - SUMIFS(Количество_к_возврату,ФИО_менеджера,$A13,Наименование_Товара,'Отчет1 ТЕСТ'!E$11)</f>
        <v>135</v>
      </c>
      <c r="F13" s="26">
        <f>SUMIFS(Количество,ФИО_менеджера,$A13,Наименование_Товара,'Отчет1 ТЕСТ'!F$11) - SUMIFS(Количество_к_возврату,ФИО_менеджера,$A13,Наименование_Товара,'Отчет1 ТЕСТ'!F$11)</f>
        <v>280</v>
      </c>
      <c r="G13" s="26">
        <f>SUMIFS(Количество,ФИО_менеджера,$A13,Наименование_Товара,'Отчет1 ТЕСТ'!G$11) - SUMIFS(Количество_к_возврату,ФИО_менеджера,$A13,Наименование_Товара,'Отчет1 ТЕСТ'!G$11)</f>
        <v>820</v>
      </c>
      <c r="H13" s="26">
        <f>SUMIFS(Количество,ФИО_менеджера,$A13,Наименование_Товара,'Отчет1 ТЕСТ'!H$11) - SUMIFS(Количество_к_возврату,ФИО_менеджера,$A13,Наименование_Товара,'Отчет1 ТЕСТ'!H$11)</f>
        <v>735</v>
      </c>
      <c r="I13" s="26">
        <f>SUMIFS(Количество,ФИО_менеджера,$A13,Наименование_Товара,'Отчет1 ТЕСТ'!I$11) - SUMIFS(Количество_к_возврату,ФИО_менеджера,$A13,Наименование_Товара,'Отчет1 ТЕСТ'!I$11)</f>
        <v>229</v>
      </c>
      <c r="J13" s="16">
        <f t="shared" ref="J13:J18" si="2">SUM(B13:I13)</f>
        <v>3331</v>
      </c>
    </row>
    <row r="14" spans="1:11" x14ac:dyDescent="0.2">
      <c r="A14" s="16" t="s">
        <v>18</v>
      </c>
      <c r="B14" s="26">
        <f>SUMIFS(Количество,ФИО_менеджера,$A14,Наименование_Товара,'Отчет1 ТЕСТ'!B$11) - SUMIFS(Количество_к_возврату,ФИО_менеджера,$A14,Наименование_Товара,'Отчет1 ТЕСТ'!B$11)</f>
        <v>1003</v>
      </c>
      <c r="C14" s="26">
        <f>SUMIFS(Количество,ФИО_менеджера,$A14,Наименование_Товара,'Отчет1 ТЕСТ'!C$11) - SUMIFS(Количество_к_возврату,ФИО_менеджера,$A14,Наименование_Товара,'Отчет1 ТЕСТ'!C$11)</f>
        <v>931</v>
      </c>
      <c r="D14" s="26">
        <f>SUMIFS(Количество,ФИО_менеджера,$A14,Наименование_Товара,'Отчет1 ТЕСТ'!D$11) - SUMIFS(Количество_к_возврату,ФИО_менеджера,$A14,Наименование_Товара,'Отчет1 ТЕСТ'!D$11)</f>
        <v>661</v>
      </c>
      <c r="E14" s="26">
        <f>SUMIFS(Количество,ФИО_менеджера,$A14,Наименование_Товара,'Отчет1 ТЕСТ'!E$11) - SUMIFS(Количество_к_возврату,ФИО_менеджера,$A14,Наименование_Товара,'Отчет1 ТЕСТ'!E$11)</f>
        <v>475</v>
      </c>
      <c r="F14" s="26">
        <f>SUMIFS(Количество,ФИО_менеджера,$A14,Наименование_Товара,'Отчет1 ТЕСТ'!F$11) - SUMIFS(Количество_к_возврату,ФИО_менеджера,$A14,Наименование_Товара,'Отчет1 ТЕСТ'!F$11)</f>
        <v>200</v>
      </c>
      <c r="G14" s="26">
        <f>SUMIFS(Количество,ФИО_менеджера,$A14,Наименование_Товара,'Отчет1 ТЕСТ'!G$11) - SUMIFS(Количество_к_возврату,ФИО_менеджера,$A14,Наименование_Товара,'Отчет1 ТЕСТ'!G$11)</f>
        <v>160</v>
      </c>
      <c r="H14" s="26">
        <f>SUMIFS(Количество,ФИО_менеджера,$A14,Наименование_Товара,'Отчет1 ТЕСТ'!H$11) - SUMIFS(Количество_к_возврату,ФИО_менеджера,$A14,Наименование_Товара,'Отчет1 ТЕСТ'!H$11)</f>
        <v>50</v>
      </c>
      <c r="I14" s="26">
        <f>SUMIFS(Количество,ФИО_менеджера,$A14,Наименование_Товара,'Отчет1 ТЕСТ'!I$11) - SUMIFS(Количество_к_возврату,ФИО_менеджера,$A14,Наименование_Товара,'Отчет1 ТЕСТ'!I$11)</f>
        <v>210</v>
      </c>
      <c r="J14" s="16">
        <f>SUM(B14:I14)</f>
        <v>3690</v>
      </c>
    </row>
    <row r="15" spans="1:11" x14ac:dyDescent="0.2">
      <c r="A15" s="16" t="s">
        <v>19</v>
      </c>
      <c r="B15" s="26">
        <f>SUMIFS(Количество,ФИО_менеджера,$A15,Наименование_Товара,'Отчет1 ТЕСТ'!B$11) - SUMIFS(Количество_к_возврату,ФИО_менеджера,$A15,Наименование_Товара,'Отчет1 ТЕСТ'!B$11)</f>
        <v>80</v>
      </c>
      <c r="C15" s="26">
        <f>SUMIFS(Количество,ФИО_менеджера,$A15,Наименование_Товара,'Отчет1 ТЕСТ'!C$11) - SUMIFS(Количество_к_возврату,ФИО_менеджера,$A15,Наименование_Товара,'Отчет1 ТЕСТ'!C$11)</f>
        <v>406</v>
      </c>
      <c r="D15" s="26">
        <f>SUMIFS(Количество,ФИО_менеджера,$A15,Наименование_Товара,'Отчет1 ТЕСТ'!D$11) - SUMIFS(Количество_к_возврату,ФИО_менеджера,$A15,Наименование_Товара,'Отчет1 ТЕСТ'!D$11)</f>
        <v>295</v>
      </c>
      <c r="E15" s="26">
        <f>SUMIFS(Количество,ФИО_менеджера,$A15,Наименование_Товара,'Отчет1 ТЕСТ'!E$11) - SUMIFS(Количество_к_возврату,ФИО_менеджера,$A15,Наименование_Товара,'Отчет1 ТЕСТ'!E$11)</f>
        <v>200</v>
      </c>
      <c r="F15" s="26">
        <f>SUMIFS(Количество,ФИО_менеджера,$A15,Наименование_Товара,'Отчет1 ТЕСТ'!F$11) - SUMIFS(Количество_к_возврату,ФИО_менеджера,$A15,Наименование_Товара,'Отчет1 ТЕСТ'!F$11)</f>
        <v>476</v>
      </c>
      <c r="G15" s="26">
        <f>SUMIFS(Количество,ФИО_менеджера,$A15,Наименование_Товара,'Отчет1 ТЕСТ'!G$11) - SUMIFS(Количество_к_возврату,ФИО_менеджера,$A15,Наименование_Товара,'Отчет1 ТЕСТ'!G$11)</f>
        <v>420</v>
      </c>
      <c r="H15" s="26">
        <f>SUMIFS(Количество,ФИО_менеджера,$A15,Наименование_Товара,'Отчет1 ТЕСТ'!H$11) - SUMIFS(Количество_к_возврату,ФИО_менеджера,$A15,Наименование_Товара,'Отчет1 ТЕСТ'!H$11)</f>
        <v>132</v>
      </c>
      <c r="I15" s="26">
        <f>SUMIFS(Количество,ФИО_менеджера,$A15,Наименование_Товара,'Отчет1 ТЕСТ'!I$11) - SUMIFS(Количество_к_возврату,ФИО_менеджера,$A15,Наименование_Товара,'Отчет1 ТЕСТ'!I$11)</f>
        <v>185</v>
      </c>
      <c r="J15" s="16">
        <f t="shared" si="2"/>
        <v>2194</v>
      </c>
    </row>
    <row r="16" spans="1:11" x14ac:dyDescent="0.2">
      <c r="A16" s="16" t="s">
        <v>20</v>
      </c>
      <c r="B16" s="26">
        <f>SUMIFS(Количество,ФИО_менеджера,$A16,Наименование_Товара,'Отчет1 ТЕСТ'!B$11) - SUMIFS(Количество_к_возврату,ФИО_менеджера,$A16,Наименование_Товара,'Отчет1 ТЕСТ'!B$11)</f>
        <v>178</v>
      </c>
      <c r="C16" s="26">
        <f>SUMIFS(Количество,ФИО_менеджера,$A16,Наименование_Товара,'Отчет1 ТЕСТ'!C$11) - SUMIFS(Количество_к_возврату,ФИО_менеджера,$A16,Наименование_Товара,'Отчет1 ТЕСТ'!C$11)</f>
        <v>80</v>
      </c>
      <c r="D16" s="26">
        <f>SUMIFS(Количество,ФИО_менеджера,$A16,Наименование_Товара,'Отчет1 ТЕСТ'!D$11) - SUMIFS(Количество_к_возврату,ФИО_менеджера,$A16,Наименование_Товара,'Отчет1 ТЕСТ'!D$11)</f>
        <v>213</v>
      </c>
      <c r="E16" s="26">
        <f>SUMIFS(Количество,ФИО_менеджера,$A16,Наименование_Товара,'Отчет1 ТЕСТ'!E$11) - SUMIFS(Количество_к_возврату,ФИО_менеджера,$A16,Наименование_Товара,'Отчет1 ТЕСТ'!E$11)</f>
        <v>320</v>
      </c>
      <c r="F16" s="26">
        <f>SUMIFS(Количество,ФИО_менеджера,$A16,Наименование_Товара,'Отчет1 ТЕСТ'!F$11) - SUMIFS(Количество_к_возврату,ФИО_менеджера,$A16,Наименование_Товара,'Отчет1 ТЕСТ'!F$11)</f>
        <v>400</v>
      </c>
      <c r="G16" s="26">
        <f>SUMIFS(Количество,ФИО_менеджера,$A16,Наименование_Товара,'Отчет1 ТЕСТ'!G$11) - SUMIFS(Количество_к_возврату,ФИО_менеджера,$A16,Наименование_Товара,'Отчет1 ТЕСТ'!G$11)</f>
        <v>496</v>
      </c>
      <c r="H16" s="26">
        <f>SUMIFS(Количество,ФИО_менеджера,$A16,Наименование_Товара,'Отчет1 ТЕСТ'!H$11) - SUMIFS(Количество_к_возврату,ФИО_менеджера,$A16,Наименование_Товара,'Отчет1 ТЕСТ'!H$11)</f>
        <v>641</v>
      </c>
      <c r="I16" s="26">
        <f>SUMIFS(Количество,ФИО_менеджера,$A16,Наименование_Товара,'Отчет1 ТЕСТ'!I$11) - SUMIFS(Количество_к_возврату,ФИО_менеджера,$A16,Наименование_Товара,'Отчет1 ТЕСТ'!I$11)</f>
        <v>210</v>
      </c>
      <c r="J16" s="16">
        <f t="shared" si="2"/>
        <v>2538</v>
      </c>
    </row>
    <row r="17" spans="1:11" x14ac:dyDescent="0.2">
      <c r="A17" s="24" t="s">
        <v>68</v>
      </c>
      <c r="B17" s="16">
        <f>SUMIFS(Количество,Наименование_Товара,'Отчет1 ТЕСТ'!B11)</f>
        <v>1852</v>
      </c>
      <c r="C17" s="16">
        <f>SUMIFS(Количество,Наименование_Товара,'Отчет1 ТЕСТ'!C11)</f>
        <v>2502</v>
      </c>
      <c r="D17" s="16">
        <f>SUMIFS(Количество,Наименование_Товара,'Отчет1 ТЕСТ'!D11)</f>
        <v>1539</v>
      </c>
      <c r="E17" s="16">
        <f>SUMIFS(Количество,Наименование_Товара,'Отчет1 ТЕСТ'!E11)</f>
        <v>1201</v>
      </c>
      <c r="F17" s="16">
        <f>SUMIFS(Количество,Наименование_Товара,'Отчет1 ТЕСТ'!F11)</f>
        <v>1600</v>
      </c>
      <c r="G17" s="16">
        <f>SUMIFS(Количество,Наименование_Товара,'Отчет1 ТЕСТ'!G11)</f>
        <v>2262</v>
      </c>
      <c r="H17" s="16">
        <f>SUMIFS(Количество,Наименование_Товара,'Отчет1 ТЕСТ'!H11)</f>
        <v>2828</v>
      </c>
      <c r="I17" s="16">
        <f>SUMIFS(Количество,Наименование_Товара,'Отчет1 ТЕСТ'!I11)</f>
        <v>1304</v>
      </c>
      <c r="J17" s="16">
        <f t="shared" si="2"/>
        <v>15088</v>
      </c>
    </row>
    <row r="18" spans="1:11" x14ac:dyDescent="0.2">
      <c r="A18" s="25" t="s">
        <v>69</v>
      </c>
      <c r="B18" s="26">
        <f>SUMIFS(Количество_к_возврату,Наименование_Товара,'Отчет1 ТЕСТ'!B11)</f>
        <v>100</v>
      </c>
      <c r="C18" s="26">
        <f>SUMIFS(Количество_к_возврату,Наименование_Товара,'Отчет1 ТЕСТ'!C11)</f>
        <v>180</v>
      </c>
      <c r="D18" s="26">
        <f>SUMIFS(Количество_к_возврату,Наименование_Товара,'Отчет1 ТЕСТ'!D11)</f>
        <v>134</v>
      </c>
      <c r="E18" s="26">
        <f>SUMIFS(Количество_к_возврату,Наименование_Товара,'Отчет1 ТЕСТ'!E11)</f>
        <v>71</v>
      </c>
      <c r="F18" s="26">
        <f>SUMIFS(Количество_к_возврату,Наименование_Товара,'Отчет1 ТЕСТ'!F11)</f>
        <v>74</v>
      </c>
      <c r="G18" s="26">
        <f>SUMIFS(Количество_к_возврату,Наименование_Товара,'Отчет1 ТЕСТ'!G11)</f>
        <v>120</v>
      </c>
      <c r="H18" s="26">
        <f>SUMIFS(Количество_к_возврату,Наименование_Товара,'Отчет1 ТЕСТ'!H11)</f>
        <v>305</v>
      </c>
      <c r="I18" s="26">
        <f>SUMIFS(Количество_к_возврату,Наименование_Товара,'Отчет1 ТЕСТ'!I11)</f>
        <v>240</v>
      </c>
      <c r="J18" s="16">
        <f t="shared" si="2"/>
        <v>1224</v>
      </c>
    </row>
    <row r="19" spans="1:11" x14ac:dyDescent="0.2">
      <c r="A19" s="25" t="s">
        <v>97</v>
      </c>
      <c r="B19" s="16">
        <f>B17-B18</f>
        <v>1752</v>
      </c>
      <c r="C19" s="16">
        <f t="shared" ref="B19:I19" si="3">C17-C18</f>
        <v>2322</v>
      </c>
      <c r="D19" s="16">
        <f t="shared" si="3"/>
        <v>1405</v>
      </c>
      <c r="E19" s="16">
        <f t="shared" si="3"/>
        <v>1130</v>
      </c>
      <c r="F19" s="16">
        <f t="shared" si="3"/>
        <v>1526</v>
      </c>
      <c r="G19" s="16">
        <f t="shared" si="3"/>
        <v>2142</v>
      </c>
      <c r="H19" s="16">
        <f t="shared" si="3"/>
        <v>2523</v>
      </c>
      <c r="I19" s="16">
        <f t="shared" si="3"/>
        <v>1064</v>
      </c>
      <c r="J19" s="16">
        <f>SUM(B19:I19)</f>
        <v>13864</v>
      </c>
    </row>
    <row r="20" spans="1:11" x14ac:dyDescent="0.2">
      <c r="A20" s="27"/>
    </row>
    <row r="21" spans="1:11" ht="16" x14ac:dyDescent="0.2">
      <c r="A21" s="25" t="s">
        <v>70</v>
      </c>
      <c r="B21" s="22" t="s">
        <v>7</v>
      </c>
      <c r="C21" s="22" t="s">
        <v>9</v>
      </c>
      <c r="D21" s="22" t="s">
        <v>10</v>
      </c>
      <c r="E21" s="22" t="s">
        <v>26</v>
      </c>
      <c r="F21" s="22" t="s">
        <v>27</v>
      </c>
      <c r="G21" s="22" t="s">
        <v>28</v>
      </c>
      <c r="H21" s="22" t="s">
        <v>64</v>
      </c>
      <c r="I21" s="22" t="s">
        <v>65</v>
      </c>
      <c r="J21" s="22" t="s">
        <v>98</v>
      </c>
    </row>
    <row r="22" spans="1:11" x14ac:dyDescent="0.2">
      <c r="A22" s="16" t="s">
        <v>16</v>
      </c>
      <c r="B22" s="28">
        <f>COUNTIFS(ФИО_менеджера,'Отчет1 ТЕСТ'!$A22,Наименование_Товара,'Отчет1 ТЕСТ'!B$21,Дата,"&gt;="&amp;Начало_периода,Дата,"&lt;="&amp;Конец_периода)</f>
        <v>2</v>
      </c>
      <c r="C22" s="28">
        <f>COUNTIFS(ФИО_менеджера,'Отчет1 ТЕСТ'!$A22,Наименование_Товара,'Отчет1 ТЕСТ'!C$21,Дата,"&gt;="&amp;Начало_периода,Дата,"&lt;="&amp;Конец_периода)</f>
        <v>2</v>
      </c>
      <c r="D22" s="28">
        <f>COUNTIFS(ФИО_менеджера,'Отчет1 ТЕСТ'!$A22,Наименование_Товара,'Отчет1 ТЕСТ'!D$21,Дата,"&gt;="&amp;Начало_периода,Дата,"&lt;="&amp;Конец_периода)</f>
        <v>1</v>
      </c>
      <c r="E22" s="28">
        <f>COUNTIFS(ФИО_менеджера,'Отчет1 ТЕСТ'!$A22,Наименование_Товара,'Отчет1 ТЕСТ'!E$21,Дата,"&gt;="&amp;Начало_периода,Дата,"&lt;="&amp;Конец_периода)</f>
        <v>0</v>
      </c>
      <c r="F22" s="28">
        <f>COUNTIFS(ФИО_менеджера,'Отчет1 ТЕСТ'!$A22,Наименование_Товара,'Отчет1 ТЕСТ'!F$21,Дата,"&gt;="&amp;Начало_периода,Дата,"&lt;="&amp;Конец_периода)</f>
        <v>1</v>
      </c>
      <c r="G22" s="28">
        <f>COUNTIFS(ФИО_менеджера,'Отчет1 ТЕСТ'!$A22,Наименование_Товара,'Отчет1 ТЕСТ'!G$21,Дата,"&gt;="&amp;Начало_периода,Дата,"&lt;="&amp;Конец_периода)</f>
        <v>2</v>
      </c>
      <c r="H22" s="28">
        <f>COUNTIFS(ФИО_менеджера,'Отчет1 ТЕСТ'!$A22,Наименование_Товара,'Отчет1 ТЕСТ'!H$21,Дата,"&gt;="&amp;Начало_периода,Дата,"&lt;="&amp;Конец_периода)</f>
        <v>6</v>
      </c>
      <c r="I22" s="28">
        <f>COUNTIFS(ФИО_менеджера,'Отчет1 ТЕСТ'!$A22,Наименование_Товара,'Отчет1 ТЕСТ'!I$21,Дата,"&gt;="&amp;Начало_периода,Дата,"&lt;="&amp;Конец_периода)</f>
        <v>2</v>
      </c>
      <c r="J22" s="28">
        <f>SUM(B22:I22)</f>
        <v>16</v>
      </c>
      <c r="K22" s="29"/>
    </row>
    <row r="23" spans="1:11" x14ac:dyDescent="0.2">
      <c r="A23" s="16" t="s">
        <v>17</v>
      </c>
      <c r="B23" s="28">
        <f>COUNTIFS(ФИО_менеджера,'Отчет1 ТЕСТ'!$A23,Наименование_Товара,'Отчет1 ТЕСТ'!B$21,Дата,"&gt;="&amp;Начало_периода,Дата,"&lt;="&amp;Конец_периода)</f>
        <v>3</v>
      </c>
      <c r="C23" s="28">
        <f>COUNTIFS(ФИО_менеджера,'Отчет1 ТЕСТ'!$A23,Наименование_Товара,'Отчет1 ТЕСТ'!C$21,Дата,"&gt;="&amp;Начало_периода,Дата,"&lt;="&amp;Конец_периода)</f>
        <v>8</v>
      </c>
      <c r="D23" s="28">
        <f>COUNTIFS(ФИО_менеджера,'Отчет1 ТЕСТ'!$A23,Наименование_Товара,'Отчет1 ТЕСТ'!D$21,Дата,"&gt;="&amp;Начало_периода,Дата,"&lt;="&amp;Конец_периода)</f>
        <v>2</v>
      </c>
      <c r="E23" s="28">
        <f>COUNTIFS(ФИО_менеджера,'Отчет1 ТЕСТ'!$A23,Наименование_Товара,'Отчет1 ТЕСТ'!E$21,Дата,"&gt;="&amp;Начало_периода,Дата,"&lt;="&amp;Конец_периода)</f>
        <v>1</v>
      </c>
      <c r="F23" s="28">
        <f>COUNTIFS(ФИО_менеджера,'Отчет1 ТЕСТ'!$A23,Наименование_Товара,'Отчет1 ТЕСТ'!F$21,Дата,"&gt;="&amp;Начало_периода,Дата,"&lt;="&amp;Конец_периода)</f>
        <v>2</v>
      </c>
      <c r="G23" s="28">
        <f>COUNTIFS(ФИО_менеджера,'Отчет1 ТЕСТ'!$A23,Наименование_Товара,'Отчет1 ТЕСТ'!G$21,Дата,"&gt;="&amp;Начало_периода,Дата,"&lt;="&amp;Конец_периода)</f>
        <v>5</v>
      </c>
      <c r="H23" s="28">
        <f>COUNTIFS(ФИО_менеджера,'Отчет1 ТЕСТ'!$A23,Наименование_Товара,'Отчет1 ТЕСТ'!H$21,Дата,"&gt;="&amp;Начало_периода,Дата,"&lt;="&amp;Конец_периода)</f>
        <v>7</v>
      </c>
      <c r="I23" s="28">
        <f>COUNTIFS(ФИО_менеджера,'Отчет1 ТЕСТ'!$A23,Наименование_Товара,'Отчет1 ТЕСТ'!I$21,Дата,"&gt;="&amp;Начало_периода,Дата,"&lt;="&amp;Конец_периода)</f>
        <v>3</v>
      </c>
      <c r="J23" s="28">
        <f t="shared" ref="J23:J27" si="4">SUM(B23:I23)</f>
        <v>31</v>
      </c>
      <c r="K23" s="29"/>
    </row>
    <row r="24" spans="1:11" x14ac:dyDescent="0.2">
      <c r="A24" s="16" t="s">
        <v>18</v>
      </c>
      <c r="B24" s="28">
        <f>COUNTIFS(ФИО_менеджера,'Отчет1 ТЕСТ'!$A24,Наименование_Товара,'Отчет1 ТЕСТ'!B$21,Дата,"&gt;="&amp;Начало_периода,Дата,"&lt;="&amp;Конец_периода)</f>
        <v>7</v>
      </c>
      <c r="C24" s="28">
        <f>COUNTIFS(ФИО_менеджера,'Отчет1 ТЕСТ'!$A24,Наименование_Товара,'Отчет1 ТЕСТ'!C$21,Дата,"&gt;="&amp;Начало_периода,Дата,"&lt;="&amp;Конец_периода)</f>
        <v>7</v>
      </c>
      <c r="D24" s="28">
        <f>COUNTIFS(ФИО_менеджера,'Отчет1 ТЕСТ'!$A24,Наименование_Товара,'Отчет1 ТЕСТ'!D$21,Дата,"&gt;="&amp;Начало_периода,Дата,"&lt;="&amp;Конец_периода)</f>
        <v>3</v>
      </c>
      <c r="E24" s="28">
        <f>COUNTIFS(ФИО_менеджера,'Отчет1 ТЕСТ'!$A24,Наименование_Товара,'Отчет1 ТЕСТ'!E$21,Дата,"&gt;="&amp;Начало_периода,Дата,"&lt;="&amp;Конец_периода)</f>
        <v>3</v>
      </c>
      <c r="F24" s="28">
        <f>COUNTIFS(ФИО_менеджера,'Отчет1 ТЕСТ'!$A24,Наименование_Товара,'Отчет1 ТЕСТ'!F$21,Дата,"&gt;="&amp;Начало_периода,Дата,"&lt;="&amp;Конец_периода)</f>
        <v>3</v>
      </c>
      <c r="G24" s="28">
        <f>COUNTIFS(ФИО_менеджера,'Отчет1 ТЕСТ'!$A24,Наименование_Товара,'Отчет1 ТЕСТ'!G$21,Дата,"&gt;="&amp;Начало_периода,Дата,"&lt;="&amp;Конец_периода)</f>
        <v>2</v>
      </c>
      <c r="H24" s="28">
        <f>COUNTIFS(ФИО_менеджера,'Отчет1 ТЕСТ'!$A24,Наименование_Товара,'Отчет1 ТЕСТ'!H$21,Дата,"&gt;="&amp;Начало_периода,Дата,"&lt;="&amp;Конец_периода)</f>
        <v>0</v>
      </c>
      <c r="I24" s="28">
        <f>COUNTIFS(ФИО_менеджера,'Отчет1 ТЕСТ'!$A24,Наименование_Товара,'Отчет1 ТЕСТ'!I$21,Дата,"&gt;="&amp;Начало_периода,Дата,"&lt;="&amp;Конец_периода)</f>
        <v>2</v>
      </c>
      <c r="J24" s="28">
        <f t="shared" si="4"/>
        <v>27</v>
      </c>
      <c r="K24" s="29"/>
    </row>
    <row r="25" spans="1:11" x14ac:dyDescent="0.2">
      <c r="A25" s="16" t="s">
        <v>19</v>
      </c>
      <c r="B25" s="28">
        <f>COUNTIFS(ФИО_менеджера,'Отчет1 ТЕСТ'!$A25,Наименование_Товара,'Отчет1 ТЕСТ'!B$21,Дата,"&gt;="&amp;Начало_периода,Дата,"&lt;="&amp;Конец_периода)</f>
        <v>0</v>
      </c>
      <c r="C25" s="28">
        <f>COUNTIFS(ФИО_менеджера,'Отчет1 ТЕСТ'!$A25,Наименование_Товара,'Отчет1 ТЕСТ'!C$21,Дата,"&gt;="&amp;Начало_периода,Дата,"&lt;="&amp;Конец_периода)</f>
        <v>4</v>
      </c>
      <c r="D25" s="28">
        <f>COUNTIFS(ФИО_менеджера,'Отчет1 ТЕСТ'!$A25,Наименование_Товара,'Отчет1 ТЕСТ'!D$21,Дата,"&gt;="&amp;Начало_периода,Дата,"&lt;="&amp;Конец_периода)</f>
        <v>3</v>
      </c>
      <c r="E25" s="28">
        <f>COUNTIFS(ФИО_менеджера,'Отчет1 ТЕСТ'!$A25,Наименование_Товара,'Отчет1 ТЕСТ'!E$21,Дата,"&gt;="&amp;Начало_периода,Дата,"&lt;="&amp;Конец_периода)</f>
        <v>3</v>
      </c>
      <c r="F25" s="28">
        <f>COUNTIFS(ФИО_менеджера,'Отчет1 ТЕСТ'!$A25,Наименование_Товара,'Отчет1 ТЕСТ'!F$21,Дата,"&gt;="&amp;Начало_периода,Дата,"&lt;="&amp;Конец_периода)</f>
        <v>2</v>
      </c>
      <c r="G25" s="28">
        <f>COUNTIFS(ФИО_менеджера,'Отчет1 ТЕСТ'!$A25,Наименование_Товара,'Отчет1 ТЕСТ'!G$21,Дата,"&gt;="&amp;Начало_периода,Дата,"&lt;="&amp;Конец_периода)</f>
        <v>2</v>
      </c>
      <c r="H25" s="28">
        <f>COUNTIFS(ФИО_менеджера,'Отчет1 ТЕСТ'!$A25,Наименование_Товара,'Отчет1 ТЕСТ'!H$21,Дата,"&gt;="&amp;Начало_периода,Дата,"&lt;="&amp;Конец_периода)</f>
        <v>2</v>
      </c>
      <c r="I25" s="28">
        <f>COUNTIFS(ФИО_менеджера,'Отчет1 ТЕСТ'!$A25,Наименование_Товара,'Отчет1 ТЕСТ'!I$21,Дата,"&gt;="&amp;Начало_периода,Дата,"&lt;="&amp;Конец_периода)</f>
        <v>2</v>
      </c>
      <c r="J25" s="28">
        <f t="shared" si="4"/>
        <v>18</v>
      </c>
      <c r="K25" s="29"/>
    </row>
    <row r="26" spans="1:11" x14ac:dyDescent="0.2">
      <c r="A26" s="16" t="s">
        <v>20</v>
      </c>
      <c r="B26" s="28">
        <f>COUNTIFS(ФИО_менеджера,'Отчет1 ТЕСТ'!$A26,Наименование_Товара,'Отчет1 ТЕСТ'!B$21,Дата,"&gt;="&amp;Начало_периода,Дата,"&lt;="&amp;Конец_периода)</f>
        <v>2</v>
      </c>
      <c r="C26" s="28">
        <f>COUNTIFS(ФИО_менеджера,'Отчет1 ТЕСТ'!$A26,Наименование_Товара,'Отчет1 ТЕСТ'!C$21,Дата,"&gt;="&amp;Начало_периода,Дата,"&lt;="&amp;Конец_периода)</f>
        <v>1</v>
      </c>
      <c r="D26" s="28">
        <f>COUNTIFS(ФИО_менеджера,'Отчет1 ТЕСТ'!$A26,Наименование_Товара,'Отчет1 ТЕСТ'!D$21,Дата,"&gt;="&amp;Начало_периода,Дата,"&lt;="&amp;Конец_периода)</f>
        <v>1</v>
      </c>
      <c r="E26" s="28">
        <f>COUNTIFS(ФИО_менеджера,'Отчет1 ТЕСТ'!$A26,Наименование_Товара,'Отчет1 ТЕСТ'!E$21,Дата,"&gt;="&amp;Начало_периода,Дата,"&lt;="&amp;Конец_периода)</f>
        <v>2</v>
      </c>
      <c r="F26" s="28">
        <f>COUNTIFS(ФИО_менеджера,'Отчет1 ТЕСТ'!$A26,Наименование_Товара,'Отчет1 ТЕСТ'!F$21,Дата,"&gt;="&amp;Начало_периода,Дата,"&lt;="&amp;Конец_периода)</f>
        <v>2</v>
      </c>
      <c r="G26" s="28">
        <f>COUNTIFS(ФИО_менеджера,'Отчет1 ТЕСТ'!$A26,Наименование_Товара,'Отчет1 ТЕСТ'!G$21,Дата,"&gt;="&amp;Начало_периода,Дата,"&lt;="&amp;Конец_периода)</f>
        <v>3</v>
      </c>
      <c r="H26" s="28">
        <f>COUNTIFS(ФИО_менеджера,'Отчет1 ТЕСТ'!$A26,Наименование_Товара,'Отчет1 ТЕСТ'!H$21,Дата,"&gt;="&amp;Начало_периода,Дата,"&lt;="&amp;Конец_периода)</f>
        <v>5</v>
      </c>
      <c r="I26" s="28">
        <f>COUNTIFS(ФИО_менеджера,'Отчет1 ТЕСТ'!$A26,Наименование_Товара,'Отчет1 ТЕСТ'!I$21,Дата,"&gt;="&amp;Начало_периода,Дата,"&lt;="&amp;Конец_периода)</f>
        <v>2</v>
      </c>
      <c r="J26" s="28">
        <f t="shared" si="4"/>
        <v>18</v>
      </c>
      <c r="K26" s="29"/>
    </row>
    <row r="27" spans="1:11" x14ac:dyDescent="0.2">
      <c r="A27" s="16" t="s">
        <v>66</v>
      </c>
      <c r="B27" s="28">
        <f t="shared" ref="B27:I27" si="5">SUM(B22:B26)</f>
        <v>14</v>
      </c>
      <c r="C27" s="28">
        <f t="shared" si="5"/>
        <v>22</v>
      </c>
      <c r="D27" s="28">
        <f t="shared" si="5"/>
        <v>10</v>
      </c>
      <c r="E27" s="28">
        <f t="shared" si="5"/>
        <v>9</v>
      </c>
      <c r="F27" s="28">
        <f t="shared" si="5"/>
        <v>10</v>
      </c>
      <c r="G27" s="28">
        <f t="shared" si="5"/>
        <v>14</v>
      </c>
      <c r="H27" s="28">
        <f t="shared" si="5"/>
        <v>20</v>
      </c>
      <c r="I27" s="28">
        <f t="shared" si="5"/>
        <v>11</v>
      </c>
      <c r="J27" s="28">
        <f t="shared" si="4"/>
        <v>110</v>
      </c>
      <c r="K27" s="29"/>
    </row>
    <row r="29" spans="1:11" x14ac:dyDescent="0.2">
      <c r="C29" s="63">
        <f>(C26/J26)*100</f>
        <v>5.5555555555555554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1669-5214-DF4D-8E91-0759916D8815}">
  <dimension ref="A3:G17"/>
  <sheetViews>
    <sheetView zoomScale="111" workbookViewId="0">
      <selection activeCell="E9" sqref="E9"/>
    </sheetView>
  </sheetViews>
  <sheetFormatPr baseColWidth="10" defaultColWidth="8.83203125" defaultRowHeight="15" x14ac:dyDescent="0.2"/>
  <cols>
    <col min="1" max="1" width="27.5" bestFit="1" customWidth="1"/>
    <col min="2" max="2" width="7.1640625" bestFit="1" customWidth="1"/>
    <col min="3" max="3" width="15.1640625" customWidth="1"/>
    <col min="4" max="7" width="14.83203125" customWidth="1"/>
  </cols>
  <sheetData>
    <row r="3" spans="1:7" ht="32" x14ac:dyDescent="0.2">
      <c r="A3" s="15" t="s">
        <v>45</v>
      </c>
      <c r="B3" s="15" t="s">
        <v>46</v>
      </c>
      <c r="C3" s="15" t="s">
        <v>47</v>
      </c>
      <c r="D3" s="15" t="s">
        <v>48</v>
      </c>
      <c r="E3" s="15" t="s">
        <v>49</v>
      </c>
      <c r="F3" s="15" t="s">
        <v>50</v>
      </c>
      <c r="G3" s="15" t="s">
        <v>51</v>
      </c>
    </row>
    <row r="4" spans="1:7" x14ac:dyDescent="0.2">
      <c r="A4" s="18" t="s">
        <v>19</v>
      </c>
      <c r="B4" s="18" t="str">
        <f>VLOOKUP(A4,'Информация Менеджеры'!$A$2:$B$6,2,0)</f>
        <v>Запад</v>
      </c>
      <c r="C4" s="19">
        <f>SUMIF(Таблица1[[#All],[ФИО менеджера]],Премии!A4,Таблица1[[#All],[Чистая стоимость]])</f>
        <v>146227</v>
      </c>
      <c r="D4" s="16">
        <f>IF(C4&gt;40000,C4*0.05,0)</f>
        <v>7311.35</v>
      </c>
      <c r="E4" s="16">
        <f>IF(C4&gt;VLOOKUP(Премии!B4,'Информация Менеджеры'!$D$2:$G$3,3),C4*0.05,0)</f>
        <v>7311.35</v>
      </c>
      <c r="F4" s="16">
        <f>IF(C4&gt;VLOOKUP(Премии!B4,'Информация Менеджеры'!$D$2:$G$3,3),C4*VLOOKUP(Премии!B4,'Информация Менеджеры'!$D$2:$G$3,4),0)</f>
        <v>8773.619999999999</v>
      </c>
      <c r="G4" s="16">
        <f>IF(SUMIF($B$4:$B$8,$B4,$C$4:$C$8)&gt;VLOOKUP(Премии!$B4,'Информация Менеджеры'!$D$2:$G$3,3,0),SUMIF($B$4:$B$8,$B4,$C$4:$C$8)*VLOOKUP(Премии!$B4,'Информация Менеджеры'!$D$2:$G$3,4,0),0)</f>
        <v>20899.439999999999</v>
      </c>
    </row>
    <row r="5" spans="1:7" x14ac:dyDescent="0.2">
      <c r="A5" s="18" t="s">
        <v>16</v>
      </c>
      <c r="B5" s="18" t="str">
        <f>VLOOKUP(A5,'Информация Менеджеры'!$A$2:$B$6,2,0)</f>
        <v>Восток</v>
      </c>
      <c r="C5" s="19">
        <f>SUMIF(Таблица1[[#All],[ФИО менеджера]],Премии!A5,Таблица1[[#All],[Чистая стоимость]])</f>
        <v>184825</v>
      </c>
      <c r="D5" s="16">
        <f t="shared" ref="D5:D8" si="0">IF(C5&gt;40000,C5*0.05,0)</f>
        <v>9241.25</v>
      </c>
      <c r="E5" s="16">
        <f>IF(C5&gt;VLOOKUP(Премии!B5,'Информация Менеджеры'!$D$2:$G$3,3),C5*0.05,0)</f>
        <v>9241.25</v>
      </c>
      <c r="F5" s="16">
        <f>IF(C5&gt;VLOOKUP(Премии!B5,'Информация Менеджеры'!$D$2:$G$3,3),C5*VLOOKUP(Премии!B5,'Информация Менеджеры'!$D$2:$G$3,4),0)</f>
        <v>7393</v>
      </c>
      <c r="G5" s="16">
        <f>IF(SUMIF($B$4:$B$8,$B5,$C$4:$C$8)&gt;VLOOKUP(Премии!$B5,'Информация Менеджеры'!$D$2:$G$3,3,0),SUMIF($B$4:$B$8,$B5,$C$4:$C$8)*VLOOKUP(Премии!$B5,'Информация Менеджеры'!$D$2:$G$3,4,0),0)</f>
        <v>24072.12</v>
      </c>
    </row>
    <row r="6" spans="1:7" x14ac:dyDescent="0.2">
      <c r="A6" s="18" t="s">
        <v>17</v>
      </c>
      <c r="B6" s="18" t="str">
        <f>VLOOKUP(A6,'Информация Менеджеры'!$A$2:$B$6,2,0)</f>
        <v>Восток</v>
      </c>
      <c r="C6" s="19">
        <f>SUMIF(Таблица1[[#All],[ФИО менеджера]],Премии!A6,Таблица1[[#All],[Чистая стоимость]])</f>
        <v>245736</v>
      </c>
      <c r="D6" s="16">
        <f t="shared" si="0"/>
        <v>12286.800000000001</v>
      </c>
      <c r="E6" s="16">
        <f>IF(C6&gt;VLOOKUP(Премии!B6,'Информация Менеджеры'!$D$2:$G$3,3),C6*0.05,0)</f>
        <v>12286.800000000001</v>
      </c>
      <c r="F6" s="16">
        <f>IF(C6&gt;VLOOKUP(Премии!B6,'Информация Менеджеры'!$D$2:$G$3,3),C6*VLOOKUP(Премии!B6,'Информация Менеджеры'!$D$2:$G$3,4),0)</f>
        <v>9829.44</v>
      </c>
      <c r="G6" s="16">
        <f>IF(SUMIF($B$4:$B$8,$B6,$C$4:$C$8)&gt;VLOOKUP(Премии!$B6,'Информация Менеджеры'!$D$2:$G$3,3,0),SUMIF($B$4:$B$8,$B6,$C$4:$C$8)*VLOOKUP(Премии!$B6,'Информация Менеджеры'!$D$2:$G$3,4,0),0)</f>
        <v>24072.12</v>
      </c>
    </row>
    <row r="7" spans="1:7" x14ac:dyDescent="0.2">
      <c r="A7" s="18" t="s">
        <v>18</v>
      </c>
      <c r="B7" s="18" t="str">
        <f>VLOOKUP(A7,'Информация Менеджеры'!$A$2:$B$6,2,0)</f>
        <v>Восток</v>
      </c>
      <c r="C7" s="19">
        <f>SUMIF(Таблица1[[#All],[ФИО менеджера]],Премии!A7,Таблица1[[#All],[Чистая стоимость]])</f>
        <v>171242</v>
      </c>
      <c r="D7" s="16">
        <f t="shared" si="0"/>
        <v>8562.1</v>
      </c>
      <c r="E7" s="16">
        <f>IF(C7&gt;VLOOKUP(Премии!B7,'Информация Менеджеры'!$D$2:$G$3,3),C7*0.05,0)</f>
        <v>8562.1</v>
      </c>
      <c r="F7" s="16">
        <f>IF(C7&gt;VLOOKUP(Премии!B7,'Информация Менеджеры'!$D$2:$G$3,3),C7*VLOOKUP(Премии!B7,'Информация Менеджеры'!$D$2:$G$3,4),0)</f>
        <v>6849.68</v>
      </c>
      <c r="G7" s="16">
        <f>IF(SUMIF($B$4:$B$8,$B7,$C$4:$C$8)&gt;VLOOKUP(Премии!$B7,'Информация Менеджеры'!$D$2:$G$3,3,0),SUMIF($B$4:$B$8,$B7,$C$4:$C$8)*VLOOKUP(Премии!$B7,'Информация Менеджеры'!$D$2:$G$3,4,0),0)</f>
        <v>24072.12</v>
      </c>
    </row>
    <row r="8" spans="1:7" x14ac:dyDescent="0.2">
      <c r="A8" s="18" t="s">
        <v>20</v>
      </c>
      <c r="B8" s="18" t="str">
        <f>VLOOKUP(A8,'Информация Менеджеры'!$A$2:$B$6,2,0)</f>
        <v>Запад</v>
      </c>
      <c r="C8" s="19">
        <f>SUMIF(Таблица1[[#All],[ФИО менеджера]],Премии!A8,Таблица1[[#All],[Чистая стоимость]])</f>
        <v>202097</v>
      </c>
      <c r="D8" s="16">
        <f t="shared" si="0"/>
        <v>10104.85</v>
      </c>
      <c r="E8" s="16">
        <f>IF(C8&gt;VLOOKUP(Премии!B8,'Информация Менеджеры'!$D$2:$G$3,3),C8*0.05,0)</f>
        <v>10104.85</v>
      </c>
      <c r="F8" s="16">
        <f>IF(C8&gt;VLOOKUP(Премии!B8,'Информация Менеджеры'!$D$2:$G$3,3),C8*VLOOKUP(Премии!B8,'Информация Менеджеры'!$D$2:$G$3,4),0)</f>
        <v>12125.82</v>
      </c>
      <c r="G8" s="16">
        <f>IF(SUMIF($B$4:$B$8,$B8,$C$4:$C$8)&gt;VLOOKUP(Премии!$B8,'Информация Менеджеры'!$D$2:$G$3,3,0),SUMIF($B$4:$B$8,$B8,$C$4:$C$8)*VLOOKUP(Премии!$B8,'Информация Менеджеры'!$D$2:$G$3,4,0),0)</f>
        <v>20899.439999999999</v>
      </c>
    </row>
    <row r="9" spans="1:7" x14ac:dyDescent="0.2">
      <c r="A9" s="20" t="s">
        <v>40</v>
      </c>
      <c r="B9" s="18"/>
      <c r="C9" s="54">
        <f>SUM(C4:C8)</f>
        <v>950127</v>
      </c>
      <c r="D9" s="54">
        <f t="shared" ref="D9:G9" si="1">SUM(D4:D8)</f>
        <v>47506.35</v>
      </c>
      <c r="E9" s="62">
        <f t="shared" si="1"/>
        <v>47506.35</v>
      </c>
      <c r="F9" s="54">
        <f t="shared" si="1"/>
        <v>44971.56</v>
      </c>
      <c r="G9" s="54">
        <f t="shared" si="1"/>
        <v>114015.23999999999</v>
      </c>
    </row>
    <row r="12" spans="1:7" x14ac:dyDescent="0.2">
      <c r="A12" t="s">
        <v>52</v>
      </c>
      <c r="C12" t="s">
        <v>53</v>
      </c>
    </row>
    <row r="13" spans="1:7" x14ac:dyDescent="0.2">
      <c r="A13" t="s">
        <v>54</v>
      </c>
      <c r="C13" t="s">
        <v>55</v>
      </c>
    </row>
    <row r="14" spans="1:7" x14ac:dyDescent="0.2">
      <c r="A14" t="s">
        <v>56</v>
      </c>
      <c r="C14" t="s">
        <v>57</v>
      </c>
    </row>
    <row r="17" spans="1:3" x14ac:dyDescent="0.2">
      <c r="A17" t="s">
        <v>58</v>
      </c>
      <c r="C17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753F-0627-2440-B544-EDDF81999FA2}">
  <dimension ref="A1:K27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7.5" bestFit="1" customWidth="1"/>
    <col min="2" max="2" width="19.5" bestFit="1" customWidth="1"/>
    <col min="3" max="3" width="17" bestFit="1" customWidth="1"/>
    <col min="4" max="4" width="16.6640625" bestFit="1" customWidth="1"/>
    <col min="5" max="5" width="16.1640625" bestFit="1" customWidth="1"/>
    <col min="6" max="7" width="13.1640625" bestFit="1" customWidth="1"/>
    <col min="8" max="8" width="15.5" bestFit="1" customWidth="1"/>
    <col min="9" max="9" width="13.1640625" bestFit="1" customWidth="1"/>
    <col min="10" max="10" width="18.33203125" customWidth="1"/>
    <col min="14" max="14" width="26.5" bestFit="1" customWidth="1"/>
    <col min="15" max="15" width="14.5" customWidth="1"/>
    <col min="16" max="16" width="26.33203125" bestFit="1" customWidth="1"/>
  </cols>
  <sheetData>
    <row r="1" spans="1:11" x14ac:dyDescent="0.2">
      <c r="A1" s="2" t="s">
        <v>60</v>
      </c>
      <c r="E1" s="2" t="s">
        <v>61</v>
      </c>
      <c r="F1" s="21">
        <v>42736</v>
      </c>
      <c r="H1" s="2" t="s">
        <v>62</v>
      </c>
      <c r="I1" s="21">
        <v>43028</v>
      </c>
      <c r="K1" t="s">
        <v>96</v>
      </c>
    </row>
    <row r="3" spans="1:11" ht="18" customHeight="1" x14ac:dyDescent="0.2">
      <c r="A3" s="24" t="s">
        <v>63</v>
      </c>
      <c r="B3" s="22" t="s">
        <v>7</v>
      </c>
      <c r="C3" s="22" t="s">
        <v>9</v>
      </c>
      <c r="D3" s="22" t="s">
        <v>10</v>
      </c>
      <c r="E3" s="22" t="s">
        <v>26</v>
      </c>
      <c r="F3" s="22" t="s">
        <v>27</v>
      </c>
      <c r="G3" s="22" t="s">
        <v>28</v>
      </c>
      <c r="H3" s="22" t="s">
        <v>64</v>
      </c>
      <c r="I3" s="22" t="s">
        <v>65</v>
      </c>
      <c r="J3" s="22" t="s">
        <v>98</v>
      </c>
    </row>
    <row r="4" spans="1:11" x14ac:dyDescent="0.2">
      <c r="A4" s="16" t="s">
        <v>16</v>
      </c>
      <c r="B4" s="23">
        <f>SUMIFS(Продажи!$K$2:$K$131,ФИО_менеджера,Отчет1!$A4,Наименование_Товара,Отчет1!B$3,Дата,"&gt;="&amp;Начало_периода,Дата,"&lt;="&amp;Конец_периода)</f>
        <v>6375</v>
      </c>
      <c r="C4" s="23">
        <f>SUMIFS(Продажи!$K$2:$K$131,ФИО_менеджера,Отчет1!$A4,Наименование_Товара,Отчет1!C$3,Дата,"&gt;="&amp;Начало_периода,Дата,"&lt;="&amp;Конец_периода)</f>
        <v>6048</v>
      </c>
      <c r="D4" s="23">
        <f>SUMIFS(Продажи!$K$2:$K$131,ФИО_менеджера,Отчет1!$A4,Наименование_Товара,Отчет1!D$3,Дата,"&gt;="&amp;Начало_периода,Дата,"&lt;="&amp;Конец_периода)</f>
        <v>2520</v>
      </c>
      <c r="E4" s="23">
        <f>SUMIFS(Продажи!$K$2:$K$131,ФИО_менеджера,Отчет1!$A4,Наименование_Товара,Отчет1!E$3,Дата,"&gt;="&amp;Начало_периода,Дата,"&lt;="&amp;Конец_периода)</f>
        <v>0</v>
      </c>
      <c r="F4" s="23">
        <f>SUMIFS(Продажи!$K$2:$K$131,ФИО_менеджера,Отчет1!$A4,Наименование_Товара,Отчет1!F$3,Дата,"&gt;="&amp;Начало_периода,Дата,"&lt;="&amp;Конец_периода)</f>
        <v>11050</v>
      </c>
      <c r="G4" s="23">
        <f>SUMIFS(Продажи!$K$2:$K$131,ФИО_менеджера,Отчет1!$A4,Наименование_Товара,Отчет1!G$3,Дата,"&gt;="&amp;Начало_периода,Дата,"&lt;="&amp;Конец_периода)</f>
        <v>15312</v>
      </c>
      <c r="H4" s="23">
        <f>SUMIFS(Продажи!$K$2:$K$131,ФИО_менеджера,Отчет1!$A4,Наименование_Товара,Отчет1!H$3,Дата,"&gt;="&amp;Начало_периода,Дата,"&lt;="&amp;Конец_периода)</f>
        <v>100650</v>
      </c>
      <c r="I4" s="23">
        <f>SUMIFS(Продажи!$K$2:$K$131,ФИО_менеджера,Отчет1!$A4,Наименование_Товара,Отчет1!I$3,Дата,"&gt;="&amp;Начало_периода,Дата,"&lt;="&amp;Конец_периода)</f>
        <v>13600</v>
      </c>
      <c r="J4" s="23">
        <f>SUM(B4:I4)</f>
        <v>155555</v>
      </c>
    </row>
    <row r="5" spans="1:11" x14ac:dyDescent="0.2">
      <c r="A5" s="16" t="s">
        <v>17</v>
      </c>
      <c r="B5" s="23">
        <f>SUMIFS(Продажи!$K$2:$K$131,ФИО_менеджера,Отчет1!$A5,Наименование_Товара,Отчет1!B$3,Дата,"&gt;="&amp;Начало_периода,Дата,"&lt;="&amp;Конец_периода)</f>
        <v>5900</v>
      </c>
      <c r="C5" s="23">
        <f>SUMIFS(Продажи!$K$2:$K$131,ФИО_менеджера,Отчет1!$A5,Наименование_Товара,Отчет1!C$3,Дата,"&gt;="&amp;Начало_периода,Дата,"&lt;="&amp;Конец_периода)</f>
        <v>22912</v>
      </c>
      <c r="D5" s="23">
        <f>SUMIFS(Продажи!$K$2:$K$131,ФИО_менеджера,Отчет1!$A5,Наименование_Товара,Отчет1!D$3,Дата,"&gt;="&amp;Начало_периода,Дата,"&lt;="&amp;Конец_периода)</f>
        <v>8100</v>
      </c>
      <c r="E5" s="23">
        <f>SUMIFS(Продажи!$K$2:$K$131,ФИО_менеджера,Отчет1!$A5,Наименование_Товара,Отчет1!E$3,Дата,"&gt;="&amp;Начало_периода,Дата,"&lt;="&amp;Конец_периода)</f>
        <v>5400</v>
      </c>
      <c r="F5" s="23">
        <f>SUMIFS(Продажи!$K$2:$K$131,ФИО_менеджера,Отчет1!$A5,Наименование_Товара,Отчет1!F$3,Дата,"&gt;="&amp;Начало_периода,Дата,"&lt;="&amp;Конец_периода)</f>
        <v>18200</v>
      </c>
      <c r="G5" s="23">
        <f>SUMIFS(Продажи!$K$2:$K$131,ФИО_менеджера,Отчет1!$A5,Наименование_Товара,Отчет1!G$3,Дата,"&gt;="&amp;Начало_периода,Дата,"&lt;="&amp;Конец_периода)</f>
        <v>65250</v>
      </c>
      <c r="H5" s="23">
        <f>SUMIFS(Продажи!$K$2:$K$131,ФИО_менеджера,Отчет1!$A5,Наименование_Товара,Отчет1!H$3,Дата,"&gt;="&amp;Начало_периода,Дата,"&lt;="&amp;Конец_периода)</f>
        <v>70950</v>
      </c>
      <c r="I5" s="23">
        <f>SUMIFS(Продажи!$K$2:$K$131,ФИО_менеджера,Отчет1!$A5,Наименование_Товара,Отчет1!I$3,Дата,"&gt;="&amp;Начало_периода,Дата,"&lt;="&amp;Конец_периода)</f>
        <v>20264</v>
      </c>
      <c r="J5" s="23">
        <f t="shared" ref="J5:J8" si="0">SUM(B5:I5)</f>
        <v>216976</v>
      </c>
    </row>
    <row r="6" spans="1:11" x14ac:dyDescent="0.2">
      <c r="A6" s="16" t="s">
        <v>18</v>
      </c>
      <c r="B6" s="23">
        <f>SUMIFS(Продажи!$K$2:$K$131,ФИО_менеджера,Отчет1!$A6,Наименование_Товара,Отчет1!B$3,Дата,"&gt;="&amp;Начало_периода,Дата,"&lt;="&amp;Конец_периода)</f>
        <v>15075</v>
      </c>
      <c r="C6" s="23">
        <f>SUMIFS(Продажи!$K$2:$K$131,ФИО_менеджера,Отчет1!$A6,Наименование_Товара,Отчет1!C$3,Дата,"&gt;="&amp;Начало_периода,Дата,"&lt;="&amp;Конец_периода)</f>
        <v>29792</v>
      </c>
      <c r="D6" s="23">
        <f>SUMIFS(Продажи!$K$2:$K$131,ФИО_менеджера,Отчет1!$A6,Наименование_Товара,Отчет1!D$3,Дата,"&gt;="&amp;Начало_периода,Дата,"&lt;="&amp;Конец_периода)</f>
        <v>13095</v>
      </c>
      <c r="E6" s="23">
        <f>SUMIFS(Продажи!$K$2:$K$131,ФИО_менеджера,Отчет1!$A6,Наименование_Товара,Отчет1!E$3,Дата,"&gt;="&amp;Начало_периода,Дата,"&lt;="&amp;Конец_периода)</f>
        <v>16686</v>
      </c>
      <c r="F6" s="23">
        <f>SUMIFS(Продажи!$K$2:$K$131,ФИО_менеджера,Отчет1!$A6,Наименование_Товара,Отчет1!F$3,Дата,"&gt;="&amp;Начало_периода,Дата,"&lt;="&amp;Конец_периода)</f>
        <v>13000</v>
      </c>
      <c r="G6" s="23">
        <f>SUMIFS(Продажи!$K$2:$K$131,ФИО_менеджера,Отчет1!$A6,Наименование_Товара,Отчет1!G$3,Дата,"&gt;="&amp;Начало_периода,Дата,"&lt;="&amp;Конец_периода)</f>
        <v>13920</v>
      </c>
      <c r="H6" s="23">
        <f>SUMIFS(Продажи!$K$2:$K$131,ФИО_менеджера,Отчет1!$A6,Наименование_Товара,Отчет1!H$3,Дата,"&gt;="&amp;Начало_периода,Дата,"&lt;="&amp;Конец_периода)</f>
        <v>0</v>
      </c>
      <c r="I6" s="23">
        <f>SUMIFS(Продажи!$K$2:$K$131,ФИО_менеджера,Отчет1!$A6,Наименование_Товара,Отчет1!I$3,Дата,"&gt;="&amp;Начало_периода,Дата,"&lt;="&amp;Конец_периода)</f>
        <v>28560</v>
      </c>
      <c r="J6" s="23">
        <f t="shared" si="0"/>
        <v>130128</v>
      </c>
    </row>
    <row r="7" spans="1:11" x14ac:dyDescent="0.2">
      <c r="A7" s="16" t="s">
        <v>19</v>
      </c>
      <c r="B7" s="23">
        <f>SUMIFS(Продажи!$K$2:$K$131,ФИО_менеджера,Отчет1!$A7,Наименование_Товара,Отчет1!B$3,Дата,"&gt;="&amp;Начало_периода,Дата,"&lt;="&amp;Конец_периода)</f>
        <v>0</v>
      </c>
      <c r="C7" s="23">
        <f>SUMIFS(Продажи!$K$2:$K$131,ФИО_менеджера,Отчет1!$A7,Наименование_Товара,Отчет1!C$3,Дата,"&gt;="&amp;Начало_периода,Дата,"&lt;="&amp;Конец_периода)</f>
        <v>11072</v>
      </c>
      <c r="D7" s="23">
        <f>SUMIFS(Продажи!$K$2:$K$131,ФИО_менеджера,Отчет1!$A7,Наименование_Товара,Отчет1!D$3,Дата,"&gt;="&amp;Начало_периода,Дата,"&lt;="&amp;Конец_периода)</f>
        <v>13275</v>
      </c>
      <c r="E7" s="23">
        <f>SUMIFS(Продажи!$K$2:$K$131,ФИО_менеджера,Отчет1!$A7,Наименование_Товара,Отчет1!E$3,Дата,"&gt;="&amp;Начало_периода,Дата,"&lt;="&amp;Конец_периода)</f>
        <v>10800</v>
      </c>
      <c r="F7" s="23">
        <f>SUMIFS(Продажи!$K$2:$K$131,ФИО_менеджера,Отчет1!$A7,Наименование_Товара,Отчет1!F$3,Дата,"&gt;="&amp;Начало_периода,Дата,"&lt;="&amp;Конец_периода)</f>
        <v>25740</v>
      </c>
      <c r="G7" s="23">
        <f>SUMIFS(Продажи!$K$2:$K$131,ФИО_менеджера,Отчет1!$A7,Наименование_Товара,Отчет1!G$3,Дата,"&gt;="&amp;Начало_периода,Дата,"&lt;="&amp;Конец_периода)</f>
        <v>36540</v>
      </c>
      <c r="H7" s="23">
        <f>SUMIFS(Продажи!$K$2:$K$131,ФИО_менеджера,Отчет1!$A7,Наименование_Товара,Отчет1!H$3,Дата,"&gt;="&amp;Начало_периода,Дата,"&lt;="&amp;Конец_периода)</f>
        <v>14520</v>
      </c>
      <c r="I7" s="23">
        <f>SUMIFS(Продажи!$K$2:$K$131,ФИО_менеджера,Отчет1!$A7,Наименование_Товара,Отчет1!I$3,Дата,"&gt;="&amp;Начало_периода,Дата,"&lt;="&amp;Конец_периода)</f>
        <v>21760</v>
      </c>
      <c r="J7" s="23">
        <f t="shared" si="0"/>
        <v>133707</v>
      </c>
    </row>
    <row r="8" spans="1:11" x14ac:dyDescent="0.2">
      <c r="A8" s="16" t="s">
        <v>20</v>
      </c>
      <c r="B8" s="23">
        <f>SUMIFS(Продажи!$K$2:$K$131,ФИО_менеджера,Отчет1!$A8,Наименование_Товара,Отчет1!B$3,Дата,"&gt;="&amp;Начало_периода,Дата,"&lt;="&amp;Конец_периода)</f>
        <v>4450</v>
      </c>
      <c r="C8" s="23">
        <f>SUMIFS(Продажи!$K$2:$K$131,ФИО_менеджера,Отчет1!$A8,Наименование_Товара,Отчет1!C$3,Дата,"&gt;="&amp;Начало_периода,Дата,"&lt;="&amp;Конец_периода)</f>
        <v>2560</v>
      </c>
      <c r="D8" s="23">
        <f>SUMIFS(Продажи!$K$2:$K$131,ФИО_менеджера,Отчет1!$A8,Наименование_Товара,Отчет1!D$3,Дата,"&gt;="&amp;Начало_периода,Дата,"&lt;="&amp;Конец_периода)</f>
        <v>9585</v>
      </c>
      <c r="E8" s="23">
        <f>SUMIFS(Продажи!$K$2:$K$131,ФИО_менеджера,Отчет1!$A8,Наименование_Товара,Отчет1!E$3,Дата,"&gt;="&amp;Начало_периода,Дата,"&lt;="&amp;Конец_периода)</f>
        <v>12420</v>
      </c>
      <c r="F8" s="23">
        <f>SUMIFS(Продажи!$K$2:$K$131,ФИО_менеджера,Отчет1!$A8,Наименование_Товара,Отчет1!F$3,Дата,"&gt;="&amp;Начало_периода,Дата,"&lt;="&amp;Конец_периода)</f>
        <v>20150</v>
      </c>
      <c r="G8" s="23">
        <f>SUMIFS(Продажи!$K$2:$K$131,ФИО_менеджера,Отчет1!$A8,Наименование_Товара,Отчет1!G$3,Дата,"&gt;="&amp;Начало_периода,Дата,"&lt;="&amp;Конец_периода)</f>
        <v>43152</v>
      </c>
      <c r="H8" s="23">
        <f>SUMIFS(Продажи!$K$2:$K$131,ФИО_менеджера,Отчет1!$A8,Наименование_Товара,Отчет1!H$3,Дата,"&gt;="&amp;Начало_периода,Дата,"&lt;="&amp;Конец_периода)</f>
        <v>70510</v>
      </c>
      <c r="I8" s="23">
        <f>SUMIFS(Продажи!$K$2:$K$131,ФИО_менеджера,Отчет1!$A8,Наименование_Товара,Отчет1!I$3,Дата,"&gt;="&amp;Начало_периода,Дата,"&lt;="&amp;Конец_периода)</f>
        <v>28560</v>
      </c>
      <c r="J8" s="23">
        <f t="shared" si="0"/>
        <v>191387</v>
      </c>
    </row>
    <row r="9" spans="1:11" x14ac:dyDescent="0.2">
      <c r="A9" s="16" t="s">
        <v>66</v>
      </c>
      <c r="B9" s="23">
        <f>SUM(B4:B8)</f>
        <v>31800</v>
      </c>
      <c r="C9" s="23">
        <f t="shared" ref="C9:H9" si="1">SUM(C4:C8)</f>
        <v>72384</v>
      </c>
      <c r="D9" s="23">
        <f t="shared" si="1"/>
        <v>46575</v>
      </c>
      <c r="E9" s="23">
        <f t="shared" si="1"/>
        <v>45306</v>
      </c>
      <c r="F9" s="23">
        <f t="shared" si="1"/>
        <v>88140</v>
      </c>
      <c r="G9" s="23">
        <f t="shared" si="1"/>
        <v>174174</v>
      </c>
      <c r="H9" s="23">
        <f t="shared" si="1"/>
        <v>256630</v>
      </c>
      <c r="I9" s="23">
        <f>SUM(I4:I8)</f>
        <v>112744</v>
      </c>
      <c r="J9" s="23">
        <f>SUM(J4:J8)</f>
        <v>827753</v>
      </c>
    </row>
    <row r="11" spans="1:11" ht="16" x14ac:dyDescent="0.2">
      <c r="A11" s="24" t="s">
        <v>67</v>
      </c>
      <c r="B11" s="22" t="s">
        <v>7</v>
      </c>
      <c r="C11" s="22" t="s">
        <v>9</v>
      </c>
      <c r="D11" s="22" t="s">
        <v>10</v>
      </c>
      <c r="E11" s="22" t="s">
        <v>26</v>
      </c>
      <c r="F11" s="22" t="s">
        <v>27</v>
      </c>
      <c r="G11" s="22" t="s">
        <v>28</v>
      </c>
      <c r="H11" s="22" t="s">
        <v>64</v>
      </c>
      <c r="I11" s="22" t="s">
        <v>65</v>
      </c>
      <c r="J11" s="22" t="s">
        <v>98</v>
      </c>
    </row>
    <row r="12" spans="1:11" x14ac:dyDescent="0.2">
      <c r="A12" s="16" t="s">
        <v>16</v>
      </c>
      <c r="B12" s="26">
        <f>SUMIFS(Количество,ФИО_менеджера,$A12,Наименование_Товара,Отчет1!B$11,Дата,"&gt;="&amp;Начало_периода,Дата,"&lt;="&amp;Конец_периода) - SUMIFS(Количество_к_возврату,ФИО_менеджера,$A12,Наименование_Товара,Отчет1!B$11,Дата,"&gt;="&amp;Начало_периода,Дата,"&lt;="&amp;Конец_периода)</f>
        <v>255</v>
      </c>
      <c r="C12" s="26">
        <f>SUMIFS(Количество,ФИО_менеджера,$A12,Наименование_Товара,Отчет1!C$11,Дата,"&gt;="&amp;Начало_периода,Дата,"&lt;="&amp;Конец_периода) - SUMIFS(Количество_к_возврату,ФИО_менеджера,$A12,Наименование_Товара,Отчет1!C$11,Дата,"&gt;="&amp;Начало_периода,Дата,"&lt;="&amp;Конец_периода)</f>
        <v>189</v>
      </c>
      <c r="D12" s="26">
        <f>SUMIFS(Количество,ФИО_менеджера,$A12,Наименование_Товара,Отчет1!D$11,Дата,"&gt;="&amp;Начало_периода,Дата,"&lt;="&amp;Конец_периода) - SUMIFS(Количество_к_возврату,ФИО_менеджера,$A12,Наименование_Товара,Отчет1!D$11,Дата,"&gt;="&amp;Начало_периода,Дата,"&lt;="&amp;Конец_периода)</f>
        <v>56</v>
      </c>
      <c r="E12" s="26">
        <f>SUMIFS(Количество,ФИО_менеджера,$A12,Наименование_Товара,Отчет1!E$11,Дата,"&gt;="&amp;Начало_периода,Дата,"&lt;="&amp;Конец_периода) - SUMIFS(Количество_к_возврату,ФИО_менеджера,$A12,Наименование_Товара,Отчет1!E$11,Дата,"&gt;="&amp;Начало_периода,Дата,"&lt;="&amp;Конец_периода)</f>
        <v>0</v>
      </c>
      <c r="F12" s="26">
        <f>SUMIFS(Количество,ФИО_менеджера,$A12,Наименование_Товара,Отчет1!F$11,Дата,"&gt;="&amp;Начало_периода,Дата,"&lt;="&amp;Конец_периода) - SUMIFS(Количество_к_возврату,ФИО_менеджера,$A12,Наименование_Товара,Отчет1!F$11,Дата,"&gt;="&amp;Начало_периода,Дата,"&lt;="&amp;Конец_периода)</f>
        <v>170</v>
      </c>
      <c r="G12" s="26">
        <f>SUMIFS(Количество,ФИО_менеджера,$A12,Наименование_Товара,Отчет1!G$11,Дата,"&gt;="&amp;Начало_периода,Дата,"&lt;="&amp;Конец_периода) - SUMIFS(Количество_к_возврату,ФИО_менеджера,$A12,Наименование_Товара,Отчет1!G$11,Дата,"&gt;="&amp;Начало_периода,Дата,"&lt;="&amp;Конец_периода)</f>
        <v>176</v>
      </c>
      <c r="H12" s="26">
        <f>SUMIFS(Количество,ФИО_менеджера,$A12,Наименование_Товара,Отчет1!H$11,Дата,"&gt;="&amp;Начало_периода,Дата,"&lt;="&amp;Конец_периода) - SUMIFS(Количество_к_возврату,ФИО_менеджера,$A12,Наименование_Товара,Отчет1!H$11,Дата,"&gt;="&amp;Начало_периода,Дата,"&lt;="&amp;Конец_периода)</f>
        <v>915</v>
      </c>
      <c r="I12" s="26">
        <f>SUMIFS(Количество,ФИО_менеджера,$A12,Наименование_Товара,Отчет1!I$11,Дата,"&gt;="&amp;Начало_периода,Дата,"&lt;="&amp;Конец_периода) - SUMIFS(Количество_к_возврату,ФИО_менеджера,$A12,Наименование_Товара,Отчет1!I$11,Дата,"&gt;="&amp;Начало_периода,Дата,"&lt;="&amp;Конец_периода)</f>
        <v>100</v>
      </c>
      <c r="J12" s="16">
        <f>SUM(B12:I12)</f>
        <v>1861</v>
      </c>
    </row>
    <row r="13" spans="1:11" x14ac:dyDescent="0.2">
      <c r="A13" s="16" t="s">
        <v>17</v>
      </c>
      <c r="B13" s="26">
        <f>SUMIFS(Количество,ФИО_менеджера,$A13,Наименование_Товара,Отчет1!B$11,Дата,"&gt;="&amp;Начало_периода,Дата,"&lt;="&amp;Конец_периода) - SUMIFS(Количество_к_возврату,ФИО_менеджера,$A13,Наименование_Товара,Отчет1!B$11,Дата,"&gt;="&amp;Начало_периода,Дата,"&lt;="&amp;Конец_периода)</f>
        <v>236</v>
      </c>
      <c r="C13" s="26">
        <f>SUMIFS(Количество,ФИО_менеджера,$A13,Наименование_Товара,Отчет1!C$11,Дата,"&gt;="&amp;Начало_периода,Дата,"&lt;="&amp;Конец_периода) - SUMIFS(Количество_к_возврату,ФИО_менеджера,$A13,Наименование_Товара,Отчет1!C$11,Дата,"&gt;="&amp;Начало_периода,Дата,"&lt;="&amp;Конец_периода)</f>
        <v>716</v>
      </c>
      <c r="D13" s="26">
        <f>SUMIFS(Количество,ФИО_менеджера,$A13,Наименование_Товара,Отчет1!D$11,Дата,"&gt;="&amp;Начало_периода,Дата,"&lt;="&amp;Конец_периода) - SUMIFS(Количество_к_возврату,ФИО_менеджера,$A13,Наименование_Товара,Отчет1!D$11,Дата,"&gt;="&amp;Начало_периода,Дата,"&lt;="&amp;Конец_периода)</f>
        <v>180</v>
      </c>
      <c r="E13" s="26">
        <f>SUMIFS(Количество,ФИО_менеджера,$A13,Наименование_Товара,Отчет1!E$11,Дата,"&gt;="&amp;Начало_периода,Дата,"&lt;="&amp;Конец_периода) - SUMIFS(Количество_к_возврату,ФИО_менеджера,$A13,Наименование_Товара,Отчет1!E$11,Дата,"&gt;="&amp;Начало_периода,Дата,"&lt;="&amp;Конец_периода)</f>
        <v>100</v>
      </c>
      <c r="F13" s="26">
        <f>SUMIFS(Количество,ФИО_менеджера,$A13,Наименование_Товара,Отчет1!F$11,Дата,"&gt;="&amp;Начало_периода,Дата,"&lt;="&amp;Конец_периода) - SUMIFS(Количество_к_возврату,ФИО_менеджера,$A13,Наименование_Товара,Отчет1!F$11,Дата,"&gt;="&amp;Начало_периода,Дата,"&lt;="&amp;Конец_периода)</f>
        <v>280</v>
      </c>
      <c r="G13" s="26">
        <f>SUMIFS(Количество,ФИО_менеджера,$A13,Наименование_Товара,Отчет1!G$11,Дата,"&gt;="&amp;Начало_периода,Дата,"&lt;="&amp;Конец_периода) - SUMIFS(Количество_к_возврату,ФИО_менеджера,$A13,Наименование_Товара,Отчет1!G$11,Дата,"&gt;="&amp;Начало_периода,Дата,"&lt;="&amp;Конец_периода)</f>
        <v>750</v>
      </c>
      <c r="H13" s="26">
        <f>SUMIFS(Количество,ФИО_менеджера,$A13,Наименование_Товара,Отчет1!H$11,Дата,"&gt;="&amp;Начало_периода,Дата,"&lt;="&amp;Конец_периода) - SUMIFS(Количество_к_возврату,ФИО_менеджера,$A13,Наименование_Товара,Отчет1!H$11,Дата,"&gt;="&amp;Начало_периода,Дата,"&lt;="&amp;Конец_периода)</f>
        <v>645</v>
      </c>
      <c r="I13" s="26">
        <f>SUMIFS(Количество,ФИО_менеджера,$A13,Наименование_Товара,Отчет1!I$11,Дата,"&gt;="&amp;Начало_периода,Дата,"&lt;="&amp;Конец_периода) - SUMIFS(Количество_к_возврату,ФИО_менеджера,$A13,Наименование_Товара,Отчет1!I$11,Дата,"&gt;="&amp;Начало_периода,Дата,"&lt;="&amp;Конец_периода)</f>
        <v>149</v>
      </c>
      <c r="J13" s="16">
        <f t="shared" ref="J13:J18" si="2">SUM(B13:I13)</f>
        <v>3056</v>
      </c>
    </row>
    <row r="14" spans="1:11" x14ac:dyDescent="0.2">
      <c r="A14" s="16" t="s">
        <v>18</v>
      </c>
      <c r="B14" s="26">
        <f>SUMIFS(Количество,ФИО_менеджера,$A14,Наименование_Товара,Отчет1!B$11,Дата,"&gt;="&amp;Начало_периода,Дата,"&lt;="&amp;Конец_периода) - SUMIFS(Количество_к_возврату,ФИО_менеджера,$A14,Наименование_Товара,Отчет1!B$11,Дата,"&gt;="&amp;Начало_периода,Дата,"&lt;="&amp;Конец_периода)</f>
        <v>603</v>
      </c>
      <c r="C14" s="26">
        <f>SUMIFS(Количество,ФИО_менеджера,$A14,Наименование_Товара,Отчет1!C$11,Дата,"&gt;="&amp;Начало_периода,Дата,"&lt;="&amp;Конец_периода) - SUMIFS(Количество_к_возврату,ФИО_менеджера,$A14,Наименование_Товара,Отчет1!C$11,Дата,"&gt;="&amp;Начало_периода,Дата,"&lt;="&amp;Конец_периода)</f>
        <v>931</v>
      </c>
      <c r="D14" s="26">
        <f>SUMIFS(Количество,ФИО_менеджера,$A14,Наименование_Товара,Отчет1!D$11,Дата,"&gt;="&amp;Начало_периода,Дата,"&lt;="&amp;Конец_периода) - SUMIFS(Количество_к_возврату,ФИО_менеджера,$A14,Наименование_Товара,Отчет1!D$11,Дата,"&gt;="&amp;Начало_периода,Дата,"&lt;="&amp;Конец_периода)</f>
        <v>291</v>
      </c>
      <c r="E14" s="26">
        <f>SUMIFS(Количество,ФИО_менеджера,$A14,Наименование_Товара,Отчет1!E$11,Дата,"&gt;="&amp;Начало_периода,Дата,"&lt;="&amp;Конец_периода) - SUMIFS(Количество_к_возврату,ФИО_менеджера,$A14,Наименование_Товара,Отчет1!E$11,Дата,"&gt;="&amp;Начало_периода,Дата,"&lt;="&amp;Конец_периода)</f>
        <v>309</v>
      </c>
      <c r="F14" s="26">
        <f>SUMIFS(Количество,ФИО_менеджера,$A14,Наименование_Товара,Отчет1!F$11,Дата,"&gt;="&amp;Начало_периода,Дата,"&lt;="&amp;Конец_периода) - SUMIFS(Количество_к_возврату,ФИО_менеджера,$A14,Наименование_Товара,Отчет1!F$11,Дата,"&gt;="&amp;Начало_периода,Дата,"&lt;="&amp;Конец_периода)</f>
        <v>200</v>
      </c>
      <c r="G14" s="26">
        <f>SUMIFS(Количество,ФИО_менеджера,$A14,Наименование_Товара,Отчет1!G$11,Дата,"&gt;="&amp;Начало_периода,Дата,"&lt;="&amp;Конец_периода) - SUMIFS(Количество_к_возврату,ФИО_менеджера,$A14,Наименование_Товара,Отчет1!G$11,Дата,"&gt;="&amp;Начало_периода,Дата,"&lt;="&amp;Конец_периода)</f>
        <v>160</v>
      </c>
      <c r="H14" s="26">
        <f>SUMIFS(Количество,ФИО_менеджера,$A14,Наименование_Товара,Отчет1!H$11,Дата,"&gt;="&amp;Начало_периода,Дата,"&lt;="&amp;Конец_периода) - SUMIFS(Количество_к_возврату,ФИО_менеджера,$A14,Наименование_Товара,Отчет1!H$11,Дата,"&gt;="&amp;Начало_периода,Дата,"&lt;="&amp;Конец_периода)</f>
        <v>0</v>
      </c>
      <c r="I14" s="26">
        <f>SUMIFS(Количество,ФИО_менеджера,$A14,Наименование_Товара,Отчет1!I$11,Дата,"&gt;="&amp;Начало_периода,Дата,"&lt;="&amp;Конец_периода) - SUMIFS(Количество_к_возврату,ФИО_менеджера,$A14,Наименование_Товара,Отчет1!I$11,Дата,"&gt;="&amp;Начало_периода,Дата,"&lt;="&amp;Конец_периода)</f>
        <v>210</v>
      </c>
      <c r="J14" s="16">
        <f>SUM(B14:I14)</f>
        <v>2704</v>
      </c>
    </row>
    <row r="15" spans="1:11" x14ac:dyDescent="0.2">
      <c r="A15" s="16" t="s">
        <v>19</v>
      </c>
      <c r="B15" s="26">
        <f>SUMIFS(Количество,ФИО_менеджера,$A15,Наименование_Товара,Отчет1!B$11,Дата,"&gt;="&amp;Начало_периода,Дата,"&lt;="&amp;Конец_периода) - SUMIFS(Количество_к_возврату,ФИО_менеджера,$A15,Наименование_Товара,Отчет1!B$11,Дата,"&gt;="&amp;Начало_периода,Дата,"&lt;="&amp;Конец_периода)</f>
        <v>0</v>
      </c>
      <c r="C15" s="26">
        <f>SUMIFS(Количество,ФИО_менеджера,$A15,Наименование_Товара,Отчет1!C$11,Дата,"&gt;="&amp;Начало_периода,Дата,"&lt;="&amp;Конец_периода) - SUMIFS(Количество_к_возврату,ФИО_менеджера,$A15,Наименование_Товара,Отчет1!C$11,Дата,"&gt;="&amp;Начало_периода,Дата,"&lt;="&amp;Конец_периода)</f>
        <v>346</v>
      </c>
      <c r="D15" s="26">
        <f>SUMIFS(Количество,ФИО_менеджера,$A15,Наименование_Товара,Отчет1!D$11,Дата,"&gt;="&amp;Начало_периода,Дата,"&lt;="&amp;Конец_периода) - SUMIFS(Количество_к_возврату,ФИО_менеджера,$A15,Наименование_Товара,Отчет1!D$11,Дата,"&gt;="&amp;Начало_периода,Дата,"&lt;="&amp;Конец_периода)</f>
        <v>295</v>
      </c>
      <c r="E15" s="26">
        <f>SUMIFS(Количество,ФИО_менеджера,$A15,Наименование_Товара,Отчет1!E$11,Дата,"&gt;="&amp;Начало_периода,Дата,"&lt;="&amp;Конец_периода) - SUMIFS(Количество_к_возврату,ФИО_менеджера,$A15,Наименование_Товара,Отчет1!E$11,Дата,"&gt;="&amp;Начало_периода,Дата,"&lt;="&amp;Конец_периода)</f>
        <v>200</v>
      </c>
      <c r="F15" s="26">
        <f>SUMIFS(Количество,ФИО_менеджера,$A15,Наименование_Товара,Отчет1!F$11,Дата,"&gt;="&amp;Начало_периода,Дата,"&lt;="&amp;Конец_периода) - SUMIFS(Количество_к_возврату,ФИО_менеджера,$A15,Наименование_Товара,Отчет1!F$11,Дата,"&gt;="&amp;Начало_периода,Дата,"&lt;="&amp;Конец_периода)</f>
        <v>396</v>
      </c>
      <c r="G15" s="26">
        <f>SUMIFS(Количество,ФИО_менеджера,$A15,Наименование_Товара,Отчет1!G$11,Дата,"&gt;="&amp;Начало_периода,Дата,"&lt;="&amp;Конец_периода) - SUMIFS(Количество_к_возврату,ФИО_менеджера,$A15,Наименование_Товара,Отчет1!G$11,Дата,"&gt;="&amp;Начало_периода,Дата,"&lt;="&amp;Конец_периода)</f>
        <v>420</v>
      </c>
      <c r="H15" s="26">
        <f>SUMIFS(Количество,ФИО_менеджера,$A15,Наименование_Товара,Отчет1!H$11,Дата,"&gt;="&amp;Начало_периода,Дата,"&lt;="&amp;Конец_периода) - SUMIFS(Количество_к_возврату,ФИО_менеджера,$A15,Наименование_Товара,Отчет1!H$11,Дата,"&gt;="&amp;Начало_периода,Дата,"&lt;="&amp;Конец_периода)</f>
        <v>132</v>
      </c>
      <c r="I15" s="26">
        <f>SUMIFS(Количество,ФИО_менеджера,$A15,Наименование_Товара,Отчет1!I$11,Дата,"&gt;="&amp;Начало_периода,Дата,"&lt;="&amp;Конец_периода) - SUMIFS(Количество_к_возврату,ФИО_менеджера,$A15,Наименование_Товара,Отчет1!I$11,Дата,"&gt;="&amp;Начало_периода,Дата,"&lt;="&amp;Конец_периода)</f>
        <v>160</v>
      </c>
      <c r="J15" s="16">
        <f t="shared" si="2"/>
        <v>1949</v>
      </c>
    </row>
    <row r="16" spans="1:11" x14ac:dyDescent="0.2">
      <c r="A16" s="16" t="s">
        <v>20</v>
      </c>
      <c r="B16" s="26">
        <f>SUMIFS(Количество,ФИО_менеджера,$A16,Наименование_Товара,Отчет1!B$11,Дата,"&gt;="&amp;Начало_периода,Дата,"&lt;="&amp;Конец_периода) - SUMIFS(Количество_к_возврату,ФИО_менеджера,$A16,Наименование_Товара,Отчет1!B$11,Дата,"&gt;="&amp;Начало_периода,Дата,"&lt;="&amp;Конец_периода)</f>
        <v>178</v>
      </c>
      <c r="C16" s="26">
        <f>SUMIFS(Количество,ФИО_менеджера,$A16,Наименование_Товара,Отчет1!C$11,Дата,"&gt;="&amp;Начало_периода,Дата,"&lt;="&amp;Конец_периода) - SUMIFS(Количество_к_возврату,ФИО_менеджера,$A16,Наименование_Товара,Отчет1!C$11,Дата,"&gt;="&amp;Начало_периода,Дата,"&lt;="&amp;Конец_периода)</f>
        <v>80</v>
      </c>
      <c r="D16" s="26">
        <f>SUMIFS(Количество,ФИО_менеджера,$A16,Наименование_Товара,Отчет1!D$11,Дата,"&gt;="&amp;Начало_периода,Дата,"&lt;="&amp;Конец_периода) - SUMIFS(Количество_к_возврату,ФИО_менеджера,$A16,Наименование_Товара,Отчет1!D$11,Дата,"&gt;="&amp;Начало_периода,Дата,"&lt;="&amp;Конец_периода)</f>
        <v>213</v>
      </c>
      <c r="E16" s="26">
        <f>SUMIFS(Количество,ФИО_менеджера,$A16,Наименование_Товара,Отчет1!E$11,Дата,"&gt;="&amp;Начало_периода,Дата,"&lt;="&amp;Конец_периода) - SUMIFS(Количество_к_возврату,ФИО_менеджера,$A16,Наименование_Товара,Отчет1!E$11,Дата,"&gt;="&amp;Начало_периода,Дата,"&lt;="&amp;Конец_периода)</f>
        <v>230</v>
      </c>
      <c r="F16" s="26">
        <f>SUMIFS(Количество,ФИО_менеджера,$A16,Наименование_Товара,Отчет1!F$11,Дата,"&gt;="&amp;Начало_периода,Дата,"&lt;="&amp;Конец_периода) - SUMIFS(Количество_к_возврату,ФИО_менеджера,$A16,Наименование_Товара,Отчет1!F$11,Дата,"&gt;="&amp;Начало_периода,Дата,"&lt;="&amp;Конец_периода)</f>
        <v>310</v>
      </c>
      <c r="G16" s="26">
        <f>SUMIFS(Количество,ФИО_менеджера,$A16,Наименование_Товара,Отчет1!G$11,Дата,"&gt;="&amp;Начало_периода,Дата,"&lt;="&amp;Конец_периода) - SUMIFS(Количество_к_возврату,ФИО_менеджера,$A16,Наименование_Товара,Отчет1!G$11,Дата,"&gt;="&amp;Начало_периода,Дата,"&lt;="&amp;Конец_периода)</f>
        <v>496</v>
      </c>
      <c r="H16" s="26">
        <f>SUMIFS(Количество,ФИО_менеджера,$A16,Наименование_Товара,Отчет1!H$11,Дата,"&gt;="&amp;Начало_периода,Дата,"&lt;="&amp;Конец_периода) - SUMIFS(Количество_к_возврату,ФИО_менеджера,$A16,Наименование_Товара,Отчет1!H$11,Дата,"&gt;="&amp;Начало_периода,Дата,"&lt;="&amp;Конец_периода)</f>
        <v>641</v>
      </c>
      <c r="I16" s="26">
        <f>SUMIFS(Количество,ФИО_менеджера,$A16,Наименование_Товара,Отчет1!I$11,Дата,"&gt;="&amp;Начало_периода,Дата,"&lt;="&amp;Конец_периода) - SUMIFS(Количество_к_возврату,ФИО_менеджера,$A16,Наименование_Товара,Отчет1!I$11,Дата,"&gt;="&amp;Начало_периода,Дата,"&lt;="&amp;Конец_периода)</f>
        <v>210</v>
      </c>
      <c r="J16" s="16">
        <f t="shared" si="2"/>
        <v>2358</v>
      </c>
    </row>
    <row r="17" spans="1:11" x14ac:dyDescent="0.2">
      <c r="A17" s="24" t="s">
        <v>68</v>
      </c>
      <c r="B17" s="16">
        <f>SUMIFS(Количество,Наименование_Товара,Отчет1!B11,Дата,"&gt;="&amp;Начало_периода,Дата,"&lt;="&amp;Конец_периода)</f>
        <v>1372</v>
      </c>
      <c r="C17" s="16">
        <f>SUMIFS(Количество,Наименование_Товара,Отчет1!C11,Дата,"&gt;="&amp;Начало_периода,Дата,"&lt;="&amp;Конец_периода)</f>
        <v>2442</v>
      </c>
      <c r="D17" s="16">
        <f>SUMIFS(Количество,Наименование_Товара,Отчет1!D11,Дата,"&gt;="&amp;Начало_периода,Дата,"&lt;="&amp;Конец_периода)</f>
        <v>1139</v>
      </c>
      <c r="E17" s="16">
        <f>SUMIFS(Количество,Наименование_Товара,Отчет1!E11,Дата,"&gt;="&amp;Начало_периода,Дата,"&lt;="&amp;Конец_периода)</f>
        <v>889</v>
      </c>
      <c r="F17" s="16">
        <f>SUMIFS(Количество,Наименование_Товара,Отчет1!F11,Дата,"&gt;="&amp;Начало_периода,Дата,"&lt;="&amp;Конец_периода)</f>
        <v>1430</v>
      </c>
      <c r="G17" s="16">
        <f>SUMIFS(Количество,Наименование_Товара,Отчет1!G11,Дата,"&gt;="&amp;Начало_периода,Дата,"&lt;="&amp;Конец_периода)</f>
        <v>2122</v>
      </c>
      <c r="H17" s="16">
        <f>SUMIFS(Количество,Наименование_Товара,Отчет1!H11,Дата,"&gt;="&amp;Начало_периода,Дата,"&lt;="&amp;Конец_периода)</f>
        <v>2638</v>
      </c>
      <c r="I17" s="16">
        <f>SUMIFS(Количество,Наименование_Товара,Отчет1!I11,Дата,"&gt;="&amp;Начало_периода,Дата,"&lt;="&amp;Конец_периода)</f>
        <v>1039</v>
      </c>
      <c r="J17" s="16">
        <f t="shared" si="2"/>
        <v>13071</v>
      </c>
    </row>
    <row r="18" spans="1:11" x14ac:dyDescent="0.2">
      <c r="A18" s="25" t="s">
        <v>69</v>
      </c>
      <c r="B18" s="26">
        <f>SUMIFS(Количество_к_возврату,Наименование_Товара,Отчет1!B11,Дата,"&gt;="&amp;Начало_периода,Дата,"&lt;="&amp;Конец_периода)</f>
        <v>100</v>
      </c>
      <c r="C18" s="26">
        <f>SUMIFS(Количество_к_возврату,Наименование_Товара,Отчет1!C11,Дата,"&gt;="&amp;Начало_периода,Дата,"&lt;="&amp;Конец_периода)</f>
        <v>180</v>
      </c>
      <c r="D18" s="26">
        <f>SUMIFS(Количество_к_возврату,Наименование_Товара,Отчет1!D11,Дата,"&gt;="&amp;Начало_периода,Дата,"&lt;="&amp;Конец_периода)</f>
        <v>104</v>
      </c>
      <c r="E18" s="26">
        <f>SUMIFS(Количество_к_возврату,Наименование_Товара,Отчет1!E11,Дата,"&gt;="&amp;Начало_периода,Дата,"&lt;="&amp;Конец_периода)</f>
        <v>50</v>
      </c>
      <c r="F18" s="26">
        <f>SUMIFS(Количество_к_возврату,Наименование_Товара,Отчет1!F11,Дата,"&gt;="&amp;Начало_периода,Дата,"&lt;="&amp;Конец_периода)</f>
        <v>74</v>
      </c>
      <c r="G18" s="26">
        <f>SUMIFS(Количество_к_возврату,Наименование_Товара,Отчет1!G11,Дата,"&gt;="&amp;Начало_периода,Дата,"&lt;="&amp;Конец_периода)</f>
        <v>120</v>
      </c>
      <c r="H18" s="60">
        <f>SUMIFS(Количество_к_возврату,Наименование_Товара,Отчет1!H11,Дата,"&gt;="&amp;Начало_периода,Дата,"&lt;="&amp;Конец_периода)</f>
        <v>305</v>
      </c>
      <c r="I18" s="26">
        <f>SUMIFS(Количество_к_возврату,Наименование_Товара,Отчет1!I11,Дата,"&gt;="&amp;Начало_периода,Дата,"&lt;="&amp;Конец_периода)</f>
        <v>210</v>
      </c>
      <c r="J18" s="16">
        <f t="shared" si="2"/>
        <v>1143</v>
      </c>
    </row>
    <row r="19" spans="1:11" x14ac:dyDescent="0.2">
      <c r="A19" s="25" t="s">
        <v>97</v>
      </c>
      <c r="B19" s="16">
        <f t="shared" ref="B19:I19" si="3">B17-B18</f>
        <v>1272</v>
      </c>
      <c r="C19" s="16">
        <f t="shared" si="3"/>
        <v>2262</v>
      </c>
      <c r="D19" s="16">
        <f t="shared" si="3"/>
        <v>1035</v>
      </c>
      <c r="E19" s="16">
        <f t="shared" si="3"/>
        <v>839</v>
      </c>
      <c r="F19" s="16">
        <f t="shared" si="3"/>
        <v>1356</v>
      </c>
      <c r="G19" s="16">
        <f t="shared" si="3"/>
        <v>2002</v>
      </c>
      <c r="H19" s="16">
        <f t="shared" si="3"/>
        <v>2333</v>
      </c>
      <c r="I19" s="16">
        <f t="shared" si="3"/>
        <v>829</v>
      </c>
      <c r="J19" s="16">
        <f>SUM(B19:I19)</f>
        <v>11928</v>
      </c>
    </row>
    <row r="20" spans="1:11" x14ac:dyDescent="0.2">
      <c r="A20" s="27"/>
    </row>
    <row r="21" spans="1:11" ht="16" x14ac:dyDescent="0.2">
      <c r="A21" s="25" t="s">
        <v>70</v>
      </c>
      <c r="B21" s="22" t="s">
        <v>7</v>
      </c>
      <c r="C21" s="22" t="s">
        <v>9</v>
      </c>
      <c r="D21" s="22" t="s">
        <v>10</v>
      </c>
      <c r="E21" s="22" t="s">
        <v>26</v>
      </c>
      <c r="F21" s="22" t="s">
        <v>27</v>
      </c>
      <c r="G21" s="22" t="s">
        <v>28</v>
      </c>
      <c r="H21" s="22" t="s">
        <v>64</v>
      </c>
      <c r="I21" s="22" t="s">
        <v>65</v>
      </c>
      <c r="J21" s="22" t="s">
        <v>98</v>
      </c>
    </row>
    <row r="22" spans="1:11" x14ac:dyDescent="0.2">
      <c r="A22" s="16" t="s">
        <v>16</v>
      </c>
      <c r="B22" s="28">
        <f>COUNTIFS(ФИО_менеджера,Отчет1!$A22,Наименование_Товара,Отчет1!B$21,Дата,"&gt;="&amp;Начало_периода,Дата,"&lt;="&amp;Конец_периода)</f>
        <v>2</v>
      </c>
      <c r="C22" s="28">
        <f>COUNTIFS(ФИО_менеджера,Отчет1!$A22,Наименование_Товара,Отчет1!C$21,Дата,"&gt;="&amp;Начало_периода,Дата,"&lt;="&amp;Конец_периода)</f>
        <v>2</v>
      </c>
      <c r="D22" s="28">
        <f>COUNTIFS(ФИО_менеджера,Отчет1!$A22,Наименование_Товара,Отчет1!D$21,Дата,"&gt;="&amp;Начало_периода,Дата,"&lt;="&amp;Конец_периода)</f>
        <v>1</v>
      </c>
      <c r="E22" s="28">
        <f>COUNTIFS(ФИО_менеджера,Отчет1!$A22,Наименование_Товара,Отчет1!E$21,Дата,"&gt;="&amp;Начало_периода,Дата,"&lt;="&amp;Конец_периода)</f>
        <v>0</v>
      </c>
      <c r="F22" s="28">
        <f>COUNTIFS(ФИО_менеджера,Отчет1!$A22,Наименование_Товара,Отчет1!F$21,Дата,"&gt;="&amp;Начало_периода,Дата,"&lt;="&amp;Конец_периода)</f>
        <v>1</v>
      </c>
      <c r="G22" s="28">
        <f>COUNTIFS(ФИО_менеджера,Отчет1!$A22,Наименование_Товара,Отчет1!G$21,Дата,"&gt;="&amp;Начало_периода,Дата,"&lt;="&amp;Конец_периода)</f>
        <v>2</v>
      </c>
      <c r="H22" s="28">
        <f>COUNTIFS(ФИО_менеджера,Отчет1!$A22,Наименование_Товара,Отчет1!H$21,Дата,"&gt;="&amp;Начало_периода,Дата,"&lt;="&amp;Конец_периода)</f>
        <v>6</v>
      </c>
      <c r="I22" s="28">
        <f>COUNTIFS(ФИО_менеджера,Отчет1!$A22,Наименование_Товара,Отчет1!I$21,Дата,"&gt;="&amp;Начало_периода,Дата,"&lt;="&amp;Конец_периода)</f>
        <v>2</v>
      </c>
      <c r="J22" s="28">
        <f>SUM(B22:I22)</f>
        <v>16</v>
      </c>
      <c r="K22" s="29"/>
    </row>
    <row r="23" spans="1:11" x14ac:dyDescent="0.2">
      <c r="A23" s="16" t="s">
        <v>17</v>
      </c>
      <c r="B23" s="28">
        <f>COUNTIFS(ФИО_менеджера,Отчет1!$A23,Наименование_Товара,Отчет1!B$21,Дата,"&gt;="&amp;Начало_периода,Дата,"&lt;="&amp;Конец_периода)</f>
        <v>3</v>
      </c>
      <c r="C23" s="28">
        <f>COUNTIFS(ФИО_менеджера,Отчет1!$A23,Наименование_Товара,Отчет1!C$21,Дата,"&gt;="&amp;Начало_периода,Дата,"&lt;="&amp;Конец_периода)</f>
        <v>8</v>
      </c>
      <c r="D23" s="28">
        <f>COUNTIFS(ФИО_менеджера,Отчет1!$A23,Наименование_Товара,Отчет1!D$21,Дата,"&gt;="&amp;Начало_периода,Дата,"&lt;="&amp;Конец_периода)</f>
        <v>2</v>
      </c>
      <c r="E23" s="28">
        <f>COUNTIFS(ФИО_менеджера,Отчет1!$A23,Наименование_Товара,Отчет1!E$21,Дата,"&gt;="&amp;Начало_периода,Дата,"&lt;="&amp;Конец_периода)</f>
        <v>1</v>
      </c>
      <c r="F23" s="28">
        <f>COUNTIFS(ФИО_менеджера,Отчет1!$A23,Наименование_Товара,Отчет1!F$21,Дата,"&gt;="&amp;Начало_периода,Дата,"&lt;="&amp;Конец_периода)</f>
        <v>2</v>
      </c>
      <c r="G23" s="28">
        <f>COUNTIFS(ФИО_менеджера,Отчет1!$A23,Наименование_Товара,Отчет1!G$21,Дата,"&gt;="&amp;Начало_периода,Дата,"&lt;="&amp;Конец_периода)</f>
        <v>5</v>
      </c>
      <c r="H23" s="28">
        <f>COUNTIFS(ФИО_менеджера,Отчет1!$A23,Наименование_Товара,Отчет1!H$21,Дата,"&gt;="&amp;Начало_периода,Дата,"&lt;="&amp;Конец_периода)</f>
        <v>7</v>
      </c>
      <c r="I23" s="28">
        <f>COUNTIFS(ФИО_менеджера,Отчет1!$A23,Наименование_Товара,Отчет1!I$21,Дата,"&gt;="&amp;Начало_периода,Дата,"&lt;="&amp;Конец_периода)</f>
        <v>3</v>
      </c>
      <c r="J23" s="28">
        <f t="shared" ref="J23:J27" si="4">SUM(B23:I23)</f>
        <v>31</v>
      </c>
      <c r="K23" s="29"/>
    </row>
    <row r="24" spans="1:11" x14ac:dyDescent="0.2">
      <c r="A24" s="16" t="s">
        <v>18</v>
      </c>
      <c r="B24" s="28">
        <f>COUNTIFS(ФИО_менеджера,Отчет1!$A24,Наименование_Товара,Отчет1!B$21,Дата,"&gt;="&amp;Начало_периода,Дата,"&lt;="&amp;Конец_периода)</f>
        <v>7</v>
      </c>
      <c r="C24" s="28">
        <f>COUNTIFS(ФИО_менеджера,Отчет1!$A24,Наименование_Товара,Отчет1!C$21,Дата,"&gt;="&amp;Начало_периода,Дата,"&lt;="&amp;Конец_периода)</f>
        <v>7</v>
      </c>
      <c r="D24" s="28">
        <f>COUNTIFS(ФИО_менеджера,Отчет1!$A24,Наименование_Товара,Отчет1!D$21,Дата,"&gt;="&amp;Начало_периода,Дата,"&lt;="&amp;Конец_периода)</f>
        <v>3</v>
      </c>
      <c r="E24" s="28">
        <f>COUNTIFS(ФИО_менеджера,Отчет1!$A24,Наименование_Товара,Отчет1!E$21,Дата,"&gt;="&amp;Начало_периода,Дата,"&lt;="&amp;Конец_периода)</f>
        <v>3</v>
      </c>
      <c r="F24" s="28">
        <f>COUNTIFS(ФИО_менеджера,Отчет1!$A24,Наименование_Товара,Отчет1!F$21,Дата,"&gt;="&amp;Начало_периода,Дата,"&lt;="&amp;Конец_периода)</f>
        <v>3</v>
      </c>
      <c r="G24" s="28">
        <f>COUNTIFS(ФИО_менеджера,Отчет1!$A24,Наименование_Товара,Отчет1!G$21,Дата,"&gt;="&amp;Начало_периода,Дата,"&lt;="&amp;Конец_периода)</f>
        <v>2</v>
      </c>
      <c r="H24" s="28">
        <f>COUNTIFS(ФИО_менеджера,Отчет1!$A24,Наименование_Товара,Отчет1!H$21,Дата,"&gt;="&amp;Начало_периода,Дата,"&lt;="&amp;Конец_периода)</f>
        <v>0</v>
      </c>
      <c r="I24" s="28">
        <f>COUNTIFS(ФИО_менеджера,Отчет1!$A24,Наименование_Товара,Отчет1!I$21,Дата,"&gt;="&amp;Начало_периода,Дата,"&lt;="&amp;Конец_периода)</f>
        <v>2</v>
      </c>
      <c r="J24" s="28">
        <f t="shared" si="4"/>
        <v>27</v>
      </c>
      <c r="K24" s="29"/>
    </row>
    <row r="25" spans="1:11" x14ac:dyDescent="0.2">
      <c r="A25" s="16" t="s">
        <v>19</v>
      </c>
      <c r="B25" s="28">
        <f>COUNTIFS(ФИО_менеджера,Отчет1!$A25,Наименование_Товара,Отчет1!B$21,Дата,"&gt;="&amp;Начало_периода,Дата,"&lt;="&amp;Конец_периода)</f>
        <v>0</v>
      </c>
      <c r="C25" s="28">
        <f>COUNTIFS(ФИО_менеджера,Отчет1!$A25,Наименование_Товара,Отчет1!C$21,Дата,"&gt;="&amp;Начало_периода,Дата,"&lt;="&amp;Конец_периода)</f>
        <v>4</v>
      </c>
      <c r="D25" s="28">
        <f>COUNTIFS(ФИО_менеджера,Отчет1!$A25,Наименование_Товара,Отчет1!D$21,Дата,"&gt;="&amp;Начало_периода,Дата,"&lt;="&amp;Конец_периода)</f>
        <v>3</v>
      </c>
      <c r="E25" s="28">
        <f>COUNTIFS(ФИО_менеджера,Отчет1!$A25,Наименование_Товара,Отчет1!E$21,Дата,"&gt;="&amp;Начало_периода,Дата,"&lt;="&amp;Конец_периода)</f>
        <v>3</v>
      </c>
      <c r="F25" s="28">
        <f>COUNTIFS(ФИО_менеджера,Отчет1!$A25,Наименование_Товара,Отчет1!F$21,Дата,"&gt;="&amp;Начало_периода,Дата,"&lt;="&amp;Конец_периода)</f>
        <v>2</v>
      </c>
      <c r="G25" s="28">
        <f>COUNTIFS(ФИО_менеджера,Отчет1!$A25,Наименование_Товара,Отчет1!G$21,Дата,"&gt;="&amp;Начало_периода,Дата,"&lt;="&amp;Конец_периода)</f>
        <v>2</v>
      </c>
      <c r="H25" s="28">
        <f>COUNTIFS(ФИО_менеджера,Отчет1!$A25,Наименование_Товара,Отчет1!H$21,Дата,"&gt;="&amp;Начало_периода,Дата,"&lt;="&amp;Конец_периода)</f>
        <v>2</v>
      </c>
      <c r="I25" s="28">
        <f>COUNTIFS(ФИО_менеджера,Отчет1!$A25,Наименование_Товара,Отчет1!I$21,Дата,"&gt;="&amp;Начало_периода,Дата,"&lt;="&amp;Конец_периода)</f>
        <v>2</v>
      </c>
      <c r="J25" s="28">
        <f t="shared" si="4"/>
        <v>18</v>
      </c>
      <c r="K25" s="29"/>
    </row>
    <row r="26" spans="1:11" x14ac:dyDescent="0.2">
      <c r="A26" s="16" t="s">
        <v>20</v>
      </c>
      <c r="B26" s="28">
        <f>COUNTIFS(ФИО_менеджера,Отчет1!$A26,Наименование_Товара,Отчет1!B$21,Дата,"&gt;="&amp;Начало_периода,Дата,"&lt;="&amp;Конец_периода)</f>
        <v>2</v>
      </c>
      <c r="C26" s="28">
        <f>COUNTIFS(ФИО_менеджера,Отчет1!$A26,Наименование_Товара,Отчет1!C$21,Дата,"&gt;="&amp;Начало_периода,Дата,"&lt;="&amp;Конец_периода)</f>
        <v>1</v>
      </c>
      <c r="D26" s="28">
        <f>COUNTIFS(ФИО_менеджера,Отчет1!$A26,Наименование_Товара,Отчет1!D$21,Дата,"&gt;="&amp;Начало_периода,Дата,"&lt;="&amp;Конец_периода)</f>
        <v>1</v>
      </c>
      <c r="E26" s="28">
        <f>COUNTIFS(ФИО_менеджера,Отчет1!$A26,Наименование_Товара,Отчет1!E$21,Дата,"&gt;="&amp;Начало_периода,Дата,"&lt;="&amp;Конец_периода)</f>
        <v>2</v>
      </c>
      <c r="F26" s="28">
        <f>COUNTIFS(ФИО_менеджера,Отчет1!$A26,Наименование_Товара,Отчет1!F$21,Дата,"&gt;="&amp;Начало_периода,Дата,"&lt;="&amp;Конец_периода)</f>
        <v>2</v>
      </c>
      <c r="G26" s="28">
        <f>COUNTIFS(ФИО_менеджера,Отчет1!$A26,Наименование_Товара,Отчет1!G$21,Дата,"&gt;="&amp;Начало_периода,Дата,"&lt;="&amp;Конец_периода)</f>
        <v>3</v>
      </c>
      <c r="H26" s="28">
        <f>COUNTIFS(ФИО_менеджера,Отчет1!$A26,Наименование_Товара,Отчет1!H$21,Дата,"&gt;="&amp;Начало_периода,Дата,"&lt;="&amp;Конец_периода)</f>
        <v>5</v>
      </c>
      <c r="I26" s="28">
        <f>COUNTIFS(ФИО_менеджера,Отчет1!$A26,Наименование_Товара,Отчет1!I$21,Дата,"&gt;="&amp;Начало_периода,Дата,"&lt;="&amp;Конец_периода)</f>
        <v>2</v>
      </c>
      <c r="J26" s="28">
        <f t="shared" si="4"/>
        <v>18</v>
      </c>
      <c r="K26" s="29"/>
    </row>
    <row r="27" spans="1:11" x14ac:dyDescent="0.2">
      <c r="A27" s="16" t="s">
        <v>66</v>
      </c>
      <c r="B27" s="28">
        <f t="shared" ref="B27:I27" si="5">SUM(B22:B26)</f>
        <v>14</v>
      </c>
      <c r="C27" s="28">
        <f t="shared" si="5"/>
        <v>22</v>
      </c>
      <c r="D27" s="28">
        <f t="shared" si="5"/>
        <v>10</v>
      </c>
      <c r="E27" s="28">
        <f t="shared" si="5"/>
        <v>9</v>
      </c>
      <c r="F27" s="28">
        <f t="shared" si="5"/>
        <v>10</v>
      </c>
      <c r="G27" s="28">
        <f t="shared" si="5"/>
        <v>14</v>
      </c>
      <c r="H27" s="28">
        <f t="shared" si="5"/>
        <v>20</v>
      </c>
      <c r="I27" s="28">
        <f t="shared" si="5"/>
        <v>11</v>
      </c>
      <c r="J27" s="28">
        <f t="shared" si="4"/>
        <v>110</v>
      </c>
      <c r="K27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E28A-6C42-F04D-A16B-FD002D8ED281}">
  <dimension ref="A1:J25"/>
  <sheetViews>
    <sheetView showGridLines="0" zoomScale="91" workbookViewId="0">
      <selection activeCell="E8" sqref="E8"/>
    </sheetView>
  </sheetViews>
  <sheetFormatPr baseColWidth="10" defaultColWidth="9.1640625" defaultRowHeight="15" x14ac:dyDescent="0.2"/>
  <cols>
    <col min="1" max="1" width="29.83203125" style="37" customWidth="1"/>
    <col min="2" max="2" width="27.5" style="37" bestFit="1" customWidth="1"/>
    <col min="3" max="4" width="25" style="37" customWidth="1"/>
    <col min="5" max="5" width="39.5" style="37" bestFit="1" customWidth="1"/>
    <col min="6" max="6" width="9.1640625" style="37"/>
    <col min="7" max="7" width="18.83203125" style="37" customWidth="1"/>
    <col min="8" max="16384" width="9.1640625" style="37"/>
  </cols>
  <sheetData>
    <row r="1" spans="1:10" x14ac:dyDescent="0.2">
      <c r="A1" s="2" t="s">
        <v>75</v>
      </c>
      <c r="H1" s="39"/>
      <c r="I1" s="39"/>
      <c r="J1" s="39"/>
    </row>
    <row r="2" spans="1:10" x14ac:dyDescent="0.2">
      <c r="A2" s="24" t="s">
        <v>76</v>
      </c>
      <c r="D2" s="24" t="s">
        <v>77</v>
      </c>
      <c r="H2" s="39"/>
      <c r="I2" s="39"/>
      <c r="J2" s="39"/>
    </row>
    <row r="3" spans="1:10" x14ac:dyDescent="0.2">
      <c r="A3" s="38" t="s">
        <v>27</v>
      </c>
      <c r="D3" s="38" t="s">
        <v>19</v>
      </c>
      <c r="H3" s="39"/>
      <c r="I3" s="39"/>
      <c r="J3" s="39"/>
    </row>
    <row r="4" spans="1:10" x14ac:dyDescent="0.2">
      <c r="A4" s="39"/>
      <c r="G4" s="39"/>
      <c r="H4" s="39"/>
      <c r="I4" s="39"/>
      <c r="J4" s="39"/>
    </row>
    <row r="5" spans="1:10" x14ac:dyDescent="0.2">
      <c r="A5" s="2" t="s">
        <v>78</v>
      </c>
      <c r="H5" s="39"/>
      <c r="I5" s="39"/>
      <c r="J5" s="39"/>
    </row>
    <row r="6" spans="1:10" ht="17.25" customHeight="1" x14ac:dyDescent="0.2">
      <c r="A6" s="24" t="s">
        <v>79</v>
      </c>
      <c r="B6" s="24" t="s">
        <v>80</v>
      </c>
      <c r="D6" s="24" t="s">
        <v>81</v>
      </c>
      <c r="E6" s="24" t="s">
        <v>82</v>
      </c>
      <c r="H6" s="39"/>
      <c r="I6" s="11"/>
      <c r="J6" s="39"/>
    </row>
    <row r="7" spans="1:10" x14ac:dyDescent="0.2">
      <c r="A7" s="16" t="s">
        <v>16</v>
      </c>
      <c r="B7" s="40">
        <f>INDEX(Отчет1!$B$12:$I$16,MATCH($A7,Отчет1!$A$12:$A$16,0),MATCH($A$3,Отчет1!$B$11:$I$11,0))/SUM(INDEX(Отчет1!$B$12:$I$16,0,MATCH($A$3,Отчет1!$B$11:$I$11,0)))</f>
        <v>0.12536873156342182</v>
      </c>
      <c r="D7" s="16" t="s">
        <v>7</v>
      </c>
      <c r="E7" s="38">
        <f>INDEX(Отчет1!$B$22:$I$26,MATCH($D$3,Отчет1!$A$22:$A$26,0),MATCH($D7,Отчет1!$B$21:$I$21,0))/SUM(INDEX(Отчет1!$B$22:$I$26,0,MATCH($D7,Отчет1!$B$21:$I$21,0)))</f>
        <v>0</v>
      </c>
      <c r="H7" s="39"/>
      <c r="I7" s="39"/>
      <c r="J7" s="39"/>
    </row>
    <row r="8" spans="1:10" x14ac:dyDescent="0.2">
      <c r="A8" s="16" t="s">
        <v>17</v>
      </c>
      <c r="B8" s="40">
        <f>INDEX(Отчет1!$B$12:$I$16,MATCH($A8,Отчет1!$A$12:$A$16,0),MATCH($A$3,Отчет1!$B$11:$I$11,0))/SUM(INDEX(Отчет1!$B$12:$I$16,0,MATCH($A$3,Отчет1!$B$11:$I$11,0)))</f>
        <v>0.20648967551622419</v>
      </c>
      <c r="D8" s="16" t="s">
        <v>9</v>
      </c>
      <c r="E8" s="38">
        <f>INDEX(Отчет1!$B$22:$I$26,MATCH($D$3,Отчет1!$A$22:$A$26,0),MATCH($D8,Отчет1!$B$21:$I$21,0))/SUM(INDEX(Отчет1!$B$22:$I$26,0,MATCH($D8,Отчет1!$B$21:$I$21,0)))</f>
        <v>0.18181818181818182</v>
      </c>
      <c r="H8" s="39"/>
      <c r="I8" s="39"/>
      <c r="J8" s="39"/>
    </row>
    <row r="9" spans="1:10" x14ac:dyDescent="0.2">
      <c r="A9" s="16" t="s">
        <v>18</v>
      </c>
      <c r="B9" s="40">
        <f>INDEX(Отчет1!$B$12:$I$16,MATCH($A9,Отчет1!$A$12:$A$16,0),MATCH($A$3,Отчет1!$B$11:$I$11,0))/SUM(INDEX(Отчет1!$B$12:$I$16,0,MATCH($A$3,Отчет1!$B$11:$I$11,0)))</f>
        <v>0.14749262536873156</v>
      </c>
      <c r="D9" s="16" t="s">
        <v>10</v>
      </c>
      <c r="E9" s="38">
        <f>INDEX(Отчет1!$B$22:$I$26,MATCH($D$3,Отчет1!$A$22:$A$26,0),MATCH($D9,Отчет1!$B$21:$I$21,0))/SUM(INDEX(Отчет1!$B$22:$I$26,0,MATCH($D9,Отчет1!$B$21:$I$21,0)))</f>
        <v>0.3</v>
      </c>
      <c r="H9" s="39"/>
      <c r="I9" s="39"/>
      <c r="J9" s="39"/>
    </row>
    <row r="10" spans="1:10" x14ac:dyDescent="0.2">
      <c r="A10" s="16" t="s">
        <v>19</v>
      </c>
      <c r="B10" s="40">
        <f>INDEX(Отчет1!$B$12:$I$16,MATCH($A10,Отчет1!$A$12:$A$16,0),MATCH($A$3,Отчет1!$B$11:$I$11,0))/SUM(INDEX(Отчет1!$B$12:$I$16,0,MATCH($A$3,Отчет1!$B$11:$I$11,0)))</f>
        <v>0.29203539823008851</v>
      </c>
      <c r="D10" s="16" t="s">
        <v>26</v>
      </c>
      <c r="E10" s="38">
        <f>INDEX(Отчет1!$B$22:$I$26,MATCH($D$3,Отчет1!$A$22:$A$26,0),MATCH($D10,Отчет1!$B$21:$I$21,0))/SUM(INDEX(Отчет1!$B$22:$I$26,0,MATCH($D10,Отчет1!$B$21:$I$21,0)))</f>
        <v>0.33333333333333331</v>
      </c>
      <c r="H10" s="39"/>
      <c r="I10" s="39"/>
      <c r="J10" s="39"/>
    </row>
    <row r="11" spans="1:10" x14ac:dyDescent="0.2">
      <c r="A11" s="16" t="s">
        <v>20</v>
      </c>
      <c r="B11" s="40">
        <f>INDEX(Отчет1!$B$12:$I$16,MATCH($A11,Отчет1!$A$12:$A$16,0),MATCH($A$3,Отчет1!$B$11:$I$11,0))/SUM(INDEX(Отчет1!$B$12:$I$16,0,MATCH($A$3,Отчет1!$B$11:$I$11,0)))</f>
        <v>0.22861356932153393</v>
      </c>
      <c r="D11" s="16" t="s">
        <v>27</v>
      </c>
      <c r="E11" s="38">
        <f>INDEX(Отчет1!$B$22:$I$26,MATCH($D$3,Отчет1!$A$22:$A$26,0),MATCH($D11,Отчет1!$B$21:$I$21,0))/SUM(INDEX(Отчет1!$B$22:$I$26,0,MATCH($D11,Отчет1!$B$21:$I$21,0)))</f>
        <v>0.2</v>
      </c>
      <c r="H11" s="39"/>
      <c r="I11" s="39"/>
      <c r="J11" s="39"/>
    </row>
    <row r="12" spans="1:10" x14ac:dyDescent="0.2">
      <c r="A12" s="13"/>
      <c r="B12" s="41" t="str">
        <f>IF(SUM(B7:B11)=100%,"OK","ОШИБКА")</f>
        <v>OK</v>
      </c>
      <c r="C12" s="42"/>
      <c r="D12" s="16" t="s">
        <v>28</v>
      </c>
      <c r="E12" s="38">
        <f>INDEX(Отчет1!$B$22:$I$26,MATCH($D$3,Отчет1!$A$22:$A$26,0),MATCH($D12,Отчет1!$B$21:$I$21,0))/SUM(INDEX(Отчет1!$B$22:$I$26,0,MATCH($D12,Отчет1!$B$21:$I$21,0)))</f>
        <v>0.14285714285714285</v>
      </c>
      <c r="H12" s="39"/>
      <c r="I12" s="39"/>
      <c r="J12" s="39"/>
    </row>
    <row r="13" spans="1:10" x14ac:dyDescent="0.2">
      <c r="A13" s="13"/>
      <c r="B13" s="42"/>
      <c r="C13" s="42"/>
      <c r="D13" s="16" t="s">
        <v>64</v>
      </c>
      <c r="E13" s="38">
        <f>INDEX(Отчет1!$B$22:$I$26,MATCH($D$3,Отчет1!$A$22:$A$26,0),MATCH($D13,Отчет1!$B$21:$I$21,0))/SUM(INDEX(Отчет1!$B$22:$I$26,0,MATCH($D13,Отчет1!$B$21:$I$21,0)))</f>
        <v>0.1</v>
      </c>
      <c r="H13" s="39"/>
      <c r="I13" s="39"/>
      <c r="J13" s="39"/>
    </row>
    <row r="14" spans="1:10" x14ac:dyDescent="0.2">
      <c r="D14" s="16" t="s">
        <v>65</v>
      </c>
      <c r="E14" s="38">
        <f>INDEX(Отчет1!$B$22:$I$26,MATCH($D$3,Отчет1!$A$22:$A$26,0),MATCH($D14,Отчет1!$B$21:$I$21,0))/SUM(INDEX(Отчет1!$B$22:$I$26,0,MATCH($D14,Отчет1!$B$21:$I$21,0)))</f>
        <v>0.18181818181818182</v>
      </c>
      <c r="H14" s="39"/>
      <c r="I14" s="39"/>
      <c r="J14" s="39"/>
    </row>
    <row r="16" spans="1:10" x14ac:dyDescent="0.2">
      <c r="A16" s="43" t="s">
        <v>83</v>
      </c>
      <c r="B16" s="44">
        <f>Начало_периода</f>
        <v>42736</v>
      </c>
      <c r="C16" s="45" t="s">
        <v>84</v>
      </c>
      <c r="D16" s="46">
        <f>Конец_периода</f>
        <v>43028</v>
      </c>
      <c r="E16"/>
    </row>
    <row r="17" spans="1:4" x14ac:dyDescent="0.2">
      <c r="A17" s="24" t="s">
        <v>85</v>
      </c>
      <c r="B17" s="24" t="s">
        <v>86</v>
      </c>
      <c r="C17" s="24" t="s">
        <v>87</v>
      </c>
      <c r="D17" s="25" t="s">
        <v>88</v>
      </c>
    </row>
    <row r="18" spans="1:4" x14ac:dyDescent="0.2">
      <c r="A18" s="24" t="s">
        <v>89</v>
      </c>
      <c r="B18" s="58" t="str">
        <f>INDEX(Отчет1!B3:I3,0,MATCH(MAX(Отчет1!B9:I9),Отчет1!B9:I9,0))</f>
        <v>Полярный</v>
      </c>
      <c r="C18" s="58" t="str">
        <f>INDEX(Отчет1!B11:I11,0,MATCH(MAX(Отчет1!B17:I17),Отчет1!B17:I17,0))</f>
        <v>Полярный</v>
      </c>
      <c r="D18" s="38" t="str">
        <f>INDEX(Отчет1!B21:I21,0,MATCH(MAX(Отчет1!B27:I27),Отчет1!B27:I27,0))</f>
        <v>Печенье Вкусное</v>
      </c>
    </row>
    <row r="19" spans="1:4" ht="16" x14ac:dyDescent="0.2">
      <c r="A19" s="30" t="s">
        <v>90</v>
      </c>
      <c r="B19" s="61" t="str">
        <f>INDEX(Отчет1!A4:A8,MATCH(MAX(Отчет1!J4:J8),Отчет1!J4:J8,0),0)</f>
        <v>Григорьев Сергей Петрович</v>
      </c>
      <c r="C19" s="58" t="str">
        <f>INDEX(Отчет1!A12:A16,MATCH(MAX(Отчет1!J12:J16),Отчет1!J12:J16,0),0)</f>
        <v>Григорьев Сергей Петрович</v>
      </c>
      <c r="D19" s="38" t="str">
        <f>INDEX(Отчет1!A22:A26,MATCH(MAX(Отчет1!J22:J26),Отчет1!J22:J26,0),0)</f>
        <v>Григорьев Сергей Петрович</v>
      </c>
    </row>
    <row r="20" spans="1:4" x14ac:dyDescent="0.2">
      <c r="A20" s="25" t="s">
        <v>91</v>
      </c>
      <c r="B20" s="58" t="str">
        <f>INDEX(Отчет1!B3:I3,0,MATCH(MIN(Отчет1!B9:I9),Отчет1!B9:I9,0))</f>
        <v>Печенье Солнышко</v>
      </c>
      <c r="C20" s="58" t="str">
        <f>INDEX(Отчет1!B11:I11,0,MATCH(MIN(Отчет1!B17:I17),Отчет1!B17:I17,0))</f>
        <v>Снежок</v>
      </c>
      <c r="D20" s="38" t="str">
        <f>INDEX(Отчет1!B21:I21,0,MATCH(MIN(Отчет1!B27:I27),Отчет1!B27:I27,0))</f>
        <v>Снежок</v>
      </c>
    </row>
    <row r="21" spans="1:4" x14ac:dyDescent="0.2">
      <c r="A21" s="25" t="s">
        <v>92</v>
      </c>
      <c r="B21" s="58" t="str">
        <f>INDEX(Отчет1!A4:A8,MATCH(MIN(Отчет1!J4:J8),Отчет1!J4:J8,0),0)</f>
        <v>Поснова Ольга Евгеньевна</v>
      </c>
      <c r="C21" s="58" t="str">
        <f>INDEX(Отчет1!A12:A16,MATCH(MIN(Отчет1!J12:J16),Отчет1!J12:J16,0),0)</f>
        <v>Волокушин Иван Иванович</v>
      </c>
      <c r="D21" s="38" t="str">
        <f>INDEX(Отчет1!A22:A26,MATCH(MIN(Отчет1!J22:J26),Отчет1!J22:J26,0),0)</f>
        <v>Волокушин Иван Иванович</v>
      </c>
    </row>
    <row r="24" spans="1:4" ht="16" x14ac:dyDescent="0.2">
      <c r="A24" s="57"/>
    </row>
    <row r="25" spans="1:4" x14ac:dyDescent="0.2">
      <c r="A25"/>
    </row>
  </sheetData>
  <dataValidations count="2">
    <dataValidation type="list" allowBlank="1" showInputMessage="1" showErrorMessage="1" sqref="G4 D3" xr:uid="{24CF534C-F9E1-C24C-80C1-9007C7E0E922}">
      <formula1>ФИО1</formula1>
    </dataValidation>
    <dataValidation type="list" allowBlank="1" showInputMessage="1" showErrorMessage="1" sqref="A3:A4" xr:uid="{F82CB2E5-051F-A544-9D8D-D2CFB848E985}">
      <formula1>Товар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2B04-40E5-3241-B823-570688470799}">
  <dimension ref="A3:F9"/>
  <sheetViews>
    <sheetView workbookViewId="0">
      <selection activeCell="E15" sqref="E15"/>
    </sheetView>
  </sheetViews>
  <sheetFormatPr baseColWidth="10" defaultRowHeight="15" x14ac:dyDescent="0.2"/>
  <cols>
    <col min="1" max="1" width="23.6640625" bestFit="1" customWidth="1"/>
    <col min="2" max="2" width="28.5" bestFit="1" customWidth="1"/>
    <col min="3" max="3" width="23.33203125" bestFit="1" customWidth="1"/>
    <col min="4" max="4" width="23.5" bestFit="1" customWidth="1"/>
    <col min="5" max="5" width="22.6640625" bestFit="1" customWidth="1"/>
    <col min="6" max="6" width="24.5" bestFit="1" customWidth="1"/>
    <col min="7" max="7" width="10.6640625" bestFit="1" customWidth="1"/>
    <col min="8" max="8" width="22.6640625" bestFit="1" customWidth="1"/>
    <col min="9" max="9" width="28.5" bestFit="1" customWidth="1"/>
    <col min="10" max="10" width="24.5" bestFit="1" customWidth="1"/>
    <col min="11" max="11" width="28.5" bestFit="1" customWidth="1"/>
    <col min="12" max="12" width="26.83203125" bestFit="1" customWidth="1"/>
    <col min="13" max="13" width="32.6640625" bestFit="1" customWidth="1"/>
  </cols>
  <sheetData>
    <row r="3" spans="1:6" x14ac:dyDescent="0.2">
      <c r="A3" s="47" t="s">
        <v>45</v>
      </c>
      <c r="B3" t="s">
        <v>95</v>
      </c>
      <c r="D3" s="18" t="s">
        <v>19</v>
      </c>
      <c r="E3" s="18" t="str">
        <f>VLOOKUP(D3,'Информация Менеджеры'!$A$2:$B$6,2,0)</f>
        <v>Запад</v>
      </c>
      <c r="F3" s="19">
        <f>SUMIF(Таблица1[[#All],[ФИО менеджера]],D3,Таблица1[[#All],[Чистая стоимость]])</f>
        <v>146227</v>
      </c>
    </row>
    <row r="4" spans="1:6" x14ac:dyDescent="0.2">
      <c r="A4" s="48" t="s">
        <v>19</v>
      </c>
      <c r="B4" s="29">
        <v>146227</v>
      </c>
      <c r="D4" s="18" t="s">
        <v>16</v>
      </c>
      <c r="E4" s="18" t="str">
        <f>VLOOKUP(D4,'Информация Менеджеры'!$A$2:$B$6,2,0)</f>
        <v>Восток</v>
      </c>
      <c r="F4" s="19">
        <f>SUMIF(Таблица1[[#All],[ФИО менеджера]],D4,Таблица1[[#All],[Чистая стоимость]])</f>
        <v>184825</v>
      </c>
    </row>
    <row r="5" spans="1:6" x14ac:dyDescent="0.2">
      <c r="A5" s="48" t="s">
        <v>16</v>
      </c>
      <c r="B5" s="29">
        <v>184825</v>
      </c>
      <c r="D5" s="18" t="s">
        <v>17</v>
      </c>
      <c r="E5" s="18" t="str">
        <f>VLOOKUP(D5,'Информация Менеджеры'!$A$2:$B$6,2,0)</f>
        <v>Восток</v>
      </c>
      <c r="F5" s="19">
        <f>SUMIF(Таблица1[[#All],[ФИО менеджера]],D5,Таблица1[[#All],[Чистая стоимость]])</f>
        <v>245736</v>
      </c>
    </row>
    <row r="6" spans="1:6" x14ac:dyDescent="0.2">
      <c r="A6" s="48" t="s">
        <v>17</v>
      </c>
      <c r="B6" s="29">
        <v>245736</v>
      </c>
      <c r="D6" s="18" t="s">
        <v>18</v>
      </c>
      <c r="E6" s="18" t="str">
        <f>VLOOKUP(D6,'Информация Менеджеры'!$A$2:$B$6,2,0)</f>
        <v>Восток</v>
      </c>
      <c r="F6" s="19">
        <f>SUMIF(Таблица1[[#All],[ФИО менеджера]],D6,Таблица1[[#All],[Чистая стоимость]])</f>
        <v>171242</v>
      </c>
    </row>
    <row r="7" spans="1:6" x14ac:dyDescent="0.2">
      <c r="A7" s="48" t="s">
        <v>18</v>
      </c>
      <c r="B7" s="29">
        <v>171242</v>
      </c>
      <c r="D7" s="18" t="s">
        <v>20</v>
      </c>
      <c r="E7" s="18" t="str">
        <f>VLOOKUP(D7,'Информация Менеджеры'!$A$2:$B$6,2,0)</f>
        <v>Запад</v>
      </c>
      <c r="F7" s="19">
        <f>SUMIF(Таблица1[[#All],[ФИО менеджера]],D7,Таблица1[[#All],[Чистая стоимость]])</f>
        <v>202097</v>
      </c>
    </row>
    <row r="8" spans="1:6" x14ac:dyDescent="0.2">
      <c r="A8" s="48" t="s">
        <v>20</v>
      </c>
      <c r="B8" s="29">
        <v>202097</v>
      </c>
      <c r="D8" s="20" t="s">
        <v>40</v>
      </c>
      <c r="E8" s="18"/>
      <c r="F8" s="19">
        <f>SUM(F3:F7)</f>
        <v>950127</v>
      </c>
    </row>
    <row r="9" spans="1:6" x14ac:dyDescent="0.2">
      <c r="A9" s="48" t="s">
        <v>40</v>
      </c>
      <c r="B9" s="29">
        <v>950127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E882-944E-E64D-B4A7-EE3AF2C6372D}">
  <dimension ref="A3:F48"/>
  <sheetViews>
    <sheetView workbookViewId="0">
      <selection activeCell="I22" sqref="I22"/>
    </sheetView>
  </sheetViews>
  <sheetFormatPr baseColWidth="10" defaultRowHeight="15" x14ac:dyDescent="0.2"/>
  <cols>
    <col min="1" max="1" width="26.1640625" bestFit="1" customWidth="1"/>
    <col min="2" max="3" width="28.5" bestFit="1" customWidth="1"/>
    <col min="4" max="4" width="23.5" bestFit="1" customWidth="1"/>
    <col min="5" max="5" width="22.6640625" bestFit="1" customWidth="1"/>
    <col min="6" max="6" width="24.5" bestFit="1" customWidth="1"/>
    <col min="7" max="7" width="10.6640625" bestFit="1" customWidth="1"/>
  </cols>
  <sheetData>
    <row r="3" spans="1:6" x14ac:dyDescent="0.2">
      <c r="A3" s="47" t="s">
        <v>45</v>
      </c>
      <c r="B3" t="s">
        <v>95</v>
      </c>
      <c r="D3" s="20" t="s">
        <v>19</v>
      </c>
      <c r="E3" s="53" t="s">
        <v>65</v>
      </c>
      <c r="F3" s="16">
        <f>SUMIFS(Таблица1[Чистая стоимость],ФИО_менеджера,D3,Наименование_Товара,E3)</f>
        <v>25160</v>
      </c>
    </row>
    <row r="4" spans="1:6" x14ac:dyDescent="0.2">
      <c r="A4" s="48" t="s">
        <v>19</v>
      </c>
      <c r="B4" s="29">
        <v>146227</v>
      </c>
      <c r="D4" s="20" t="s">
        <v>19</v>
      </c>
      <c r="E4" s="53" t="s">
        <v>28</v>
      </c>
      <c r="F4" s="16">
        <f>SUMIFS(Таблица1[Чистая стоимость],ФИО_менеджера,D4,Наименование_Товара,E4)</f>
        <v>36540</v>
      </c>
    </row>
    <row r="5" spans="1:6" x14ac:dyDescent="0.2">
      <c r="A5" s="50" t="s">
        <v>65</v>
      </c>
      <c r="B5" s="29">
        <v>25160</v>
      </c>
      <c r="D5" s="20" t="s">
        <v>19</v>
      </c>
      <c r="E5" s="53" t="s">
        <v>27</v>
      </c>
      <c r="F5" s="16">
        <f>SUMIFS(Таблица1[Чистая стоимость],ФИО_менеджера,D5,Наименование_Товара,E5)</f>
        <v>30940</v>
      </c>
    </row>
    <row r="6" spans="1:6" x14ac:dyDescent="0.2">
      <c r="A6" s="50" t="s">
        <v>28</v>
      </c>
      <c r="B6" s="29">
        <v>36540</v>
      </c>
      <c r="D6" s="20" t="s">
        <v>19</v>
      </c>
      <c r="E6" s="53" t="s">
        <v>9</v>
      </c>
      <c r="F6" s="16">
        <f>SUMIFS(Таблица1[Чистая стоимость],ФИО_менеджера,D6,Наименование_Товара,E6)</f>
        <v>12992</v>
      </c>
    </row>
    <row r="7" spans="1:6" x14ac:dyDescent="0.2">
      <c r="A7" s="50" t="s">
        <v>27</v>
      </c>
      <c r="B7" s="29">
        <v>30940</v>
      </c>
      <c r="D7" s="20" t="s">
        <v>19</v>
      </c>
      <c r="E7" s="53" t="s">
        <v>10</v>
      </c>
      <c r="F7" s="16">
        <f>SUMIFS(Таблица1[Чистая стоимость],ФИО_менеджера,D7,Наименование_Товара,E7)</f>
        <v>13275</v>
      </c>
    </row>
    <row r="8" spans="1:6" x14ac:dyDescent="0.2">
      <c r="A8" s="50" t="s">
        <v>9</v>
      </c>
      <c r="B8" s="29">
        <v>12992</v>
      </c>
      <c r="D8" s="20" t="s">
        <v>19</v>
      </c>
      <c r="E8" s="53" t="s">
        <v>7</v>
      </c>
      <c r="F8" s="16">
        <f>SUMIFS(Таблица1[Чистая стоимость],ФИО_менеджера,D8,Наименование_Товара,E8)</f>
        <v>2000</v>
      </c>
    </row>
    <row r="9" spans="1:6" x14ac:dyDescent="0.2">
      <c r="A9" s="50" t="s">
        <v>10</v>
      </c>
      <c r="B9" s="29">
        <v>13275</v>
      </c>
      <c r="D9" s="20" t="s">
        <v>19</v>
      </c>
      <c r="E9" s="53" t="s">
        <v>64</v>
      </c>
      <c r="F9" s="16">
        <f>SUMIFS(Таблица1[Чистая стоимость],ФИО_менеджера,D9,Наименование_Товара,E9)</f>
        <v>14520</v>
      </c>
    </row>
    <row r="10" spans="1:6" x14ac:dyDescent="0.2">
      <c r="A10" s="50" t="s">
        <v>7</v>
      </c>
      <c r="B10" s="29">
        <v>2000</v>
      </c>
      <c r="D10" s="20" t="s">
        <v>19</v>
      </c>
      <c r="E10" s="53" t="s">
        <v>26</v>
      </c>
      <c r="F10" s="16">
        <f>SUMIFS(Таблица1[Чистая стоимость],ФИО_менеджера,D10,Наименование_Товара,E10)</f>
        <v>10800</v>
      </c>
    </row>
    <row r="11" spans="1:6" x14ac:dyDescent="0.2">
      <c r="A11" s="50" t="s">
        <v>64</v>
      </c>
      <c r="B11" s="29">
        <v>14520</v>
      </c>
      <c r="D11" s="20" t="s">
        <v>16</v>
      </c>
      <c r="E11" s="53" t="s">
        <v>65</v>
      </c>
      <c r="F11" s="16">
        <f>SUMIFS(Таблица1[Чистая стоимость],ФИО_менеджера,D11,Наименование_Товара,E11)</f>
        <v>31280</v>
      </c>
    </row>
    <row r="12" spans="1:6" x14ac:dyDescent="0.2">
      <c r="A12" s="50" t="s">
        <v>26</v>
      </c>
      <c r="B12" s="29">
        <v>10800</v>
      </c>
      <c r="D12" s="20" t="s">
        <v>16</v>
      </c>
      <c r="E12" s="53" t="s">
        <v>28</v>
      </c>
      <c r="F12" s="16">
        <f>SUMIFS(Таблица1[Чистая стоимость],ФИО_менеджера,D12,Наименование_Товара,E12)</f>
        <v>21402</v>
      </c>
    </row>
    <row r="13" spans="1:6" x14ac:dyDescent="0.2">
      <c r="A13" s="48" t="s">
        <v>16</v>
      </c>
      <c r="B13" s="29">
        <v>184825</v>
      </c>
      <c r="D13" s="20" t="s">
        <v>16</v>
      </c>
      <c r="E13" s="53" t="s">
        <v>27</v>
      </c>
      <c r="F13" s="16">
        <f>SUMIFS(Таблица1[Чистая стоимость],ФИО_менеджера,D13,Наименование_Товара,E13)</f>
        <v>11050</v>
      </c>
    </row>
    <row r="14" spans="1:6" x14ac:dyDescent="0.2">
      <c r="A14" s="50" t="s">
        <v>65</v>
      </c>
      <c r="B14" s="29">
        <v>31280</v>
      </c>
      <c r="D14" s="20" t="s">
        <v>16</v>
      </c>
      <c r="E14" s="53" t="s">
        <v>9</v>
      </c>
      <c r="F14" s="16">
        <f>SUMIFS(Таблица1[Чистая стоимость],ФИО_менеджера,D14,Наименование_Товара,E14)</f>
        <v>6048</v>
      </c>
    </row>
    <row r="15" spans="1:6" x14ac:dyDescent="0.2">
      <c r="A15" s="50" t="s">
        <v>28</v>
      </c>
      <c r="B15" s="29">
        <v>21402</v>
      </c>
      <c r="D15" s="20" t="s">
        <v>16</v>
      </c>
      <c r="E15" s="53" t="s">
        <v>10</v>
      </c>
      <c r="F15" s="16">
        <f>SUMIFS(Таблица1[Чистая стоимость],ФИО_менеджера,D15,Наименование_Товара,E15)</f>
        <v>2520</v>
      </c>
    </row>
    <row r="16" spans="1:6" x14ac:dyDescent="0.2">
      <c r="A16" s="50" t="s">
        <v>27</v>
      </c>
      <c r="B16" s="29">
        <v>11050</v>
      </c>
      <c r="D16" s="20" t="s">
        <v>16</v>
      </c>
      <c r="E16" s="53" t="s">
        <v>7</v>
      </c>
      <c r="F16" s="16">
        <f>SUMIFS(Таблица1[Чистая стоимость],ФИО_менеджера,D16,Наименование_Товара,E16)</f>
        <v>6375</v>
      </c>
    </row>
    <row r="17" spans="1:6" x14ac:dyDescent="0.2">
      <c r="A17" s="50" t="s">
        <v>9</v>
      </c>
      <c r="B17" s="29">
        <v>6048</v>
      </c>
      <c r="D17" s="20" t="s">
        <v>16</v>
      </c>
      <c r="E17" s="53" t="s">
        <v>64</v>
      </c>
      <c r="F17" s="16">
        <f>SUMIFS(Таблица1[Чистая стоимость],ФИО_менеджера,D17,Наименование_Товара,E17)</f>
        <v>106150</v>
      </c>
    </row>
    <row r="18" spans="1:6" x14ac:dyDescent="0.2">
      <c r="A18" s="50" t="s">
        <v>10</v>
      </c>
      <c r="B18" s="29">
        <v>2520</v>
      </c>
      <c r="D18" s="20" t="s">
        <v>17</v>
      </c>
      <c r="E18" s="53" t="s">
        <v>65</v>
      </c>
      <c r="F18" s="16">
        <f>SUMIFS(Таблица1[Чистая стоимость],ФИО_менеджера,D18,Наименование_Товара,E18)</f>
        <v>31144</v>
      </c>
    </row>
    <row r="19" spans="1:6" x14ac:dyDescent="0.2">
      <c r="A19" s="50" t="s">
        <v>7</v>
      </c>
      <c r="B19" s="29">
        <v>6375</v>
      </c>
      <c r="D19" s="20" t="s">
        <v>17</v>
      </c>
      <c r="E19" s="53" t="s">
        <v>28</v>
      </c>
      <c r="F19" s="16">
        <f>SUMIFS(Таблица1[Чистая стоимость],ФИО_менеджера,D19,Наименование_Товара,E19)</f>
        <v>71340</v>
      </c>
    </row>
    <row r="20" spans="1:6" x14ac:dyDescent="0.2">
      <c r="A20" s="50" t="s">
        <v>64</v>
      </c>
      <c r="B20" s="29">
        <v>106150</v>
      </c>
      <c r="D20" s="20" t="s">
        <v>17</v>
      </c>
      <c r="E20" s="53" t="s">
        <v>27</v>
      </c>
      <c r="F20" s="16">
        <f>SUMIFS(Таблица1[Чистая стоимость],ФИО_менеджера,D20,Наименование_Товара,E20)</f>
        <v>18200</v>
      </c>
    </row>
    <row r="21" spans="1:6" x14ac:dyDescent="0.2">
      <c r="A21" s="48" t="s">
        <v>17</v>
      </c>
      <c r="B21" s="29">
        <v>245736</v>
      </c>
      <c r="D21" s="20" t="s">
        <v>17</v>
      </c>
      <c r="E21" s="53" t="s">
        <v>9</v>
      </c>
      <c r="F21" s="16">
        <f>SUMIFS(Таблица1[Чистая стоимость],ФИО_менеджера,D21,Наименование_Товара,E21)</f>
        <v>22912</v>
      </c>
    </row>
    <row r="22" spans="1:6" x14ac:dyDescent="0.2">
      <c r="A22" s="50" t="s">
        <v>65</v>
      </c>
      <c r="B22" s="29">
        <v>31144</v>
      </c>
      <c r="D22" s="20" t="s">
        <v>17</v>
      </c>
      <c r="E22" s="53" t="s">
        <v>10</v>
      </c>
      <c r="F22" s="16">
        <f>SUMIFS(Таблица1[Чистая стоимость],ФИО_менеджера,D22,Наименование_Товара,E22)</f>
        <v>8100</v>
      </c>
    </row>
    <row r="23" spans="1:6" x14ac:dyDescent="0.2">
      <c r="A23" s="50" t="s">
        <v>28</v>
      </c>
      <c r="B23" s="29">
        <v>71340</v>
      </c>
      <c r="D23" s="20" t="s">
        <v>17</v>
      </c>
      <c r="E23" s="53" t="s">
        <v>7</v>
      </c>
      <c r="F23" s="16">
        <f>SUMIFS(Таблица1[Чистая стоимость],ФИО_менеджера,D23,Наименование_Товара,E23)</f>
        <v>5900</v>
      </c>
    </row>
    <row r="24" spans="1:6" x14ac:dyDescent="0.2">
      <c r="A24" s="50" t="s">
        <v>27</v>
      </c>
      <c r="B24" s="29">
        <v>18200</v>
      </c>
      <c r="D24" s="20" t="s">
        <v>17</v>
      </c>
      <c r="E24" s="53" t="s">
        <v>64</v>
      </c>
      <c r="F24" s="16">
        <f>SUMIFS(Таблица1[Чистая стоимость],ФИО_менеджера,D24,Наименование_Товара,E24)</f>
        <v>80850</v>
      </c>
    </row>
    <row r="25" spans="1:6" x14ac:dyDescent="0.2">
      <c r="A25" s="50" t="s">
        <v>9</v>
      </c>
      <c r="B25" s="29">
        <v>22912</v>
      </c>
      <c r="D25" s="20" t="s">
        <v>17</v>
      </c>
      <c r="E25" s="53" t="s">
        <v>26</v>
      </c>
      <c r="F25" s="16">
        <f>SUMIFS(Таблица1[Чистая стоимость],ФИО_менеджера,D25,Наименование_Товара,E25)</f>
        <v>7290</v>
      </c>
    </row>
    <row r="26" spans="1:6" x14ac:dyDescent="0.2">
      <c r="A26" s="50" t="s">
        <v>10</v>
      </c>
      <c r="B26" s="29">
        <v>8100</v>
      </c>
      <c r="D26" s="20" t="s">
        <v>18</v>
      </c>
      <c r="E26" s="53" t="s">
        <v>65</v>
      </c>
      <c r="F26" s="16">
        <f>SUMIFS(Таблица1[Чистая стоимость],ФИО_менеджера,D26,Наименование_Товара,E26)</f>
        <v>28560</v>
      </c>
    </row>
    <row r="27" spans="1:6" x14ac:dyDescent="0.2">
      <c r="A27" s="50" t="s">
        <v>7</v>
      </c>
      <c r="B27" s="29">
        <v>5900</v>
      </c>
      <c r="D27" s="20" t="s">
        <v>18</v>
      </c>
      <c r="E27" s="53" t="s">
        <v>28</v>
      </c>
      <c r="F27" s="16">
        <f>SUMIFS(Таблица1[Чистая стоимость],ФИО_менеджера,D27,Наименование_Товара,E27)</f>
        <v>13920</v>
      </c>
    </row>
    <row r="28" spans="1:6" x14ac:dyDescent="0.2">
      <c r="A28" s="50" t="s">
        <v>64</v>
      </c>
      <c r="B28" s="29">
        <v>80850</v>
      </c>
      <c r="D28" s="20" t="s">
        <v>18</v>
      </c>
      <c r="E28" s="53" t="s">
        <v>27</v>
      </c>
      <c r="F28" s="16">
        <f>SUMIFS(Таблица1[Чистая стоимость],ФИО_менеджера,D28,Наименование_Товара,E28)</f>
        <v>13000</v>
      </c>
    </row>
    <row r="29" spans="1:6" x14ac:dyDescent="0.2">
      <c r="A29" s="50" t="s">
        <v>26</v>
      </c>
      <c r="B29" s="29">
        <v>7290</v>
      </c>
      <c r="D29" s="20" t="s">
        <v>18</v>
      </c>
      <c r="E29" s="53" t="s">
        <v>9</v>
      </c>
      <c r="F29" s="16">
        <f>SUMIFS(Таблица1[Чистая стоимость],ФИО_менеджера,D29,Наименование_Товара,E29)</f>
        <v>29792</v>
      </c>
    </row>
    <row r="30" spans="1:6" x14ac:dyDescent="0.2">
      <c r="A30" s="48" t="s">
        <v>18</v>
      </c>
      <c r="B30" s="29">
        <v>171242</v>
      </c>
      <c r="D30" s="20" t="s">
        <v>18</v>
      </c>
      <c r="E30" s="53" t="s">
        <v>10</v>
      </c>
      <c r="F30" s="16">
        <f>SUMIFS(Таблица1[Чистая стоимость],ФИО_менеджера,D30,Наименование_Товара,E30)</f>
        <v>29745</v>
      </c>
    </row>
    <row r="31" spans="1:6" x14ac:dyDescent="0.2">
      <c r="A31" s="50" t="s">
        <v>65</v>
      </c>
      <c r="B31" s="29">
        <v>28560</v>
      </c>
      <c r="D31" s="20" t="s">
        <v>18</v>
      </c>
      <c r="E31" s="53" t="s">
        <v>7</v>
      </c>
      <c r="F31" s="16">
        <f>SUMIFS(Таблица1[Чистая стоимость],ФИО_менеджера,D31,Наименование_Товара,E31)</f>
        <v>25075</v>
      </c>
    </row>
    <row r="32" spans="1:6" x14ac:dyDescent="0.2">
      <c r="A32" s="50" t="s">
        <v>28</v>
      </c>
      <c r="B32" s="29">
        <v>13920</v>
      </c>
      <c r="D32" s="20" t="s">
        <v>18</v>
      </c>
      <c r="E32" s="53" t="s">
        <v>64</v>
      </c>
      <c r="F32" s="16">
        <f>SUMIFS(Таблица1[Чистая стоимость],ФИО_менеджера,D32,Наименование_Товара,E32)</f>
        <v>5500</v>
      </c>
    </row>
    <row r="33" spans="1:6" x14ac:dyDescent="0.2">
      <c r="A33" s="50" t="s">
        <v>27</v>
      </c>
      <c r="B33" s="29">
        <v>13000</v>
      </c>
      <c r="D33" s="20" t="s">
        <v>18</v>
      </c>
      <c r="E33" s="53" t="s">
        <v>26</v>
      </c>
      <c r="F33" s="16">
        <f>SUMIFS(Таблица1[Чистая стоимость],ФИО_менеджера,D33,Наименование_Товара,E33)</f>
        <v>25650</v>
      </c>
    </row>
    <row r="34" spans="1:6" x14ac:dyDescent="0.2">
      <c r="A34" s="50" t="s">
        <v>9</v>
      </c>
      <c r="B34" s="29">
        <v>29792</v>
      </c>
      <c r="D34" s="20" t="s">
        <v>20</v>
      </c>
      <c r="E34" s="53" t="s">
        <v>65</v>
      </c>
      <c r="F34" s="16">
        <f>SUMIFS(Таблица1[Чистая стоимость],ФИО_менеджера,D34,Наименование_Товара,E34)</f>
        <v>28560</v>
      </c>
    </row>
    <row r="35" spans="1:6" x14ac:dyDescent="0.2">
      <c r="A35" s="50" t="s">
        <v>10</v>
      </c>
      <c r="B35" s="29">
        <v>29745</v>
      </c>
      <c r="D35" s="20" t="s">
        <v>20</v>
      </c>
      <c r="E35" s="53" t="s">
        <v>28</v>
      </c>
      <c r="F35" s="16">
        <f>SUMIFS(Таблица1[Чистая стоимость],ФИО_менеджера,D35,Наименование_Товара,E35)</f>
        <v>43152</v>
      </c>
    </row>
    <row r="36" spans="1:6" x14ac:dyDescent="0.2">
      <c r="A36" s="50" t="s">
        <v>7</v>
      </c>
      <c r="B36" s="29">
        <v>25075</v>
      </c>
      <c r="D36" s="20" t="s">
        <v>20</v>
      </c>
      <c r="E36" s="53" t="s">
        <v>27</v>
      </c>
      <c r="F36" s="16">
        <f>SUMIFS(Таблица1[Чистая стоимость],ФИО_менеджера,D36,Наименование_Товара,E36)</f>
        <v>26000</v>
      </c>
    </row>
    <row r="37" spans="1:6" x14ac:dyDescent="0.2">
      <c r="A37" s="50" t="s">
        <v>64</v>
      </c>
      <c r="B37" s="29">
        <v>5500</v>
      </c>
      <c r="D37" s="20" t="s">
        <v>20</v>
      </c>
      <c r="E37" s="53" t="s">
        <v>9</v>
      </c>
      <c r="F37" s="16">
        <f>SUMIFS(Таблица1[Чистая стоимость],ФИО_менеджера,D37,Наименование_Товара,E37)</f>
        <v>2560</v>
      </c>
    </row>
    <row r="38" spans="1:6" x14ac:dyDescent="0.2">
      <c r="A38" s="50" t="s">
        <v>26</v>
      </c>
      <c r="B38" s="29">
        <v>25650</v>
      </c>
      <c r="D38" s="20" t="s">
        <v>20</v>
      </c>
      <c r="E38" s="53" t="s">
        <v>10</v>
      </c>
      <c r="F38" s="16">
        <f>SUMIFS(Таблица1[Чистая стоимость],ФИО_менеджера,D38,Наименование_Товара,E38)</f>
        <v>9585</v>
      </c>
    </row>
    <row r="39" spans="1:6" x14ac:dyDescent="0.2">
      <c r="A39" s="48" t="s">
        <v>20</v>
      </c>
      <c r="B39" s="29">
        <v>202097</v>
      </c>
      <c r="D39" s="20" t="s">
        <v>20</v>
      </c>
      <c r="E39" s="53" t="s">
        <v>7</v>
      </c>
      <c r="F39" s="16">
        <f>SUMIFS(Таблица1[Чистая стоимость],ФИО_менеджера,D39,Наименование_Товара,E39)</f>
        <v>4450</v>
      </c>
    </row>
    <row r="40" spans="1:6" x14ac:dyDescent="0.2">
      <c r="A40" s="50" t="s">
        <v>65</v>
      </c>
      <c r="B40" s="29">
        <v>28560</v>
      </c>
      <c r="D40" s="20" t="s">
        <v>20</v>
      </c>
      <c r="E40" s="53" t="s">
        <v>64</v>
      </c>
      <c r="F40" s="16">
        <f>SUMIFS(Таблица1[Чистая стоимость],ФИО_менеджера,D40,Наименование_Товара,E40)</f>
        <v>70510</v>
      </c>
    </row>
    <row r="41" spans="1:6" x14ac:dyDescent="0.2">
      <c r="A41" s="50" t="s">
        <v>28</v>
      </c>
      <c r="B41" s="29">
        <v>43152</v>
      </c>
      <c r="D41" s="20" t="s">
        <v>20</v>
      </c>
      <c r="E41" s="53" t="s">
        <v>26</v>
      </c>
      <c r="F41" s="16">
        <f>SUMIFS(Таблица1[Чистая стоимость],ФИО_менеджера,D41,Наименование_Товара,E41)</f>
        <v>17280</v>
      </c>
    </row>
    <row r="42" spans="1:6" x14ac:dyDescent="0.2">
      <c r="A42" s="50" t="s">
        <v>27</v>
      </c>
      <c r="B42" s="29">
        <v>26000</v>
      </c>
    </row>
    <row r="43" spans="1:6" x14ac:dyDescent="0.2">
      <c r="A43" s="50" t="s">
        <v>9</v>
      </c>
      <c r="B43" s="29">
        <v>2560</v>
      </c>
    </row>
    <row r="44" spans="1:6" x14ac:dyDescent="0.2">
      <c r="A44" s="50" t="s">
        <v>10</v>
      </c>
      <c r="B44" s="29">
        <v>9585</v>
      </c>
    </row>
    <row r="45" spans="1:6" x14ac:dyDescent="0.2">
      <c r="A45" s="50" t="s">
        <v>7</v>
      </c>
      <c r="B45" s="29">
        <v>4450</v>
      </c>
    </row>
    <row r="46" spans="1:6" x14ac:dyDescent="0.2">
      <c r="A46" s="50" t="s">
        <v>64</v>
      </c>
      <c r="B46" s="29">
        <v>70510</v>
      </c>
    </row>
    <row r="47" spans="1:6" x14ac:dyDescent="0.2">
      <c r="A47" s="50" t="s">
        <v>26</v>
      </c>
      <c r="B47" s="29">
        <v>17280</v>
      </c>
    </row>
    <row r="48" spans="1:6" x14ac:dyDescent="0.2">
      <c r="A48" s="48" t="s">
        <v>40</v>
      </c>
      <c r="B48" s="29">
        <v>950127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7EA3-9BB4-4D44-9D49-97B64171DAB6}">
  <dimension ref="A3:J19"/>
  <sheetViews>
    <sheetView workbookViewId="0">
      <selection activeCell="A39" sqref="A39"/>
    </sheetView>
  </sheetViews>
  <sheetFormatPr baseColWidth="10" defaultRowHeight="15" x14ac:dyDescent="0.2"/>
  <cols>
    <col min="1" max="1" width="28.5" bestFit="1" customWidth="1"/>
    <col min="2" max="2" width="19.1640625" bestFit="1" customWidth="1"/>
    <col min="3" max="3" width="11.5" bestFit="1" customWidth="1"/>
    <col min="4" max="4" width="7.83203125" bestFit="1" customWidth="1"/>
    <col min="5" max="5" width="14.83203125" bestFit="1" customWidth="1"/>
    <col min="6" max="6" width="14.33203125" bestFit="1" customWidth="1"/>
    <col min="7" max="7" width="17" bestFit="1" customWidth="1"/>
    <col min="8" max="8" width="9.5" bestFit="1" customWidth="1"/>
    <col min="9" max="9" width="7.33203125" bestFit="1" customWidth="1"/>
    <col min="10" max="10" width="10.6640625" bestFit="1" customWidth="1"/>
    <col min="11" max="11" width="36.6640625" bestFit="1" customWidth="1"/>
    <col min="12" max="12" width="26.83203125" bestFit="1" customWidth="1"/>
    <col min="13" max="13" width="40.6640625" bestFit="1" customWidth="1"/>
  </cols>
  <sheetData>
    <row r="3" spans="1:10" x14ac:dyDescent="0.2">
      <c r="A3" s="47" t="s">
        <v>95</v>
      </c>
      <c r="B3" s="47" t="s">
        <v>93</v>
      </c>
    </row>
    <row r="4" spans="1:10" x14ac:dyDescent="0.2">
      <c r="A4" s="47" t="s">
        <v>45</v>
      </c>
      <c r="B4" t="s">
        <v>65</v>
      </c>
      <c r="C4" t="s">
        <v>28</v>
      </c>
      <c r="D4" t="s">
        <v>27</v>
      </c>
      <c r="E4" t="s">
        <v>9</v>
      </c>
      <c r="F4" t="s">
        <v>10</v>
      </c>
      <c r="G4" t="s">
        <v>7</v>
      </c>
      <c r="H4" t="s">
        <v>64</v>
      </c>
      <c r="I4" t="s">
        <v>26</v>
      </c>
      <c r="J4" t="s">
        <v>40</v>
      </c>
    </row>
    <row r="5" spans="1:10" x14ac:dyDescent="0.2">
      <c r="A5" s="48" t="s">
        <v>19</v>
      </c>
      <c r="B5" s="29">
        <v>25160</v>
      </c>
      <c r="C5" s="29">
        <v>36540</v>
      </c>
      <c r="D5" s="29">
        <v>30940</v>
      </c>
      <c r="E5" s="29">
        <v>12992</v>
      </c>
      <c r="F5" s="29">
        <v>13275</v>
      </c>
      <c r="G5" s="29">
        <v>2000</v>
      </c>
      <c r="H5" s="29">
        <v>14520</v>
      </c>
      <c r="I5" s="29">
        <v>10800</v>
      </c>
      <c r="J5" s="29">
        <v>146227</v>
      </c>
    </row>
    <row r="6" spans="1:10" x14ac:dyDescent="0.2">
      <c r="A6" s="48" t="s">
        <v>16</v>
      </c>
      <c r="B6" s="29">
        <v>31280</v>
      </c>
      <c r="C6" s="29">
        <v>21402</v>
      </c>
      <c r="D6" s="29">
        <v>11050</v>
      </c>
      <c r="E6" s="29">
        <v>6048</v>
      </c>
      <c r="F6" s="29">
        <v>2520</v>
      </c>
      <c r="G6" s="29">
        <v>6375</v>
      </c>
      <c r="H6" s="29">
        <v>106150</v>
      </c>
      <c r="I6" s="29"/>
      <c r="J6" s="29">
        <v>184825</v>
      </c>
    </row>
    <row r="7" spans="1:10" x14ac:dyDescent="0.2">
      <c r="A7" s="48" t="s">
        <v>17</v>
      </c>
      <c r="B7" s="29">
        <v>31144</v>
      </c>
      <c r="C7" s="29">
        <v>71340</v>
      </c>
      <c r="D7" s="29">
        <v>18200</v>
      </c>
      <c r="E7" s="29">
        <v>22912</v>
      </c>
      <c r="F7" s="29">
        <v>8100</v>
      </c>
      <c r="G7" s="29">
        <v>5900</v>
      </c>
      <c r="H7" s="29">
        <v>80850</v>
      </c>
      <c r="I7" s="29">
        <v>7290</v>
      </c>
      <c r="J7" s="29">
        <v>245736</v>
      </c>
    </row>
    <row r="8" spans="1:10" x14ac:dyDescent="0.2">
      <c r="A8" s="48" t="s">
        <v>18</v>
      </c>
      <c r="B8" s="29">
        <v>28560</v>
      </c>
      <c r="C8" s="29">
        <v>13920</v>
      </c>
      <c r="D8" s="29">
        <v>13000</v>
      </c>
      <c r="E8" s="29">
        <v>29792</v>
      </c>
      <c r="F8" s="29">
        <v>29745</v>
      </c>
      <c r="G8" s="29">
        <v>25075</v>
      </c>
      <c r="H8" s="29">
        <v>5500</v>
      </c>
      <c r="I8" s="29">
        <v>25650</v>
      </c>
      <c r="J8" s="29">
        <v>171242</v>
      </c>
    </row>
    <row r="9" spans="1:10" x14ac:dyDescent="0.2">
      <c r="A9" s="48" t="s">
        <v>20</v>
      </c>
      <c r="B9" s="29">
        <v>28560</v>
      </c>
      <c r="C9" s="29">
        <v>43152</v>
      </c>
      <c r="D9" s="29">
        <v>26000</v>
      </c>
      <c r="E9" s="29">
        <v>2560</v>
      </c>
      <c r="F9" s="29">
        <v>9585</v>
      </c>
      <c r="G9" s="29">
        <v>4450</v>
      </c>
      <c r="H9" s="29">
        <v>70510</v>
      </c>
      <c r="I9" s="29">
        <v>17280</v>
      </c>
      <c r="J9" s="29">
        <v>202097</v>
      </c>
    </row>
    <row r="10" spans="1:10" x14ac:dyDescent="0.2">
      <c r="A10" s="48" t="s">
        <v>40</v>
      </c>
      <c r="B10" s="29">
        <v>144704</v>
      </c>
      <c r="C10" s="29">
        <v>186354</v>
      </c>
      <c r="D10" s="29">
        <v>99190</v>
      </c>
      <c r="E10" s="29">
        <v>74304</v>
      </c>
      <c r="F10" s="29">
        <v>63225</v>
      </c>
      <c r="G10" s="29">
        <v>43800</v>
      </c>
      <c r="H10" s="29">
        <v>277530</v>
      </c>
      <c r="I10" s="29">
        <v>61020</v>
      </c>
      <c r="J10" s="29">
        <v>950127</v>
      </c>
    </row>
    <row r="13" spans="1:10" x14ac:dyDescent="0.2">
      <c r="B13" s="49" t="s">
        <v>65</v>
      </c>
      <c r="C13" s="49" t="s">
        <v>28</v>
      </c>
      <c r="D13" s="49" t="s">
        <v>27</v>
      </c>
      <c r="E13" s="49" t="s">
        <v>9</v>
      </c>
      <c r="F13" s="49" t="s">
        <v>10</v>
      </c>
      <c r="G13" s="49" t="s">
        <v>7</v>
      </c>
      <c r="H13" s="49" t="s">
        <v>64</v>
      </c>
      <c r="I13" s="49" t="s">
        <v>26</v>
      </c>
      <c r="J13" s="49" t="s">
        <v>40</v>
      </c>
    </row>
    <row r="14" spans="1:10" x14ac:dyDescent="0.2">
      <c r="A14" s="48" t="s">
        <v>19</v>
      </c>
      <c r="B14">
        <f>SUMIFS(Таблица1[[#All],[Чистая стоимость]],Таблица1[[#All],[ФИО менеджера]],$A14,Таблица1[[#All],[Наименование Товара]],B$13)</f>
        <v>25160</v>
      </c>
      <c r="C14">
        <f>SUMIFS(Таблица1[[#All],[Чистая стоимость]],Таблица1[[#All],[ФИО менеджера]],$A14,Таблица1[[#All],[Наименование Товара]],C$13)</f>
        <v>36540</v>
      </c>
      <c r="D14">
        <f>SUMIFS(Таблица1[[#All],[Чистая стоимость]],Таблица1[[#All],[ФИО менеджера]],$A14,Таблица1[[#All],[Наименование Товара]],D$13)</f>
        <v>30940</v>
      </c>
      <c r="E14">
        <f>SUMIFS(Таблица1[[#All],[Чистая стоимость]],Таблица1[[#All],[ФИО менеджера]],$A14,Таблица1[[#All],[Наименование Товара]],E$13)</f>
        <v>12992</v>
      </c>
      <c r="F14">
        <f>SUMIFS(Таблица1[[#All],[Чистая стоимость]],Таблица1[[#All],[ФИО менеджера]],$A14,Таблица1[[#All],[Наименование Товара]],F$13)</f>
        <v>13275</v>
      </c>
      <c r="G14">
        <f>SUMIFS(Таблица1[[#All],[Чистая стоимость]],Таблица1[[#All],[ФИО менеджера]],$A14,Таблица1[[#All],[Наименование Товара]],G$13)</f>
        <v>2000</v>
      </c>
      <c r="H14">
        <f>SUMIFS(Таблица1[[#All],[Чистая стоимость]],Таблица1[[#All],[ФИО менеджера]],$A14,Таблица1[[#All],[Наименование Товара]],H$13)</f>
        <v>14520</v>
      </c>
      <c r="I14">
        <f>SUMIFS(Таблица1[[#All],[Чистая стоимость]],Таблица1[[#All],[ФИО менеджера]],$A14,Таблица1[[#All],[Наименование Товара]],I$13)</f>
        <v>10800</v>
      </c>
      <c r="J14">
        <f>SUM(B14:I14)</f>
        <v>146227</v>
      </c>
    </row>
    <row r="15" spans="1:10" x14ac:dyDescent="0.2">
      <c r="A15" s="48" t="s">
        <v>16</v>
      </c>
      <c r="B15">
        <f>SUMIFS(Таблица1[[#All],[Чистая стоимость]],Таблица1[[#All],[ФИО менеджера]],$A15,Таблица1[[#All],[Наименование Товара]],B$13)</f>
        <v>31280</v>
      </c>
      <c r="C15">
        <f>SUMIFS(Таблица1[[#All],[Чистая стоимость]],Таблица1[[#All],[ФИО менеджера]],$A15,Таблица1[[#All],[Наименование Товара]],C$13)</f>
        <v>21402</v>
      </c>
      <c r="D15">
        <f>SUMIFS(Таблица1[[#All],[Чистая стоимость]],Таблица1[[#All],[ФИО менеджера]],$A15,Таблица1[[#All],[Наименование Товара]],D$13)</f>
        <v>11050</v>
      </c>
      <c r="E15">
        <f>SUMIFS(Таблица1[[#All],[Чистая стоимость]],Таблица1[[#All],[ФИО менеджера]],$A15,Таблица1[[#All],[Наименование Товара]],E$13)</f>
        <v>6048</v>
      </c>
      <c r="F15">
        <f>SUMIFS(Таблица1[[#All],[Чистая стоимость]],Таблица1[[#All],[ФИО менеджера]],$A15,Таблица1[[#All],[Наименование Товара]],F$13)</f>
        <v>2520</v>
      </c>
      <c r="G15">
        <f>SUMIFS(Таблица1[[#All],[Чистая стоимость]],Таблица1[[#All],[ФИО менеджера]],$A15,Таблица1[[#All],[Наименование Товара]],G$13)</f>
        <v>6375</v>
      </c>
      <c r="H15">
        <f>SUMIFS(Таблица1[[#All],[Чистая стоимость]],Таблица1[[#All],[ФИО менеджера]],$A15,Таблица1[[#All],[Наименование Товара]],H$13)</f>
        <v>106150</v>
      </c>
      <c r="I15">
        <f>SUMIFS(Таблица1[[#All],[Чистая стоимость]],Таблица1[[#All],[ФИО менеджера]],$A15,Таблица1[[#All],[Наименование Товара]],I$13)</f>
        <v>0</v>
      </c>
      <c r="J15">
        <f t="shared" ref="J15:J18" si="0">SUM(B15:I15)</f>
        <v>184825</v>
      </c>
    </row>
    <row r="16" spans="1:10" x14ac:dyDescent="0.2">
      <c r="A16" s="48" t="s">
        <v>17</v>
      </c>
      <c r="B16">
        <f>SUMIFS(Таблица1[[#All],[Чистая стоимость]],Таблица1[[#All],[ФИО менеджера]],$A16,Таблица1[[#All],[Наименование Товара]],B$13)</f>
        <v>31144</v>
      </c>
      <c r="C16">
        <f>SUMIFS(Таблица1[[#All],[Чистая стоимость]],Таблица1[[#All],[ФИО менеджера]],$A16,Таблица1[[#All],[Наименование Товара]],C$13)</f>
        <v>71340</v>
      </c>
      <c r="D16">
        <f>SUMIFS(Таблица1[[#All],[Чистая стоимость]],Таблица1[[#All],[ФИО менеджера]],$A16,Таблица1[[#All],[Наименование Товара]],D$13)</f>
        <v>18200</v>
      </c>
      <c r="E16">
        <f>SUMIFS(Таблица1[[#All],[Чистая стоимость]],Таблица1[[#All],[ФИО менеджера]],$A16,Таблица1[[#All],[Наименование Товара]],E$13)</f>
        <v>22912</v>
      </c>
      <c r="F16">
        <f>SUMIFS(Таблица1[[#All],[Чистая стоимость]],Таблица1[[#All],[ФИО менеджера]],$A16,Таблица1[[#All],[Наименование Товара]],F$13)</f>
        <v>8100</v>
      </c>
      <c r="G16">
        <f>SUMIFS(Таблица1[[#All],[Чистая стоимость]],Таблица1[[#All],[ФИО менеджера]],$A16,Таблица1[[#All],[Наименование Товара]],G$13)</f>
        <v>5900</v>
      </c>
      <c r="H16">
        <f>SUMIFS(Таблица1[[#All],[Чистая стоимость]],Таблица1[[#All],[ФИО менеджера]],$A16,Таблица1[[#All],[Наименование Товара]],H$13)</f>
        <v>80850</v>
      </c>
      <c r="I16">
        <f>SUMIFS(Таблица1[[#All],[Чистая стоимость]],Таблица1[[#All],[ФИО менеджера]],$A16,Таблица1[[#All],[Наименование Товара]],I$13)</f>
        <v>7290</v>
      </c>
      <c r="J16">
        <f t="shared" si="0"/>
        <v>245736</v>
      </c>
    </row>
    <row r="17" spans="1:10" x14ac:dyDescent="0.2">
      <c r="A17" s="48" t="s">
        <v>18</v>
      </c>
      <c r="B17">
        <f>SUMIFS(Таблица1[[#All],[Чистая стоимость]],Таблица1[[#All],[ФИО менеджера]],$A17,Таблица1[[#All],[Наименование Товара]],B$13)</f>
        <v>28560</v>
      </c>
      <c r="C17">
        <f>SUMIFS(Таблица1[[#All],[Чистая стоимость]],Таблица1[[#All],[ФИО менеджера]],$A17,Таблица1[[#All],[Наименование Товара]],C$13)</f>
        <v>13920</v>
      </c>
      <c r="D17">
        <f>SUMIFS(Таблица1[[#All],[Чистая стоимость]],Таблица1[[#All],[ФИО менеджера]],$A17,Таблица1[[#All],[Наименование Товара]],D$13)</f>
        <v>13000</v>
      </c>
      <c r="E17">
        <f>SUMIFS(Таблица1[[#All],[Чистая стоимость]],Таблица1[[#All],[ФИО менеджера]],$A17,Таблица1[[#All],[Наименование Товара]],E$13)</f>
        <v>29792</v>
      </c>
      <c r="F17">
        <f>SUMIFS(Таблица1[[#All],[Чистая стоимость]],Таблица1[[#All],[ФИО менеджера]],$A17,Таблица1[[#All],[Наименование Товара]],F$13)</f>
        <v>29745</v>
      </c>
      <c r="G17">
        <f>SUMIFS(Таблица1[[#All],[Чистая стоимость]],Таблица1[[#All],[ФИО менеджера]],$A17,Таблица1[[#All],[Наименование Товара]],G$13)</f>
        <v>25075</v>
      </c>
      <c r="H17">
        <f>SUMIFS(Таблица1[[#All],[Чистая стоимость]],Таблица1[[#All],[ФИО менеджера]],$A17,Таблица1[[#All],[Наименование Товара]],H$13)</f>
        <v>5500</v>
      </c>
      <c r="I17">
        <f>SUMIFS(Таблица1[[#All],[Чистая стоимость]],Таблица1[[#All],[ФИО менеджера]],$A17,Таблица1[[#All],[Наименование Товара]],I$13)</f>
        <v>25650</v>
      </c>
      <c r="J17">
        <f t="shared" si="0"/>
        <v>171242</v>
      </c>
    </row>
    <row r="18" spans="1:10" x14ac:dyDescent="0.2">
      <c r="A18" s="48" t="s">
        <v>20</v>
      </c>
      <c r="B18">
        <f>SUMIFS(Таблица1[[#All],[Чистая стоимость]],Таблица1[[#All],[ФИО менеджера]],$A18,Таблица1[[#All],[Наименование Товара]],B$13)</f>
        <v>28560</v>
      </c>
      <c r="C18">
        <f>SUMIFS(Таблица1[[#All],[Чистая стоимость]],Таблица1[[#All],[ФИО менеджера]],$A18,Таблица1[[#All],[Наименование Товара]],C$13)</f>
        <v>43152</v>
      </c>
      <c r="D18">
        <f>SUMIFS(Таблица1[[#All],[Чистая стоимость]],Таблица1[[#All],[ФИО менеджера]],$A18,Таблица1[[#All],[Наименование Товара]],D$13)</f>
        <v>26000</v>
      </c>
      <c r="E18">
        <f>SUMIFS(Таблица1[[#All],[Чистая стоимость]],Таблица1[[#All],[ФИО менеджера]],$A18,Таблица1[[#All],[Наименование Товара]],E$13)</f>
        <v>2560</v>
      </c>
      <c r="F18">
        <f>SUMIFS(Таблица1[[#All],[Чистая стоимость]],Таблица1[[#All],[ФИО менеджера]],$A18,Таблица1[[#All],[Наименование Товара]],F$13)</f>
        <v>9585</v>
      </c>
      <c r="G18">
        <f>SUMIFS(Таблица1[[#All],[Чистая стоимость]],Таблица1[[#All],[ФИО менеджера]],$A18,Таблица1[[#All],[Наименование Товара]],G$13)</f>
        <v>4450</v>
      </c>
      <c r="H18">
        <f>SUMIFS(Таблица1[[#All],[Чистая стоимость]],Таблица1[[#All],[ФИО менеджера]],$A18,Таблица1[[#All],[Наименование Товара]],H$13)</f>
        <v>70510</v>
      </c>
      <c r="I18">
        <f>SUMIFS(Таблица1[[#All],[Чистая стоимость]],Таблица1[[#All],[ФИО менеджера]],$A18,Таблица1[[#All],[Наименование Товара]],I$13)</f>
        <v>17280</v>
      </c>
      <c r="J18">
        <f t="shared" si="0"/>
        <v>202097</v>
      </c>
    </row>
    <row r="19" spans="1:10" x14ac:dyDescent="0.2">
      <c r="A19" s="55" t="s">
        <v>40</v>
      </c>
      <c r="B19" s="56">
        <f>SUM(B14:B18)</f>
        <v>144704</v>
      </c>
      <c r="C19" s="56">
        <f t="shared" ref="C19:J19" si="1">SUM(C14:C18)</f>
        <v>186354</v>
      </c>
      <c r="D19" s="56">
        <f t="shared" si="1"/>
        <v>99190</v>
      </c>
      <c r="E19" s="56">
        <f t="shared" si="1"/>
        <v>74304</v>
      </c>
      <c r="F19" s="56">
        <f t="shared" si="1"/>
        <v>63225</v>
      </c>
      <c r="G19" s="56">
        <f t="shared" si="1"/>
        <v>43800</v>
      </c>
      <c r="H19" s="56">
        <f t="shared" si="1"/>
        <v>277530</v>
      </c>
      <c r="I19" s="56">
        <f t="shared" si="1"/>
        <v>61020</v>
      </c>
      <c r="J19" s="56">
        <f t="shared" si="1"/>
        <v>950127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AE13-61AB-1E43-9482-DAF9F339D7C7}">
  <dimension ref="A1:K131"/>
  <sheetViews>
    <sheetView workbookViewId="0">
      <pane ySplit="1" topLeftCell="A2" activePane="bottomLeft" state="frozen"/>
      <selection pane="bottomLeft" activeCell="I2" sqref="I2"/>
    </sheetView>
  </sheetViews>
  <sheetFormatPr baseColWidth="10" defaultColWidth="8.83203125" defaultRowHeight="15" x14ac:dyDescent="0.2"/>
  <cols>
    <col min="1" max="1" width="10.1640625" bestFit="1" customWidth="1"/>
    <col min="2" max="2" width="27.5" bestFit="1" customWidth="1"/>
    <col min="3" max="3" width="24.83203125" customWidth="1"/>
    <col min="4" max="4" width="23.6640625" customWidth="1"/>
    <col min="5" max="6" width="13.6640625" customWidth="1"/>
    <col min="7" max="7" width="16.6640625" customWidth="1"/>
    <col min="8" max="8" width="19.6640625" customWidth="1"/>
    <col min="9" max="9" width="16.6640625" customWidth="1"/>
    <col min="10" max="10" width="13.1640625" customWidth="1"/>
    <col min="11" max="11" width="17.6640625" customWidth="1"/>
  </cols>
  <sheetData>
    <row r="1" spans="1:11" s="1" customFormat="1" ht="29.25" customHeight="1" x14ac:dyDescent="0.2">
      <c r="A1" s="11" t="s">
        <v>23</v>
      </c>
      <c r="B1" s="11" t="s">
        <v>13</v>
      </c>
      <c r="C1" s="11" t="s">
        <v>0</v>
      </c>
      <c r="D1" s="11" t="s">
        <v>5</v>
      </c>
      <c r="E1" s="11" t="s">
        <v>22</v>
      </c>
      <c r="F1" s="11" t="s">
        <v>74</v>
      </c>
      <c r="G1" s="11" t="s">
        <v>21</v>
      </c>
      <c r="H1" s="30" t="s">
        <v>71</v>
      </c>
      <c r="I1" s="30" t="s">
        <v>72</v>
      </c>
      <c r="J1" s="1" t="s">
        <v>73</v>
      </c>
      <c r="K1" s="51" t="s">
        <v>94</v>
      </c>
    </row>
    <row r="2" spans="1:11" x14ac:dyDescent="0.2">
      <c r="A2" s="31">
        <v>42745</v>
      </c>
      <c r="B2" s="32" t="s">
        <v>17</v>
      </c>
      <c r="C2" s="32" t="s">
        <v>4</v>
      </c>
      <c r="D2" s="32" t="s">
        <v>10</v>
      </c>
      <c r="E2" s="32">
        <v>120</v>
      </c>
      <c r="F2" s="32">
        <f>VLOOKUP(Таблица1[[#This Row],[Наименование Товара]],Товары_цена[],3,0)</f>
        <v>45</v>
      </c>
      <c r="G2" s="33">
        <f>Таблица1[[#This Row],[Количество]]*Таблица1[[#This Row],[Цена]]</f>
        <v>5400</v>
      </c>
      <c r="H2" s="34">
        <v>42751</v>
      </c>
      <c r="I2" s="35">
        <v>20</v>
      </c>
      <c r="J2" s="35">
        <f>Таблица1[[#This Row],[Количество к возврату]]*Таблица1[[#This Row],[Цена]]</f>
        <v>900</v>
      </c>
      <c r="K2" s="52">
        <f>Таблица1[[#This Row],[Стоимость]]-Таблица1[[#This Row],[Стоимость возврата]]</f>
        <v>4500</v>
      </c>
    </row>
    <row r="3" spans="1:11" x14ac:dyDescent="0.2">
      <c r="A3" s="31">
        <v>42746</v>
      </c>
      <c r="B3" s="32" t="s">
        <v>17</v>
      </c>
      <c r="C3" s="32" t="s">
        <v>4</v>
      </c>
      <c r="D3" s="32" t="s">
        <v>9</v>
      </c>
      <c r="E3" s="32">
        <v>110</v>
      </c>
      <c r="F3" s="32">
        <f>VLOOKUP(Таблица1[[#This Row],[Наименование Товара]],Товары_цена[],3,0)</f>
        <v>32</v>
      </c>
      <c r="G3" s="33">
        <f>Таблица1[[#This Row],[Количество]]*Таблица1[[#This Row],[Цена]]</f>
        <v>3520</v>
      </c>
      <c r="H3" s="32"/>
      <c r="I3" s="32"/>
      <c r="J3" s="32">
        <f>Таблица1[[#This Row],[Количество к возврату]]*Таблица1[[#This Row],[Цена]]</f>
        <v>0</v>
      </c>
      <c r="K3" s="52">
        <f>Таблица1[[#This Row],[Стоимость]]-Таблица1[[#This Row],[Стоимость возврата]]</f>
        <v>3520</v>
      </c>
    </row>
    <row r="4" spans="1:11" x14ac:dyDescent="0.2">
      <c r="A4" s="31">
        <v>42747</v>
      </c>
      <c r="B4" s="32" t="s">
        <v>20</v>
      </c>
      <c r="C4" s="32" t="s">
        <v>3</v>
      </c>
      <c r="D4" s="32" t="s">
        <v>65</v>
      </c>
      <c r="E4" s="32">
        <v>110</v>
      </c>
      <c r="F4" s="32">
        <f>VLOOKUP(Таблица1[[#This Row],[Наименование Товара]],Товары_цена[],3,0)</f>
        <v>136</v>
      </c>
      <c r="G4" s="33">
        <f>Таблица1[[#This Row],[Количество]]*Таблица1[[#This Row],[Цена]]</f>
        <v>14960</v>
      </c>
      <c r="H4" s="32"/>
      <c r="I4" s="32"/>
      <c r="J4" s="32">
        <f>Таблица1[[#This Row],[Количество к возврату]]*Таблица1[[#This Row],[Цена]]</f>
        <v>0</v>
      </c>
      <c r="K4" s="52">
        <f>Таблица1[[#This Row],[Стоимость]]-Таблица1[[#This Row],[Стоимость возврата]]</f>
        <v>14960</v>
      </c>
    </row>
    <row r="5" spans="1:11" x14ac:dyDescent="0.2">
      <c r="A5" s="31">
        <v>42752</v>
      </c>
      <c r="B5" s="32" t="s">
        <v>18</v>
      </c>
      <c r="C5" s="32" t="s">
        <v>2</v>
      </c>
      <c r="D5" s="32" t="s">
        <v>7</v>
      </c>
      <c r="E5" s="32">
        <v>70</v>
      </c>
      <c r="F5" s="32">
        <f>VLOOKUP(Таблица1[[#This Row],[Наименование Товара]],Товары_цена[],3,0)</f>
        <v>25</v>
      </c>
      <c r="G5" s="33">
        <f>Таблица1[[#This Row],[Количество]]*Таблица1[[#This Row],[Цена]]</f>
        <v>1750</v>
      </c>
      <c r="H5" s="32"/>
      <c r="I5" s="32"/>
      <c r="J5" s="32">
        <f>Таблица1[[#This Row],[Количество к возврату]]*Таблица1[[#This Row],[Цена]]</f>
        <v>0</v>
      </c>
      <c r="K5" s="52">
        <f>Таблица1[[#This Row],[Стоимость]]-Таблица1[[#This Row],[Стоимость возврата]]</f>
        <v>1750</v>
      </c>
    </row>
    <row r="6" spans="1:11" x14ac:dyDescent="0.2">
      <c r="A6" s="31">
        <v>42754</v>
      </c>
      <c r="B6" s="32" t="s">
        <v>17</v>
      </c>
      <c r="C6" s="32" t="s">
        <v>2</v>
      </c>
      <c r="D6" s="32" t="s">
        <v>7</v>
      </c>
      <c r="E6" s="32">
        <v>78</v>
      </c>
      <c r="F6" s="32">
        <f>VLOOKUP(Таблица1[[#This Row],[Наименование Товара]],Товары_цена[],3,0)</f>
        <v>25</v>
      </c>
      <c r="G6" s="33">
        <f>Таблица1[[#This Row],[Количество]]*Таблица1[[#This Row],[Цена]]</f>
        <v>1950</v>
      </c>
      <c r="H6" s="32"/>
      <c r="I6" s="32"/>
      <c r="J6" s="32">
        <f>Таблица1[[#This Row],[Количество к возврату]]*Таблица1[[#This Row],[Цена]]</f>
        <v>0</v>
      </c>
      <c r="K6" s="52">
        <f>Таблица1[[#This Row],[Стоимость]]-Таблица1[[#This Row],[Стоимость возврата]]</f>
        <v>1950</v>
      </c>
    </row>
    <row r="7" spans="1:11" x14ac:dyDescent="0.2">
      <c r="A7" s="31">
        <v>42759</v>
      </c>
      <c r="B7" s="32" t="s">
        <v>16</v>
      </c>
      <c r="C7" s="32" t="s">
        <v>4</v>
      </c>
      <c r="D7" s="32" t="s">
        <v>65</v>
      </c>
      <c r="E7" s="32">
        <v>120</v>
      </c>
      <c r="F7" s="32">
        <f>VLOOKUP(Таблица1[[#This Row],[Наименование Товара]],Товары_цена[],3,0)</f>
        <v>136</v>
      </c>
      <c r="G7" s="33">
        <f>Таблица1[[#This Row],[Количество]]*Таблица1[[#This Row],[Цена]]</f>
        <v>16320</v>
      </c>
      <c r="H7" s="31">
        <v>42765</v>
      </c>
      <c r="I7" s="32">
        <v>80</v>
      </c>
      <c r="J7" s="32">
        <f>Таблица1[[#This Row],[Количество к возврату]]*Таблица1[[#This Row],[Цена]]</f>
        <v>10880</v>
      </c>
      <c r="K7" s="52">
        <f>Таблица1[[#This Row],[Стоимость]]-Таблица1[[#This Row],[Стоимость возврата]]</f>
        <v>5440</v>
      </c>
    </row>
    <row r="8" spans="1:11" x14ac:dyDescent="0.2">
      <c r="A8" s="31">
        <v>42759</v>
      </c>
      <c r="B8" s="32" t="s">
        <v>20</v>
      </c>
      <c r="C8" s="32" t="s">
        <v>3</v>
      </c>
      <c r="D8" s="32" t="s">
        <v>27</v>
      </c>
      <c r="E8" s="32">
        <v>230</v>
      </c>
      <c r="F8" s="32">
        <f>VLOOKUP(Таблица1[[#This Row],[Наименование Товара]],Товары_цена[],3,0)</f>
        <v>65</v>
      </c>
      <c r="G8" s="33">
        <f>Таблица1[[#This Row],[Количество]]*Таблица1[[#This Row],[Цена]]</f>
        <v>14950</v>
      </c>
      <c r="H8" s="32"/>
      <c r="I8" s="32"/>
      <c r="J8" s="32">
        <f>Таблица1[[#This Row],[Количество к возврату]]*Таблица1[[#This Row],[Цена]]</f>
        <v>0</v>
      </c>
      <c r="K8" s="52">
        <f>Таблица1[[#This Row],[Стоимость]]-Таблица1[[#This Row],[Стоимость возврата]]</f>
        <v>14950</v>
      </c>
    </row>
    <row r="9" spans="1:11" x14ac:dyDescent="0.2">
      <c r="A9" s="31">
        <v>42760</v>
      </c>
      <c r="B9" s="32" t="s">
        <v>16</v>
      </c>
      <c r="C9" s="32" t="s">
        <v>2</v>
      </c>
      <c r="D9" s="32" t="s">
        <v>9</v>
      </c>
      <c r="E9" s="32">
        <v>100</v>
      </c>
      <c r="F9" s="32">
        <f>VLOOKUP(Таблица1[[#This Row],[Наименование Товара]],Товары_цена[],3,0)</f>
        <v>32</v>
      </c>
      <c r="G9" s="33">
        <f>Таблица1[[#This Row],[Количество]]*Таблица1[[#This Row],[Цена]]</f>
        <v>3200</v>
      </c>
      <c r="H9" s="32"/>
      <c r="I9" s="32"/>
      <c r="J9" s="32">
        <f>Таблица1[[#This Row],[Количество к возврату]]*Таблица1[[#This Row],[Цена]]</f>
        <v>0</v>
      </c>
      <c r="K9" s="52">
        <f>Таблица1[[#This Row],[Стоимость]]-Таблица1[[#This Row],[Стоимость возврата]]</f>
        <v>3200</v>
      </c>
    </row>
    <row r="10" spans="1:11" x14ac:dyDescent="0.2">
      <c r="A10" s="31">
        <v>42766</v>
      </c>
      <c r="B10" s="32" t="s">
        <v>18</v>
      </c>
      <c r="C10" s="32" t="s">
        <v>4</v>
      </c>
      <c r="D10" s="32" t="s">
        <v>26</v>
      </c>
      <c r="E10" s="32">
        <v>129</v>
      </c>
      <c r="F10" s="32">
        <f>VLOOKUP(Таблица1[[#This Row],[Наименование Товара]],Товары_цена[],3,0)</f>
        <v>54</v>
      </c>
      <c r="G10" s="33">
        <f>Таблица1[[#This Row],[Количество]]*Таблица1[[#This Row],[Цена]]</f>
        <v>6966</v>
      </c>
      <c r="H10" s="32"/>
      <c r="I10" s="32"/>
      <c r="J10" s="32">
        <f>Таблица1[[#This Row],[Количество к возврату]]*Таблица1[[#This Row],[Цена]]</f>
        <v>0</v>
      </c>
      <c r="K10" s="52">
        <f>Таблица1[[#This Row],[Стоимость]]-Таблица1[[#This Row],[Стоимость возврата]]</f>
        <v>6966</v>
      </c>
    </row>
    <row r="11" spans="1:11" x14ac:dyDescent="0.2">
      <c r="A11" s="31">
        <v>42768</v>
      </c>
      <c r="B11" s="32" t="s">
        <v>19</v>
      </c>
      <c r="C11" s="32" t="s">
        <v>4</v>
      </c>
      <c r="D11" s="32" t="s">
        <v>28</v>
      </c>
      <c r="E11" s="32">
        <v>300</v>
      </c>
      <c r="F11" s="32">
        <f>VLOOKUP(Таблица1[[#This Row],[Наименование Товара]],Товары_цена[],3,0)</f>
        <v>87</v>
      </c>
      <c r="G11" s="33">
        <f>Таблица1[[#This Row],[Количество]]*Таблица1[[#This Row],[Цена]]</f>
        <v>26100</v>
      </c>
      <c r="H11" s="32"/>
      <c r="I11" s="32"/>
      <c r="J11" s="32">
        <f>Таблица1[[#This Row],[Количество к возврату]]*Таблица1[[#This Row],[Цена]]</f>
        <v>0</v>
      </c>
      <c r="K11" s="52">
        <f>Таблица1[[#This Row],[Стоимость]]-Таблица1[[#This Row],[Стоимость возврата]]</f>
        <v>26100</v>
      </c>
    </row>
    <row r="12" spans="1:11" x14ac:dyDescent="0.2">
      <c r="A12" s="31">
        <v>42769</v>
      </c>
      <c r="B12" s="32" t="s">
        <v>16</v>
      </c>
      <c r="C12" s="32" t="s">
        <v>3</v>
      </c>
      <c r="D12" s="32" t="s">
        <v>64</v>
      </c>
      <c r="E12" s="32">
        <v>500</v>
      </c>
      <c r="F12" s="32">
        <f>VLOOKUP(Таблица1[[#This Row],[Наименование Товара]],Товары_цена[],3,0)</f>
        <v>110</v>
      </c>
      <c r="G12" s="33">
        <f>Таблица1[[#This Row],[Количество]]*Таблица1[[#This Row],[Цена]]</f>
        <v>55000</v>
      </c>
      <c r="H12" s="32"/>
      <c r="I12" s="32"/>
      <c r="J12" s="32">
        <f>Таблица1[[#This Row],[Количество к возврату]]*Таблица1[[#This Row],[Цена]]</f>
        <v>0</v>
      </c>
      <c r="K12" s="52">
        <f>Таблица1[[#This Row],[Стоимость]]-Таблица1[[#This Row],[Стоимость возврата]]</f>
        <v>55000</v>
      </c>
    </row>
    <row r="13" spans="1:11" x14ac:dyDescent="0.2">
      <c r="A13" s="31">
        <v>42769</v>
      </c>
      <c r="B13" s="32" t="s">
        <v>19</v>
      </c>
      <c r="C13" s="32" t="s">
        <v>2</v>
      </c>
      <c r="D13" s="32" t="s">
        <v>65</v>
      </c>
      <c r="E13" s="32">
        <v>110</v>
      </c>
      <c r="F13" s="32">
        <f>VLOOKUP(Таблица1[[#This Row],[Наименование Товара]],Товары_цена[],3,0)</f>
        <v>136</v>
      </c>
      <c r="G13" s="33">
        <f>Таблица1[[#This Row],[Количество]]*Таблица1[[#This Row],[Цена]]</f>
        <v>14960</v>
      </c>
      <c r="H13" s="31">
        <v>42786</v>
      </c>
      <c r="I13" s="32">
        <v>50</v>
      </c>
      <c r="J13" s="32">
        <f>Таблица1[[#This Row],[Количество к возврату]]*Таблица1[[#This Row],[Цена]]</f>
        <v>6800</v>
      </c>
      <c r="K13" s="52">
        <f>Таблица1[[#This Row],[Стоимость]]-Таблица1[[#This Row],[Стоимость возврата]]</f>
        <v>8160</v>
      </c>
    </row>
    <row r="14" spans="1:11" x14ac:dyDescent="0.2">
      <c r="A14" s="31">
        <v>42769</v>
      </c>
      <c r="B14" s="32" t="s">
        <v>18</v>
      </c>
      <c r="C14" s="32" t="s">
        <v>2</v>
      </c>
      <c r="D14" s="32" t="s">
        <v>7</v>
      </c>
      <c r="E14" s="32">
        <v>80</v>
      </c>
      <c r="F14" s="32">
        <f>VLOOKUP(Таблица1[[#This Row],[Наименование Товара]],Товары_цена[],3,0)</f>
        <v>25</v>
      </c>
      <c r="G14" s="33">
        <f>Таблица1[[#This Row],[Количество]]*Таблица1[[#This Row],[Цена]]</f>
        <v>2000</v>
      </c>
      <c r="H14" s="32"/>
      <c r="I14" s="32"/>
      <c r="J14" s="32">
        <f>Таблица1[[#This Row],[Количество к возврату]]*Таблица1[[#This Row],[Цена]]</f>
        <v>0</v>
      </c>
      <c r="K14" s="52">
        <f>Таблица1[[#This Row],[Стоимость]]-Таблица1[[#This Row],[Стоимость возврата]]</f>
        <v>2000</v>
      </c>
    </row>
    <row r="15" spans="1:11" x14ac:dyDescent="0.2">
      <c r="A15" s="31">
        <v>42774</v>
      </c>
      <c r="B15" s="32" t="s">
        <v>17</v>
      </c>
      <c r="C15" s="32" t="s">
        <v>4</v>
      </c>
      <c r="D15" s="32" t="s">
        <v>9</v>
      </c>
      <c r="E15" s="32">
        <v>150</v>
      </c>
      <c r="F15" s="32">
        <f>VLOOKUP(Таблица1[[#This Row],[Наименование Товара]],Товары_цена[],3,0)</f>
        <v>32</v>
      </c>
      <c r="G15" s="33">
        <f>Таблица1[[#This Row],[Количество]]*Таблица1[[#This Row],[Цена]]</f>
        <v>4800</v>
      </c>
      <c r="H15" s="31">
        <v>42782</v>
      </c>
      <c r="I15" s="32">
        <v>50</v>
      </c>
      <c r="J15" s="32">
        <f>Таблица1[[#This Row],[Количество к возврату]]*Таблица1[[#This Row],[Цена]]</f>
        <v>1600</v>
      </c>
      <c r="K15" s="52">
        <f>Таблица1[[#This Row],[Стоимость]]-Таблица1[[#This Row],[Стоимость возврата]]</f>
        <v>3200</v>
      </c>
    </row>
    <row r="16" spans="1:11" x14ac:dyDescent="0.2">
      <c r="A16" s="31">
        <v>42775</v>
      </c>
      <c r="B16" s="32" t="s">
        <v>20</v>
      </c>
      <c r="C16" s="32" t="s">
        <v>3</v>
      </c>
      <c r="D16" s="32" t="s">
        <v>26</v>
      </c>
      <c r="E16" s="32">
        <v>90</v>
      </c>
      <c r="F16" s="32">
        <f>VLOOKUP(Таблица1[[#This Row],[Наименование Товара]],Товары_цена[],3,0)</f>
        <v>54</v>
      </c>
      <c r="G16" s="33">
        <f>Таблица1[[#This Row],[Количество]]*Таблица1[[#This Row],[Цена]]</f>
        <v>4860</v>
      </c>
      <c r="H16" s="32"/>
      <c r="I16" s="32"/>
      <c r="J16" s="32">
        <f>Таблица1[[#This Row],[Количество к возврату]]*Таблица1[[#This Row],[Цена]]</f>
        <v>0</v>
      </c>
      <c r="K16" s="52">
        <f>Таблица1[[#This Row],[Стоимость]]-Таблица1[[#This Row],[Стоимость возврата]]</f>
        <v>4860</v>
      </c>
    </row>
    <row r="17" spans="1:11" x14ac:dyDescent="0.2">
      <c r="A17" s="31">
        <v>42783</v>
      </c>
      <c r="B17" s="32" t="s">
        <v>17</v>
      </c>
      <c r="C17" s="32" t="s">
        <v>4</v>
      </c>
      <c r="D17" s="32" t="s">
        <v>28</v>
      </c>
      <c r="E17" s="32">
        <v>310</v>
      </c>
      <c r="F17" s="32">
        <f>VLOOKUP(Таблица1[[#This Row],[Наименование Товара]],Товары_цена[],3,0)</f>
        <v>87</v>
      </c>
      <c r="G17" s="33">
        <f>Таблица1[[#This Row],[Количество]]*Таблица1[[#This Row],[Цена]]</f>
        <v>26970</v>
      </c>
      <c r="H17" s="32"/>
      <c r="I17" s="32"/>
      <c r="J17" s="32">
        <f>Таблица1[[#This Row],[Количество к возврату]]*Таблица1[[#This Row],[Цена]]</f>
        <v>0</v>
      </c>
      <c r="K17" s="52">
        <f>Таблица1[[#This Row],[Стоимость]]-Таблица1[[#This Row],[Стоимость возврата]]</f>
        <v>26970</v>
      </c>
    </row>
    <row r="18" spans="1:11" x14ac:dyDescent="0.2">
      <c r="A18" s="31">
        <v>42783</v>
      </c>
      <c r="B18" s="32" t="s">
        <v>17</v>
      </c>
      <c r="C18" s="32" t="s">
        <v>4</v>
      </c>
      <c r="D18" s="32" t="s">
        <v>9</v>
      </c>
      <c r="E18" s="32">
        <v>100</v>
      </c>
      <c r="F18" s="32">
        <f>VLOOKUP(Таблица1[[#This Row],[Наименование Товара]],Товары_цена[],3,0)</f>
        <v>32</v>
      </c>
      <c r="G18" s="33">
        <f>Таблица1[[#This Row],[Количество]]*Таблица1[[#This Row],[Цена]]</f>
        <v>3200</v>
      </c>
      <c r="H18" s="31">
        <v>42795</v>
      </c>
      <c r="I18" s="32">
        <v>10</v>
      </c>
      <c r="J18" s="32">
        <f>Таблица1[[#This Row],[Количество к возврату]]*Таблица1[[#This Row],[Цена]]</f>
        <v>320</v>
      </c>
      <c r="K18" s="52">
        <f>Таблица1[[#This Row],[Стоимость]]-Таблица1[[#This Row],[Стоимость возврата]]</f>
        <v>2880</v>
      </c>
    </row>
    <row r="19" spans="1:11" x14ac:dyDescent="0.2">
      <c r="A19" s="31">
        <v>42786</v>
      </c>
      <c r="B19" s="32" t="s">
        <v>20</v>
      </c>
      <c r="C19" s="32" t="s">
        <v>4</v>
      </c>
      <c r="D19" s="32" t="s">
        <v>64</v>
      </c>
      <c r="E19" s="32">
        <v>120</v>
      </c>
      <c r="F19" s="32">
        <f>VLOOKUP(Таблица1[[#This Row],[Наименование Товара]],Товары_цена[],3,0)</f>
        <v>110</v>
      </c>
      <c r="G19" s="33">
        <f>Таблица1[[#This Row],[Количество]]*Таблица1[[#This Row],[Цена]]</f>
        <v>13200</v>
      </c>
      <c r="H19" s="32"/>
      <c r="I19" s="32"/>
      <c r="J19" s="32">
        <f>Таблица1[[#This Row],[Количество к возврату]]*Таблица1[[#This Row],[Цена]]</f>
        <v>0</v>
      </c>
      <c r="K19" s="52">
        <f>Таблица1[[#This Row],[Стоимость]]-Таблица1[[#This Row],[Стоимость возврата]]</f>
        <v>13200</v>
      </c>
    </row>
    <row r="20" spans="1:11" x14ac:dyDescent="0.2">
      <c r="A20" s="31">
        <v>42787</v>
      </c>
      <c r="B20" s="32" t="s">
        <v>18</v>
      </c>
      <c r="C20" s="32" t="s">
        <v>3</v>
      </c>
      <c r="D20" s="32" t="s">
        <v>65</v>
      </c>
      <c r="E20" s="32">
        <v>130</v>
      </c>
      <c r="F20" s="32">
        <f>VLOOKUP(Таблица1[[#This Row],[Наименование Товара]],Товары_цена[],3,0)</f>
        <v>136</v>
      </c>
      <c r="G20" s="33">
        <f>Таблица1[[#This Row],[Количество]]*Таблица1[[#This Row],[Цена]]</f>
        <v>17680</v>
      </c>
      <c r="H20" s="32"/>
      <c r="I20" s="32"/>
      <c r="J20" s="32">
        <f>Таблица1[[#This Row],[Количество к возврату]]*Таблица1[[#This Row],[Цена]]</f>
        <v>0</v>
      </c>
      <c r="K20" s="52">
        <f>Таблица1[[#This Row],[Стоимость]]-Таблица1[[#This Row],[Стоимость возврата]]</f>
        <v>17680</v>
      </c>
    </row>
    <row r="21" spans="1:11" x14ac:dyDescent="0.2">
      <c r="A21" s="31">
        <v>42787</v>
      </c>
      <c r="B21" s="32" t="s">
        <v>17</v>
      </c>
      <c r="C21" s="32" t="s">
        <v>2</v>
      </c>
      <c r="D21" s="32" t="s">
        <v>7</v>
      </c>
      <c r="E21" s="32">
        <v>78</v>
      </c>
      <c r="F21" s="32">
        <f>VLOOKUP(Таблица1[[#This Row],[Наименование Товара]],Товары_цена[],3,0)</f>
        <v>25</v>
      </c>
      <c r="G21" s="33">
        <f>Таблица1[[#This Row],[Количество]]*Таблица1[[#This Row],[Цена]]</f>
        <v>1950</v>
      </c>
      <c r="H21" s="32"/>
      <c r="I21" s="32"/>
      <c r="J21" s="32">
        <f>Таблица1[[#This Row],[Количество к возврату]]*Таблица1[[#This Row],[Цена]]</f>
        <v>0</v>
      </c>
      <c r="K21" s="52">
        <f>Таблица1[[#This Row],[Стоимость]]-Таблица1[[#This Row],[Стоимость возврата]]</f>
        <v>1950</v>
      </c>
    </row>
    <row r="22" spans="1:11" x14ac:dyDescent="0.2">
      <c r="A22" s="31">
        <v>42807</v>
      </c>
      <c r="B22" s="32" t="s">
        <v>16</v>
      </c>
      <c r="C22" s="32" t="s">
        <v>2</v>
      </c>
      <c r="D22" s="32" t="s">
        <v>9</v>
      </c>
      <c r="E22" s="32">
        <v>89</v>
      </c>
      <c r="F22" s="32">
        <f>VLOOKUP(Таблица1[[#This Row],[Наименование Товара]],Товары_цена[],3,0)</f>
        <v>32</v>
      </c>
      <c r="G22" s="33">
        <f>Таблица1[[#This Row],[Количество]]*Таблица1[[#This Row],[Цена]]</f>
        <v>2848</v>
      </c>
      <c r="H22" s="32"/>
      <c r="I22" s="32"/>
      <c r="J22" s="32">
        <f>Таблица1[[#This Row],[Количество к возврату]]*Таблица1[[#This Row],[Цена]]</f>
        <v>0</v>
      </c>
      <c r="K22" s="52">
        <f>Таблица1[[#This Row],[Стоимость]]-Таблица1[[#This Row],[Стоимость возврата]]</f>
        <v>2848</v>
      </c>
    </row>
    <row r="23" spans="1:11" x14ac:dyDescent="0.2">
      <c r="A23" s="31">
        <v>42807</v>
      </c>
      <c r="B23" s="32" t="s">
        <v>20</v>
      </c>
      <c r="C23" s="32" t="s">
        <v>4</v>
      </c>
      <c r="D23" s="32" t="s">
        <v>26</v>
      </c>
      <c r="E23" s="32">
        <v>140</v>
      </c>
      <c r="F23" s="32">
        <f>VLOOKUP(Таблица1[[#This Row],[Наименование Товара]],Товары_цена[],3,0)</f>
        <v>54</v>
      </c>
      <c r="G23" s="33">
        <f>Таблица1[[#This Row],[Количество]]*Таблица1[[#This Row],[Цена]]</f>
        <v>7560</v>
      </c>
      <c r="H23" s="32"/>
      <c r="I23" s="32"/>
      <c r="J23" s="32">
        <f>Таблица1[[#This Row],[Количество к возврату]]*Таблица1[[#This Row],[Цена]]</f>
        <v>0</v>
      </c>
      <c r="K23" s="52">
        <f>Таблица1[[#This Row],[Стоимость]]-Таблица1[[#This Row],[Стоимость возврата]]</f>
        <v>7560</v>
      </c>
    </row>
    <row r="24" spans="1:11" x14ac:dyDescent="0.2">
      <c r="A24" s="31">
        <v>42808</v>
      </c>
      <c r="B24" s="32" t="s">
        <v>18</v>
      </c>
      <c r="C24" s="32" t="s">
        <v>3</v>
      </c>
      <c r="D24" s="32" t="s">
        <v>28</v>
      </c>
      <c r="E24" s="32">
        <v>160</v>
      </c>
      <c r="F24" s="32">
        <f>VLOOKUP(Таблица1[[#This Row],[Наименование Товара]],Товары_цена[],3,0)</f>
        <v>87</v>
      </c>
      <c r="G24" s="33">
        <f>Таблица1[[#This Row],[Количество]]*Таблица1[[#This Row],[Цена]]</f>
        <v>13920</v>
      </c>
      <c r="H24" s="31">
        <v>42823</v>
      </c>
      <c r="I24" s="32">
        <v>60</v>
      </c>
      <c r="J24" s="32">
        <f>Таблица1[[#This Row],[Количество к возврату]]*Таблица1[[#This Row],[Цена]]</f>
        <v>5220</v>
      </c>
      <c r="K24" s="52">
        <f>Таблица1[[#This Row],[Стоимость]]-Таблица1[[#This Row],[Стоимость возврата]]</f>
        <v>8700</v>
      </c>
    </row>
    <row r="25" spans="1:11" x14ac:dyDescent="0.2">
      <c r="A25" s="31">
        <v>42809</v>
      </c>
      <c r="B25" s="32" t="s">
        <v>19</v>
      </c>
      <c r="C25" s="32" t="s">
        <v>4</v>
      </c>
      <c r="D25" s="32" t="s">
        <v>64</v>
      </c>
      <c r="E25" s="32">
        <v>160</v>
      </c>
      <c r="F25" s="32">
        <f>VLOOKUP(Таблица1[[#This Row],[Наименование Товара]],Товары_цена[],3,0)</f>
        <v>110</v>
      </c>
      <c r="G25" s="33">
        <f>Таблица1[[#This Row],[Количество]]*Таблица1[[#This Row],[Цена]]</f>
        <v>17600</v>
      </c>
      <c r="H25" s="31">
        <v>42824</v>
      </c>
      <c r="I25" s="32">
        <v>40</v>
      </c>
      <c r="J25" s="32">
        <f>Таблица1[[#This Row],[Количество к возврату]]*Таблица1[[#This Row],[Цена]]</f>
        <v>4400</v>
      </c>
      <c r="K25" s="52">
        <f>Таблица1[[#This Row],[Стоимость]]-Таблица1[[#This Row],[Стоимость возврата]]</f>
        <v>13200</v>
      </c>
    </row>
    <row r="26" spans="1:11" x14ac:dyDescent="0.2">
      <c r="A26" s="31">
        <v>42810</v>
      </c>
      <c r="B26" s="32" t="s">
        <v>16</v>
      </c>
      <c r="C26" s="32" t="s">
        <v>4</v>
      </c>
      <c r="D26" s="32" t="s">
        <v>10</v>
      </c>
      <c r="E26" s="32">
        <v>56</v>
      </c>
      <c r="F26" s="32">
        <f>VLOOKUP(Таблица1[[#This Row],[Наименование Товара]],Товары_цена[],3,0)</f>
        <v>45</v>
      </c>
      <c r="G26" s="33">
        <f>Таблица1[[#This Row],[Количество]]*Таблица1[[#This Row],[Цена]]</f>
        <v>2520</v>
      </c>
      <c r="H26" s="32"/>
      <c r="I26" s="32"/>
      <c r="J26" s="32">
        <f>Таблица1[[#This Row],[Количество к возврату]]*Таблица1[[#This Row],[Цена]]</f>
        <v>0</v>
      </c>
      <c r="K26" s="52">
        <f>Таблица1[[#This Row],[Стоимость]]-Таблица1[[#This Row],[Стоимость возврата]]</f>
        <v>2520</v>
      </c>
    </row>
    <row r="27" spans="1:11" x14ac:dyDescent="0.2">
      <c r="A27" s="31">
        <v>42811</v>
      </c>
      <c r="B27" s="32" t="s">
        <v>19</v>
      </c>
      <c r="C27" s="32" t="s">
        <v>3</v>
      </c>
      <c r="D27" s="32" t="s">
        <v>10</v>
      </c>
      <c r="E27" s="32">
        <v>120</v>
      </c>
      <c r="F27" s="32">
        <f>VLOOKUP(Таблица1[[#This Row],[Наименование Товара]],Товары_цена[],3,0)</f>
        <v>45</v>
      </c>
      <c r="G27" s="33">
        <f>Таблица1[[#This Row],[Количество]]*Таблица1[[#This Row],[Цена]]</f>
        <v>5400</v>
      </c>
      <c r="H27" s="32"/>
      <c r="I27" s="32"/>
      <c r="J27" s="32">
        <f>Таблица1[[#This Row],[Количество к возврату]]*Таблица1[[#This Row],[Цена]]</f>
        <v>0</v>
      </c>
      <c r="K27" s="52">
        <f>Таблица1[[#This Row],[Стоимость]]-Таблица1[[#This Row],[Стоимость возврата]]</f>
        <v>5400</v>
      </c>
    </row>
    <row r="28" spans="1:11" x14ac:dyDescent="0.2">
      <c r="A28" s="31">
        <v>42811</v>
      </c>
      <c r="B28" s="32" t="s">
        <v>18</v>
      </c>
      <c r="C28" s="32" t="s">
        <v>2</v>
      </c>
      <c r="D28" s="32" t="s">
        <v>9</v>
      </c>
      <c r="E28" s="32">
        <v>80</v>
      </c>
      <c r="F28" s="32">
        <f>VLOOKUP(Таблица1[[#This Row],[Наименование Товара]],Товары_цена[],3,0)</f>
        <v>32</v>
      </c>
      <c r="G28" s="33">
        <f>Таблица1[[#This Row],[Количество]]*Таблица1[[#This Row],[Цена]]</f>
        <v>2560</v>
      </c>
      <c r="H28" s="31">
        <v>42814</v>
      </c>
      <c r="I28" s="32">
        <v>10</v>
      </c>
      <c r="J28" s="32">
        <f>Таблица1[[#This Row],[Количество к возврату]]*Таблица1[[#This Row],[Цена]]</f>
        <v>320</v>
      </c>
      <c r="K28" s="52">
        <f>Таблица1[[#This Row],[Стоимость]]-Таблица1[[#This Row],[Стоимость возврата]]</f>
        <v>2240</v>
      </c>
    </row>
    <row r="29" spans="1:11" x14ac:dyDescent="0.2">
      <c r="A29" s="31">
        <v>42811</v>
      </c>
      <c r="B29" s="32" t="s">
        <v>17</v>
      </c>
      <c r="C29" s="32" t="s">
        <v>2</v>
      </c>
      <c r="D29" s="32" t="s">
        <v>9</v>
      </c>
      <c r="E29" s="32">
        <v>70</v>
      </c>
      <c r="F29" s="32">
        <f>VLOOKUP(Таблица1[[#This Row],[Наименование Товара]],Товары_цена[],3,0)</f>
        <v>32</v>
      </c>
      <c r="G29" s="33">
        <f>Таблица1[[#This Row],[Количество]]*Таблица1[[#This Row],[Цена]]</f>
        <v>2240</v>
      </c>
      <c r="H29" s="32"/>
      <c r="I29" s="32"/>
      <c r="J29" s="32">
        <f>Таблица1[[#This Row],[Количество к возврату]]*Таблица1[[#This Row],[Цена]]</f>
        <v>0</v>
      </c>
      <c r="K29" s="52">
        <f>Таблица1[[#This Row],[Стоимость]]-Таблица1[[#This Row],[Стоимость возврата]]</f>
        <v>2240</v>
      </c>
    </row>
    <row r="30" spans="1:11" x14ac:dyDescent="0.2">
      <c r="A30" s="31">
        <v>42812</v>
      </c>
      <c r="B30" s="32" t="s">
        <v>17</v>
      </c>
      <c r="C30" s="32" t="s">
        <v>4</v>
      </c>
      <c r="D30" s="32" t="s">
        <v>9</v>
      </c>
      <c r="E30" s="32">
        <v>60</v>
      </c>
      <c r="F30" s="32">
        <f>VLOOKUP(Таблица1[[#This Row],[Наименование Товара]],Товары_цена[],3,0)</f>
        <v>32</v>
      </c>
      <c r="G30" s="33">
        <f>Таблица1[[#This Row],[Количество]]*Таблица1[[#This Row],[Цена]]</f>
        <v>1920</v>
      </c>
      <c r="H30" s="32"/>
      <c r="I30" s="32"/>
      <c r="J30" s="32">
        <f>Таблица1[[#This Row],[Количество к возврату]]*Таблица1[[#This Row],[Цена]]</f>
        <v>0</v>
      </c>
      <c r="K30" s="52">
        <f>Таблица1[[#This Row],[Стоимость]]-Таблица1[[#This Row],[Стоимость возврата]]</f>
        <v>1920</v>
      </c>
    </row>
    <row r="31" spans="1:11" x14ac:dyDescent="0.2">
      <c r="A31" s="31">
        <v>42814</v>
      </c>
      <c r="B31" s="32" t="s">
        <v>17</v>
      </c>
      <c r="C31" s="32" t="s">
        <v>3</v>
      </c>
      <c r="D31" s="32" t="s">
        <v>26</v>
      </c>
      <c r="E31" s="32">
        <v>150</v>
      </c>
      <c r="F31" s="32">
        <f>VLOOKUP(Таблица1[[#This Row],[Наименование Товара]],Товары_цена[],3,0)</f>
        <v>54</v>
      </c>
      <c r="G31" s="33">
        <f>Таблица1[[#This Row],[Количество]]*Таблица1[[#This Row],[Цена]]</f>
        <v>8100</v>
      </c>
      <c r="H31" s="31">
        <v>42826</v>
      </c>
      <c r="I31" s="32">
        <v>50</v>
      </c>
      <c r="J31" s="32">
        <f>Таблица1[[#This Row],[Количество к возврату]]*Таблица1[[#This Row],[Цена]]</f>
        <v>2700</v>
      </c>
      <c r="K31" s="52">
        <f>Таблица1[[#This Row],[Стоимость]]-Таблица1[[#This Row],[Стоимость возврата]]</f>
        <v>5400</v>
      </c>
    </row>
    <row r="32" spans="1:11" x14ac:dyDescent="0.2">
      <c r="A32" s="31">
        <v>42814</v>
      </c>
      <c r="B32" s="32" t="s">
        <v>20</v>
      </c>
      <c r="C32" s="32" t="s">
        <v>3</v>
      </c>
      <c r="D32" s="32" t="s">
        <v>28</v>
      </c>
      <c r="E32" s="32">
        <v>166</v>
      </c>
      <c r="F32" s="32">
        <f>VLOOKUP(Таблица1[[#This Row],[Наименование Товара]],Товары_цена[],3,0)</f>
        <v>87</v>
      </c>
      <c r="G32" s="33">
        <f>Таблица1[[#This Row],[Количество]]*Таблица1[[#This Row],[Цена]]</f>
        <v>14442</v>
      </c>
      <c r="H32" s="32"/>
      <c r="I32" s="32"/>
      <c r="J32" s="32">
        <f>Таблица1[[#This Row],[Количество к возврату]]*Таблица1[[#This Row],[Цена]]</f>
        <v>0</v>
      </c>
      <c r="K32" s="52">
        <f>Таблица1[[#This Row],[Стоимость]]-Таблица1[[#This Row],[Стоимость возврата]]</f>
        <v>14442</v>
      </c>
    </row>
    <row r="33" spans="1:11" x14ac:dyDescent="0.2">
      <c r="A33" s="31">
        <v>42815</v>
      </c>
      <c r="B33" s="32" t="s">
        <v>16</v>
      </c>
      <c r="C33" s="32" t="s">
        <v>4</v>
      </c>
      <c r="D33" s="32" t="s">
        <v>28</v>
      </c>
      <c r="E33" s="32">
        <v>120</v>
      </c>
      <c r="F33" s="32">
        <f>VLOOKUP(Таблица1[[#This Row],[Наименование Товара]],Товары_цена[],3,0)</f>
        <v>87</v>
      </c>
      <c r="G33" s="33">
        <f>Таблица1[[#This Row],[Количество]]*Таблица1[[#This Row],[Цена]]</f>
        <v>10440</v>
      </c>
      <c r="H33" s="32"/>
      <c r="I33" s="32"/>
      <c r="J33" s="32">
        <f>Таблица1[[#This Row],[Количество к возврату]]*Таблица1[[#This Row],[Цена]]</f>
        <v>0</v>
      </c>
      <c r="K33" s="52">
        <f>Таблица1[[#This Row],[Стоимость]]-Таблица1[[#This Row],[Стоимость возврата]]</f>
        <v>10440</v>
      </c>
    </row>
    <row r="34" spans="1:11" x14ac:dyDescent="0.2">
      <c r="A34" s="31">
        <v>42817</v>
      </c>
      <c r="B34" s="32" t="s">
        <v>17</v>
      </c>
      <c r="C34" s="32" t="s">
        <v>3</v>
      </c>
      <c r="D34" s="32" t="s">
        <v>64</v>
      </c>
      <c r="E34" s="32">
        <v>190</v>
      </c>
      <c r="F34" s="32">
        <f>VLOOKUP(Таблица1[[#This Row],[Наименование Товара]],Товары_цена[],3,0)</f>
        <v>110</v>
      </c>
      <c r="G34" s="33">
        <f>Таблица1[[#This Row],[Количество]]*Таблица1[[#This Row],[Цена]]</f>
        <v>20900</v>
      </c>
      <c r="H34" s="32"/>
      <c r="I34" s="32"/>
      <c r="J34" s="32">
        <f>Таблица1[[#This Row],[Количество к возврату]]*Таблица1[[#This Row],[Цена]]</f>
        <v>0</v>
      </c>
      <c r="K34" s="52">
        <f>Таблица1[[#This Row],[Стоимость]]-Таблица1[[#This Row],[Стоимость возврата]]</f>
        <v>20900</v>
      </c>
    </row>
    <row r="35" spans="1:11" x14ac:dyDescent="0.2">
      <c r="A35" s="31">
        <v>42818</v>
      </c>
      <c r="B35" s="32" t="s">
        <v>20</v>
      </c>
      <c r="C35" s="32" t="s">
        <v>4</v>
      </c>
      <c r="D35" s="32" t="s">
        <v>64</v>
      </c>
      <c r="E35" s="32">
        <v>210</v>
      </c>
      <c r="F35" s="32">
        <f>VLOOKUP(Таблица1[[#This Row],[Наименование Товара]],Товары_цена[],3,0)</f>
        <v>110</v>
      </c>
      <c r="G35" s="33">
        <f>Таблица1[[#This Row],[Количество]]*Таблица1[[#This Row],[Цена]]</f>
        <v>23100</v>
      </c>
      <c r="H35" s="31">
        <v>42827</v>
      </c>
      <c r="I35" s="32">
        <v>30</v>
      </c>
      <c r="J35" s="32">
        <f>Таблица1[[#This Row],[Количество к возврату]]*Таблица1[[#This Row],[Цена]]</f>
        <v>3300</v>
      </c>
      <c r="K35" s="52">
        <f>Таблица1[[#This Row],[Стоимость]]-Таблица1[[#This Row],[Стоимость возврата]]</f>
        <v>19800</v>
      </c>
    </row>
    <row r="36" spans="1:11" x14ac:dyDescent="0.2">
      <c r="A36" s="31">
        <v>42821</v>
      </c>
      <c r="B36" s="32" t="s">
        <v>18</v>
      </c>
      <c r="C36" s="32" t="s">
        <v>4</v>
      </c>
      <c r="D36" s="32" t="s">
        <v>7</v>
      </c>
      <c r="E36" s="32">
        <v>160</v>
      </c>
      <c r="F36" s="32">
        <f>VLOOKUP(Таблица1[[#This Row],[Наименование Товара]],Товары_цена[],3,0)</f>
        <v>25</v>
      </c>
      <c r="G36" s="33">
        <f>Таблица1[[#This Row],[Количество]]*Таблица1[[#This Row],[Цена]]</f>
        <v>4000</v>
      </c>
      <c r="H36" s="32"/>
      <c r="I36" s="32"/>
      <c r="J36" s="32">
        <f>Таблица1[[#This Row],[Количество к возврату]]*Таблица1[[#This Row],[Цена]]</f>
        <v>0</v>
      </c>
      <c r="K36" s="52">
        <f>Таблица1[[#This Row],[Стоимость]]-Таблица1[[#This Row],[Стоимость возврата]]</f>
        <v>4000</v>
      </c>
    </row>
    <row r="37" spans="1:11" x14ac:dyDescent="0.2">
      <c r="A37" s="31">
        <v>42838</v>
      </c>
      <c r="B37" s="32" t="s">
        <v>19</v>
      </c>
      <c r="C37" s="32" t="s">
        <v>4</v>
      </c>
      <c r="D37" s="32" t="s">
        <v>28</v>
      </c>
      <c r="E37" s="32">
        <v>120</v>
      </c>
      <c r="F37" s="32">
        <f>VLOOKUP(Таблица1[[#This Row],[Наименование Товара]],Товары_цена[],3,0)</f>
        <v>87</v>
      </c>
      <c r="G37" s="33">
        <f>Таблица1[[#This Row],[Количество]]*Таблица1[[#This Row],[Цена]]</f>
        <v>10440</v>
      </c>
      <c r="H37" s="32"/>
      <c r="I37" s="32"/>
      <c r="J37" s="32">
        <f>Таблица1[[#This Row],[Количество к возврату]]*Таблица1[[#This Row],[Цена]]</f>
        <v>0</v>
      </c>
      <c r="K37" s="52">
        <f>Таблица1[[#This Row],[Стоимость]]-Таблица1[[#This Row],[Стоимость возврата]]</f>
        <v>10440</v>
      </c>
    </row>
    <row r="38" spans="1:11" x14ac:dyDescent="0.2">
      <c r="A38" s="31">
        <v>42839</v>
      </c>
      <c r="B38" s="32" t="s">
        <v>18</v>
      </c>
      <c r="C38" s="32" t="s">
        <v>3</v>
      </c>
      <c r="D38" s="32" t="s">
        <v>7</v>
      </c>
      <c r="E38" s="32">
        <v>135</v>
      </c>
      <c r="F38" s="32">
        <f>VLOOKUP(Таблица1[[#This Row],[Наименование Товара]],Товары_цена[],3,0)</f>
        <v>25</v>
      </c>
      <c r="G38" s="33">
        <f>Таблица1[[#This Row],[Количество]]*Таблица1[[#This Row],[Цена]]</f>
        <v>3375</v>
      </c>
      <c r="H38" s="31">
        <v>42848</v>
      </c>
      <c r="I38" s="32">
        <v>48</v>
      </c>
      <c r="J38" s="32">
        <f>Таблица1[[#This Row],[Количество к возврату]]*Таблица1[[#This Row],[Цена]]</f>
        <v>1200</v>
      </c>
      <c r="K38" s="52">
        <f>Таблица1[[#This Row],[Стоимость]]-Таблица1[[#This Row],[Стоимость возврата]]</f>
        <v>2175</v>
      </c>
    </row>
    <row r="39" spans="1:11" x14ac:dyDescent="0.2">
      <c r="A39" s="31">
        <v>42839</v>
      </c>
      <c r="B39" s="32" t="s">
        <v>17</v>
      </c>
      <c r="C39" s="32" t="s">
        <v>2</v>
      </c>
      <c r="D39" s="32" t="s">
        <v>7</v>
      </c>
      <c r="E39" s="32">
        <v>80</v>
      </c>
      <c r="F39" s="32">
        <f>VLOOKUP(Таблица1[[#This Row],[Наименование Товара]],Товары_цена[],3,0)</f>
        <v>25</v>
      </c>
      <c r="G39" s="33">
        <f>Таблица1[[#This Row],[Количество]]*Таблица1[[#This Row],[Цена]]</f>
        <v>2000</v>
      </c>
      <c r="H39" s="32"/>
      <c r="I39" s="32"/>
      <c r="J39" s="32">
        <f>Таблица1[[#This Row],[Количество к возврату]]*Таблица1[[#This Row],[Цена]]</f>
        <v>0</v>
      </c>
      <c r="K39" s="52">
        <f>Таблица1[[#This Row],[Стоимость]]-Таблица1[[#This Row],[Стоимость возврата]]</f>
        <v>2000</v>
      </c>
    </row>
    <row r="40" spans="1:11" x14ac:dyDescent="0.2">
      <c r="A40" s="31">
        <v>42843</v>
      </c>
      <c r="B40" s="32" t="s">
        <v>16</v>
      </c>
      <c r="C40" s="32" t="s">
        <v>2</v>
      </c>
      <c r="D40" s="32" t="s">
        <v>64</v>
      </c>
      <c r="E40" s="32">
        <v>80</v>
      </c>
      <c r="F40" s="32">
        <f>VLOOKUP(Таблица1[[#This Row],[Наименование Товара]],Товары_цена[],3,0)</f>
        <v>110</v>
      </c>
      <c r="G40" s="33">
        <f>Таблица1[[#This Row],[Количество]]*Таблица1[[#This Row],[Цена]]</f>
        <v>8800</v>
      </c>
      <c r="H40" s="31">
        <v>42847</v>
      </c>
      <c r="I40" s="32">
        <v>20</v>
      </c>
      <c r="J40" s="32">
        <f>Таблица1[[#This Row],[Количество к возврату]]*Таблица1[[#This Row],[Цена]]</f>
        <v>2200</v>
      </c>
      <c r="K40" s="52">
        <f>Таблица1[[#This Row],[Стоимость]]-Таблица1[[#This Row],[Стоимость возврата]]</f>
        <v>6600</v>
      </c>
    </row>
    <row r="41" spans="1:11" x14ac:dyDescent="0.2">
      <c r="A41" s="31">
        <v>42842</v>
      </c>
      <c r="B41" s="32" t="s">
        <v>17</v>
      </c>
      <c r="C41" s="32" t="s">
        <v>4</v>
      </c>
      <c r="D41" s="32" t="s">
        <v>9</v>
      </c>
      <c r="E41" s="32">
        <v>150</v>
      </c>
      <c r="F41" s="32">
        <f>VLOOKUP(Таблица1[[#This Row],[Наименование Товара]],Товары_цена[],3,0)</f>
        <v>32</v>
      </c>
      <c r="G41" s="33">
        <f>Таблица1[[#This Row],[Количество]]*Таблица1[[#This Row],[Цена]]</f>
        <v>4800</v>
      </c>
      <c r="H41" s="32"/>
      <c r="I41" s="32"/>
      <c r="J41" s="32">
        <f>Таблица1[[#This Row],[Количество к возврату]]*Таблица1[[#This Row],[Цена]]</f>
        <v>0</v>
      </c>
      <c r="K41" s="52">
        <f>Таблица1[[#This Row],[Стоимость]]-Таблица1[[#This Row],[Стоимость возврата]]</f>
        <v>4800</v>
      </c>
    </row>
    <row r="42" spans="1:11" x14ac:dyDescent="0.2">
      <c r="A42" s="31">
        <v>42842</v>
      </c>
      <c r="B42" s="32" t="s">
        <v>20</v>
      </c>
      <c r="C42" s="32" t="s">
        <v>3</v>
      </c>
      <c r="D42" s="32" t="s">
        <v>10</v>
      </c>
      <c r="E42" s="32">
        <v>213</v>
      </c>
      <c r="F42" s="32">
        <f>VLOOKUP(Таблица1[[#This Row],[Наименование Товара]],Товары_цена[],3,0)</f>
        <v>45</v>
      </c>
      <c r="G42" s="33">
        <f>Таблица1[[#This Row],[Количество]]*Таблица1[[#This Row],[Цена]]</f>
        <v>9585</v>
      </c>
      <c r="H42" s="32"/>
      <c r="I42" s="32"/>
      <c r="J42" s="32">
        <f>Таблица1[[#This Row],[Количество к возврату]]*Таблица1[[#This Row],[Цена]]</f>
        <v>0</v>
      </c>
      <c r="K42" s="52">
        <f>Таблица1[[#This Row],[Стоимость]]-Таблица1[[#This Row],[Стоимость возврата]]</f>
        <v>9585</v>
      </c>
    </row>
    <row r="43" spans="1:11" x14ac:dyDescent="0.2">
      <c r="A43" s="31">
        <v>42842</v>
      </c>
      <c r="B43" s="32" t="s">
        <v>16</v>
      </c>
      <c r="C43" s="32" t="s">
        <v>3</v>
      </c>
      <c r="D43" s="32" t="s">
        <v>27</v>
      </c>
      <c r="E43" s="32">
        <v>210</v>
      </c>
      <c r="F43" s="32">
        <f>VLOOKUP(Таблица1[[#This Row],[Наименование Товара]],Товары_цена[],3,0)</f>
        <v>65</v>
      </c>
      <c r="G43" s="33">
        <f>Таблица1[[#This Row],[Количество]]*Таблица1[[#This Row],[Цена]]</f>
        <v>13650</v>
      </c>
      <c r="H43" s="31">
        <v>42850</v>
      </c>
      <c r="I43" s="32">
        <v>40</v>
      </c>
      <c r="J43" s="32">
        <f>Таблица1[[#This Row],[Количество к возврату]]*Таблица1[[#This Row],[Цена]]</f>
        <v>2600</v>
      </c>
      <c r="K43" s="52">
        <f>Таблица1[[#This Row],[Стоимость]]-Таблица1[[#This Row],[Стоимость возврата]]</f>
        <v>11050</v>
      </c>
    </row>
    <row r="44" spans="1:11" x14ac:dyDescent="0.2">
      <c r="A44" s="31">
        <v>42843</v>
      </c>
      <c r="B44" s="32" t="s">
        <v>16</v>
      </c>
      <c r="C44" s="32" t="s">
        <v>3</v>
      </c>
      <c r="D44" s="32" t="s">
        <v>64</v>
      </c>
      <c r="E44" s="32">
        <v>120</v>
      </c>
      <c r="F44" s="32">
        <f>VLOOKUP(Таблица1[[#This Row],[Наименование Товара]],Товары_цена[],3,0)</f>
        <v>110</v>
      </c>
      <c r="G44" s="33">
        <f>Таблица1[[#This Row],[Количество]]*Таблица1[[#This Row],[Цена]]</f>
        <v>13200</v>
      </c>
      <c r="H44" s="32"/>
      <c r="I44" s="32"/>
      <c r="J44" s="32">
        <f>Таблица1[[#This Row],[Количество к возврату]]*Таблица1[[#This Row],[Цена]]</f>
        <v>0</v>
      </c>
      <c r="K44" s="52">
        <f>Таблица1[[#This Row],[Стоимость]]-Таблица1[[#This Row],[Стоимость возврата]]</f>
        <v>13200</v>
      </c>
    </row>
    <row r="45" spans="1:11" x14ac:dyDescent="0.2">
      <c r="A45" s="31">
        <v>42844</v>
      </c>
      <c r="B45" s="32" t="s">
        <v>17</v>
      </c>
      <c r="C45" s="32" t="s">
        <v>2</v>
      </c>
      <c r="D45" s="32" t="s">
        <v>27</v>
      </c>
      <c r="E45" s="32">
        <v>100</v>
      </c>
      <c r="F45" s="32">
        <f>VLOOKUP(Таблица1[[#This Row],[Наименование Товара]],Товары_цена[],3,0)</f>
        <v>65</v>
      </c>
      <c r="G45" s="33">
        <f>Таблица1[[#This Row],[Количество]]*Таблица1[[#This Row],[Цена]]</f>
        <v>6500</v>
      </c>
      <c r="H45" s="32"/>
      <c r="I45" s="32"/>
      <c r="J45" s="32">
        <f>Таблица1[[#This Row],[Количество к возврату]]*Таблица1[[#This Row],[Цена]]</f>
        <v>0</v>
      </c>
      <c r="K45" s="52">
        <f>Таблица1[[#This Row],[Стоимость]]-Таблица1[[#This Row],[Стоимость возврата]]</f>
        <v>6500</v>
      </c>
    </row>
    <row r="46" spans="1:11" x14ac:dyDescent="0.2">
      <c r="A46" s="31">
        <v>42845</v>
      </c>
      <c r="B46" s="32" t="s">
        <v>17</v>
      </c>
      <c r="C46" s="32" t="s">
        <v>4</v>
      </c>
      <c r="D46" s="32" t="s">
        <v>64</v>
      </c>
      <c r="E46" s="32">
        <v>90</v>
      </c>
      <c r="F46" s="32">
        <f>VLOOKUP(Таблица1[[#This Row],[Наименование Товара]],Товары_цена[],3,0)</f>
        <v>110</v>
      </c>
      <c r="G46" s="33">
        <f>Таблица1[[#This Row],[Количество]]*Таблица1[[#This Row],[Цена]]</f>
        <v>9900</v>
      </c>
      <c r="H46" s="32"/>
      <c r="I46" s="32"/>
      <c r="J46" s="32">
        <f>Таблица1[[#This Row],[Количество к возврату]]*Таблица1[[#This Row],[Цена]]</f>
        <v>0</v>
      </c>
      <c r="K46" s="52">
        <f>Таблица1[[#This Row],[Стоимость]]-Таблица1[[#This Row],[Стоимость возврата]]</f>
        <v>9900</v>
      </c>
    </row>
    <row r="47" spans="1:11" x14ac:dyDescent="0.2">
      <c r="A47" s="31">
        <v>42846</v>
      </c>
      <c r="B47" s="32" t="s">
        <v>18</v>
      </c>
      <c r="C47" s="32" t="s">
        <v>3</v>
      </c>
      <c r="D47" s="32" t="s">
        <v>10</v>
      </c>
      <c r="E47" s="32">
        <v>110</v>
      </c>
      <c r="F47" s="32">
        <f>VLOOKUP(Таблица1[[#This Row],[Наименование Товара]],Товары_цена[],3,0)</f>
        <v>45</v>
      </c>
      <c r="G47" s="33">
        <f>Таблица1[[#This Row],[Количество]]*Таблица1[[#This Row],[Цена]]</f>
        <v>4950</v>
      </c>
      <c r="H47" s="32"/>
      <c r="I47" s="32"/>
      <c r="J47" s="32">
        <f>Таблица1[[#This Row],[Количество к возврату]]*Таблица1[[#This Row],[Цена]]</f>
        <v>0</v>
      </c>
      <c r="K47" s="52">
        <f>Таблица1[[#This Row],[Стоимость]]-Таблица1[[#This Row],[Стоимость возврата]]</f>
        <v>4950</v>
      </c>
    </row>
    <row r="48" spans="1:11" x14ac:dyDescent="0.2">
      <c r="A48" s="31">
        <v>42845</v>
      </c>
      <c r="B48" s="32" t="s">
        <v>17</v>
      </c>
      <c r="C48" s="32" t="s">
        <v>4</v>
      </c>
      <c r="D48" s="32" t="s">
        <v>64</v>
      </c>
      <c r="E48" s="32">
        <v>100</v>
      </c>
      <c r="F48" s="32">
        <f>VLOOKUP(Таблица1[[#This Row],[Наименование Товара]],Товары_цена[],3,0)</f>
        <v>110</v>
      </c>
      <c r="G48" s="33">
        <f>Таблица1[[#This Row],[Количество]]*Таблица1[[#This Row],[Цена]]</f>
        <v>11000</v>
      </c>
      <c r="H48" s="31">
        <v>42855</v>
      </c>
      <c r="I48" s="32">
        <v>60</v>
      </c>
      <c r="J48" s="32">
        <f>Таблица1[[#This Row],[Количество к возврату]]*Таблица1[[#This Row],[Цена]]</f>
        <v>6600</v>
      </c>
      <c r="K48" s="52">
        <f>Таблица1[[#This Row],[Стоимость]]-Таблица1[[#This Row],[Стоимость возврата]]</f>
        <v>4400</v>
      </c>
    </row>
    <row r="49" spans="1:11" x14ac:dyDescent="0.2">
      <c r="A49" s="31">
        <v>42846</v>
      </c>
      <c r="B49" s="32" t="s">
        <v>19</v>
      </c>
      <c r="C49" s="32" t="s">
        <v>3</v>
      </c>
      <c r="D49" s="32" t="s">
        <v>27</v>
      </c>
      <c r="E49" s="32">
        <v>310</v>
      </c>
      <c r="F49" s="32">
        <f>VLOOKUP(Таблица1[[#This Row],[Наименование Товара]],Товары_цена[],3,0)</f>
        <v>65</v>
      </c>
      <c r="G49" s="33">
        <f>Таблица1[[#This Row],[Количество]]*Таблица1[[#This Row],[Цена]]</f>
        <v>20150</v>
      </c>
      <c r="H49" s="32"/>
      <c r="I49" s="32"/>
      <c r="J49" s="32">
        <f>Таблица1[[#This Row],[Количество к возврату]]*Таблица1[[#This Row],[Цена]]</f>
        <v>0</v>
      </c>
      <c r="K49" s="52">
        <f>Таблица1[[#This Row],[Стоимость]]-Таблица1[[#This Row],[Стоимость возврата]]</f>
        <v>20150</v>
      </c>
    </row>
    <row r="50" spans="1:11" x14ac:dyDescent="0.2">
      <c r="A50" s="31">
        <v>42847</v>
      </c>
      <c r="B50" s="32" t="s">
        <v>18</v>
      </c>
      <c r="C50" s="32" t="s">
        <v>4</v>
      </c>
      <c r="D50" s="32" t="s">
        <v>9</v>
      </c>
      <c r="E50" s="32">
        <v>231</v>
      </c>
      <c r="F50" s="32">
        <f>VLOOKUP(Таблица1[[#This Row],[Наименование Товара]],Товары_цена[],3,0)</f>
        <v>32</v>
      </c>
      <c r="G50" s="33">
        <f>Таблица1[[#This Row],[Количество]]*Таблица1[[#This Row],[Цена]]</f>
        <v>7392</v>
      </c>
      <c r="H50" s="32"/>
      <c r="I50" s="32"/>
      <c r="J50" s="32">
        <f>Таблица1[[#This Row],[Количество к возврату]]*Таблица1[[#This Row],[Цена]]</f>
        <v>0</v>
      </c>
      <c r="K50" s="52">
        <f>Таблица1[[#This Row],[Стоимость]]-Таблица1[[#This Row],[Стоимость возврата]]</f>
        <v>7392</v>
      </c>
    </row>
    <row r="51" spans="1:11" x14ac:dyDescent="0.2">
      <c r="A51" s="31">
        <v>42849</v>
      </c>
      <c r="B51" s="32" t="s">
        <v>17</v>
      </c>
      <c r="C51" s="32" t="s">
        <v>3</v>
      </c>
      <c r="D51" s="32" t="s">
        <v>9</v>
      </c>
      <c r="E51" s="32">
        <v>80</v>
      </c>
      <c r="F51" s="32">
        <f>VLOOKUP(Таблица1[[#This Row],[Наименование Товара]],Товары_цена[],3,0)</f>
        <v>32</v>
      </c>
      <c r="G51" s="33">
        <f>Таблица1[[#This Row],[Количество]]*Таблица1[[#This Row],[Цена]]</f>
        <v>2560</v>
      </c>
      <c r="H51" s="32"/>
      <c r="I51" s="32"/>
      <c r="J51" s="32">
        <f>Таблица1[[#This Row],[Количество к возврату]]*Таблица1[[#This Row],[Цена]]</f>
        <v>0</v>
      </c>
      <c r="K51" s="52">
        <f>Таблица1[[#This Row],[Стоимость]]-Таблица1[[#This Row],[Стоимость возврата]]</f>
        <v>2560</v>
      </c>
    </row>
    <row r="52" spans="1:11" x14ac:dyDescent="0.2">
      <c r="A52" s="31">
        <v>42849</v>
      </c>
      <c r="B52" s="32" t="s">
        <v>19</v>
      </c>
      <c r="C52" s="32" t="s">
        <v>2</v>
      </c>
      <c r="D52" s="32" t="s">
        <v>9</v>
      </c>
      <c r="E52" s="32">
        <v>60</v>
      </c>
      <c r="F52" s="32">
        <f>VLOOKUP(Таблица1[[#This Row],[Наименование Товара]],Товары_цена[],3,0)</f>
        <v>32</v>
      </c>
      <c r="G52" s="33">
        <f>Таблица1[[#This Row],[Количество]]*Таблица1[[#This Row],[Цена]]</f>
        <v>1920</v>
      </c>
      <c r="H52" s="32"/>
      <c r="I52" s="32"/>
      <c r="J52" s="32">
        <f>Таблица1[[#This Row],[Количество к возврату]]*Таблица1[[#This Row],[Цена]]</f>
        <v>0</v>
      </c>
      <c r="K52" s="52">
        <f>Таблица1[[#This Row],[Стоимость]]-Таблица1[[#This Row],[Стоимость возврата]]</f>
        <v>1920</v>
      </c>
    </row>
    <row r="53" spans="1:11" x14ac:dyDescent="0.2">
      <c r="A53" s="31">
        <v>42872</v>
      </c>
      <c r="B53" s="32" t="s">
        <v>18</v>
      </c>
      <c r="C53" s="32" t="s">
        <v>2</v>
      </c>
      <c r="D53" s="32" t="s">
        <v>9</v>
      </c>
      <c r="E53" s="32">
        <v>130</v>
      </c>
      <c r="F53" s="32">
        <f>VLOOKUP(Таблица1[[#This Row],[Наименование Товара]],Товары_цена[],3,0)</f>
        <v>32</v>
      </c>
      <c r="G53" s="33">
        <f>Таблица1[[#This Row],[Количество]]*Таблица1[[#This Row],[Цена]]</f>
        <v>4160</v>
      </c>
      <c r="H53" s="31">
        <v>42875</v>
      </c>
      <c r="I53" s="32">
        <v>30</v>
      </c>
      <c r="J53" s="32">
        <f>Таблица1[[#This Row],[Количество к возврату]]*Таблица1[[#This Row],[Цена]]</f>
        <v>960</v>
      </c>
      <c r="K53" s="52">
        <f>Таблица1[[#This Row],[Стоимость]]-Таблица1[[#This Row],[Стоимость возврата]]</f>
        <v>3200</v>
      </c>
    </row>
    <row r="54" spans="1:11" x14ac:dyDescent="0.2">
      <c r="A54" s="31">
        <v>42880</v>
      </c>
      <c r="B54" s="32" t="s">
        <v>18</v>
      </c>
      <c r="C54" s="32" t="s">
        <v>2</v>
      </c>
      <c r="D54" s="32" t="s">
        <v>7</v>
      </c>
      <c r="E54" s="32">
        <v>56</v>
      </c>
      <c r="F54" s="32">
        <f>VLOOKUP(Таблица1[[#This Row],[Наименование Товара]],Товары_цена[],3,0)</f>
        <v>25</v>
      </c>
      <c r="G54" s="33">
        <f>Таблица1[[#This Row],[Количество]]*Таблица1[[#This Row],[Цена]]</f>
        <v>1400</v>
      </c>
      <c r="H54" s="32"/>
      <c r="I54" s="32"/>
      <c r="J54" s="32">
        <f>Таблица1[[#This Row],[Количество к возврату]]*Таблица1[[#This Row],[Цена]]</f>
        <v>0</v>
      </c>
      <c r="K54" s="52">
        <f>Таблица1[[#This Row],[Стоимость]]-Таблица1[[#This Row],[Стоимость возврата]]</f>
        <v>1400</v>
      </c>
    </row>
    <row r="55" spans="1:11" x14ac:dyDescent="0.2">
      <c r="A55" s="31">
        <v>42880</v>
      </c>
      <c r="B55" s="32" t="s">
        <v>19</v>
      </c>
      <c r="C55" s="32" t="s">
        <v>4</v>
      </c>
      <c r="D55" s="32" t="s">
        <v>27</v>
      </c>
      <c r="E55" s="32">
        <v>120</v>
      </c>
      <c r="F55" s="32">
        <f>VLOOKUP(Таблица1[[#This Row],[Наименование Товара]],Товары_цена[],3,0)</f>
        <v>65</v>
      </c>
      <c r="G55" s="33">
        <f>Таблица1[[#This Row],[Количество]]*Таблица1[[#This Row],[Цена]]</f>
        <v>7800</v>
      </c>
      <c r="H55" s="31">
        <v>42887</v>
      </c>
      <c r="I55" s="32">
        <v>34</v>
      </c>
      <c r="J55" s="32">
        <f>Таблица1[[#This Row],[Количество к возврату]]*Таблица1[[#This Row],[Цена]]</f>
        <v>2210</v>
      </c>
      <c r="K55" s="52">
        <f>Таблица1[[#This Row],[Стоимость]]-Таблица1[[#This Row],[Стоимость возврата]]</f>
        <v>5590</v>
      </c>
    </row>
    <row r="56" spans="1:11" x14ac:dyDescent="0.2">
      <c r="A56" s="31">
        <v>42881</v>
      </c>
      <c r="B56" s="32" t="s">
        <v>19</v>
      </c>
      <c r="C56" s="32" t="s">
        <v>4</v>
      </c>
      <c r="D56" s="32" t="s">
        <v>9</v>
      </c>
      <c r="E56" s="32">
        <v>100</v>
      </c>
      <c r="F56" s="32">
        <f>VLOOKUP(Таблица1[[#This Row],[Наименование Товара]],Товары_цена[],3,0)</f>
        <v>32</v>
      </c>
      <c r="G56" s="33">
        <f>Таблица1[[#This Row],[Количество]]*Таблица1[[#This Row],[Цена]]</f>
        <v>3200</v>
      </c>
      <c r="H56" s="32"/>
      <c r="I56" s="32"/>
      <c r="J56" s="32">
        <f>Таблица1[[#This Row],[Количество к возврату]]*Таблица1[[#This Row],[Цена]]</f>
        <v>0</v>
      </c>
      <c r="K56" s="52">
        <f>Таблица1[[#This Row],[Стоимость]]-Таблица1[[#This Row],[Стоимость возврата]]</f>
        <v>3200</v>
      </c>
    </row>
    <row r="57" spans="1:11" x14ac:dyDescent="0.2">
      <c r="A57" s="31">
        <v>42881</v>
      </c>
      <c r="B57" s="32" t="s">
        <v>18</v>
      </c>
      <c r="C57" s="32" t="s">
        <v>3</v>
      </c>
      <c r="D57" s="32" t="s">
        <v>7</v>
      </c>
      <c r="E57" s="32">
        <v>60</v>
      </c>
      <c r="F57" s="32">
        <f>VLOOKUP(Таблица1[[#This Row],[Наименование Товара]],Товары_цена[],3,0)</f>
        <v>25</v>
      </c>
      <c r="G57" s="33">
        <f>Таблица1[[#This Row],[Количество]]*Таблица1[[#This Row],[Цена]]</f>
        <v>1500</v>
      </c>
      <c r="H57" s="32"/>
      <c r="I57" s="32"/>
      <c r="J57" s="32">
        <f>Таблица1[[#This Row],[Количество к возврату]]*Таблица1[[#This Row],[Цена]]</f>
        <v>0</v>
      </c>
      <c r="K57" s="52">
        <f>Таблица1[[#This Row],[Стоимость]]-Таблица1[[#This Row],[Стоимость возврата]]</f>
        <v>1500</v>
      </c>
    </row>
    <row r="58" spans="1:11" x14ac:dyDescent="0.2">
      <c r="A58" s="31">
        <v>42882</v>
      </c>
      <c r="B58" s="32" t="s">
        <v>18</v>
      </c>
      <c r="C58" s="32" t="s">
        <v>3</v>
      </c>
      <c r="D58" s="32" t="s">
        <v>9</v>
      </c>
      <c r="E58" s="32">
        <v>200</v>
      </c>
      <c r="F58" s="32">
        <f>VLOOKUP(Таблица1[[#This Row],[Наименование Товара]],Товары_цена[],3,0)</f>
        <v>32</v>
      </c>
      <c r="G58" s="33">
        <f>Таблица1[[#This Row],[Количество]]*Таблица1[[#This Row],[Цена]]</f>
        <v>6400</v>
      </c>
      <c r="H58" s="32"/>
      <c r="I58" s="32"/>
      <c r="J58" s="32">
        <f>Таблица1[[#This Row],[Количество к возврату]]*Таблица1[[#This Row],[Цена]]</f>
        <v>0</v>
      </c>
      <c r="K58" s="52">
        <f>Таблица1[[#This Row],[Стоимость]]-Таблица1[[#This Row],[Стоимость возврата]]</f>
        <v>6400</v>
      </c>
    </row>
    <row r="59" spans="1:11" x14ac:dyDescent="0.2">
      <c r="A59" s="31">
        <v>42892</v>
      </c>
      <c r="B59" s="32" t="s">
        <v>20</v>
      </c>
      <c r="C59" s="32" t="s">
        <v>3</v>
      </c>
      <c r="D59" s="32" t="s">
        <v>28</v>
      </c>
      <c r="E59" s="32">
        <v>210</v>
      </c>
      <c r="F59" s="32">
        <f>VLOOKUP(Таблица1[[#This Row],[Наименование Товара]],Товары_цена[],3,0)</f>
        <v>87</v>
      </c>
      <c r="G59" s="33">
        <f>Таблица1[[#This Row],[Количество]]*Таблица1[[#This Row],[Цена]]</f>
        <v>18270</v>
      </c>
      <c r="H59" s="31">
        <v>42904</v>
      </c>
      <c r="I59" s="32">
        <v>50</v>
      </c>
      <c r="J59" s="32">
        <f>Таблица1[[#This Row],[Количество к возврату]]*Таблица1[[#This Row],[Цена]]</f>
        <v>4350</v>
      </c>
      <c r="K59" s="52">
        <f>Таблица1[[#This Row],[Стоимость]]-Таблица1[[#This Row],[Стоимость возврата]]</f>
        <v>13920</v>
      </c>
    </row>
    <row r="60" spans="1:11" x14ac:dyDescent="0.2">
      <c r="A60" s="31">
        <v>42894</v>
      </c>
      <c r="B60" s="32" t="s">
        <v>18</v>
      </c>
      <c r="C60" s="32" t="s">
        <v>2</v>
      </c>
      <c r="D60" s="32" t="s">
        <v>27</v>
      </c>
      <c r="E60" s="32">
        <v>120</v>
      </c>
      <c r="F60" s="32">
        <f>VLOOKUP(Таблица1[[#This Row],[Наименование Товара]],Товары_цена[],3,0)</f>
        <v>65</v>
      </c>
      <c r="G60" s="33">
        <f>Таблица1[[#This Row],[Количество]]*Таблица1[[#This Row],[Цена]]</f>
        <v>7800</v>
      </c>
      <c r="H60" s="32"/>
      <c r="I60" s="32"/>
      <c r="J60" s="32">
        <f>Таблица1[[#This Row],[Количество к возврату]]*Таблица1[[#This Row],[Цена]]</f>
        <v>0</v>
      </c>
      <c r="K60" s="52">
        <f>Таблица1[[#This Row],[Стоимость]]-Таблица1[[#This Row],[Стоимость возврата]]</f>
        <v>7800</v>
      </c>
    </row>
    <row r="61" spans="1:11" x14ac:dyDescent="0.2">
      <c r="A61" s="31">
        <v>42895</v>
      </c>
      <c r="B61" s="32" t="s">
        <v>19</v>
      </c>
      <c r="C61" s="32" t="s">
        <v>2</v>
      </c>
      <c r="D61" s="32" t="s">
        <v>65</v>
      </c>
      <c r="E61" s="32">
        <v>180</v>
      </c>
      <c r="F61" s="32">
        <f>VLOOKUP(Таблица1[[#This Row],[Наименование Товара]],Товары_цена[],3,0)</f>
        <v>136</v>
      </c>
      <c r="G61" s="33">
        <f>Таблица1[[#This Row],[Количество]]*Таблица1[[#This Row],[Цена]]</f>
        <v>24480</v>
      </c>
      <c r="H61" s="31">
        <v>42914</v>
      </c>
      <c r="I61" s="32">
        <v>80</v>
      </c>
      <c r="J61" s="32">
        <f>Таблица1[[#This Row],[Количество к возврату]]*Таблица1[[#This Row],[Цена]]</f>
        <v>10880</v>
      </c>
      <c r="K61" s="52">
        <f>Таблица1[[#This Row],[Стоимость]]-Таблица1[[#This Row],[Стоимость возврата]]</f>
        <v>13600</v>
      </c>
    </row>
    <row r="62" spans="1:11" x14ac:dyDescent="0.2">
      <c r="A62" s="31">
        <v>42896</v>
      </c>
      <c r="B62" s="32" t="s">
        <v>19</v>
      </c>
      <c r="C62" s="32" t="s">
        <v>4</v>
      </c>
      <c r="D62" s="32" t="s">
        <v>64</v>
      </c>
      <c r="E62" s="32">
        <v>12</v>
      </c>
      <c r="F62" s="32">
        <f>VLOOKUP(Таблица1[[#This Row],[Наименование Товара]],Товары_цена[],3,0)</f>
        <v>110</v>
      </c>
      <c r="G62" s="33">
        <f>Таблица1[[#This Row],[Количество]]*Таблица1[[#This Row],[Цена]]</f>
        <v>1320</v>
      </c>
      <c r="H62" s="32"/>
      <c r="I62" s="32"/>
      <c r="J62" s="32">
        <f>Таблица1[[#This Row],[Количество к возврату]]*Таблица1[[#This Row],[Цена]]</f>
        <v>0</v>
      </c>
      <c r="K62" s="52">
        <f>Таблица1[[#This Row],[Стоимость]]-Таблица1[[#This Row],[Стоимость возврата]]</f>
        <v>1320</v>
      </c>
    </row>
    <row r="63" spans="1:11" x14ac:dyDescent="0.2">
      <c r="A63" s="31">
        <v>42899</v>
      </c>
      <c r="B63" s="32" t="s">
        <v>17</v>
      </c>
      <c r="C63" s="32" t="s">
        <v>3</v>
      </c>
      <c r="D63" s="32" t="s">
        <v>28</v>
      </c>
      <c r="E63" s="32">
        <v>160</v>
      </c>
      <c r="F63" s="32">
        <f>VLOOKUP(Таблица1[[#This Row],[Наименование Товара]],Товары_цена[],3,0)</f>
        <v>87</v>
      </c>
      <c r="G63" s="33">
        <f>Таблица1[[#This Row],[Количество]]*Таблица1[[#This Row],[Цена]]</f>
        <v>13920</v>
      </c>
      <c r="H63" s="32"/>
      <c r="I63" s="32"/>
      <c r="J63" s="32">
        <f>Таблица1[[#This Row],[Количество к возврату]]*Таблица1[[#This Row],[Цена]]</f>
        <v>0</v>
      </c>
      <c r="K63" s="52">
        <f>Таблица1[[#This Row],[Стоимость]]-Таблица1[[#This Row],[Стоимость возврата]]</f>
        <v>13920</v>
      </c>
    </row>
    <row r="64" spans="1:11" x14ac:dyDescent="0.2">
      <c r="A64" s="31">
        <v>42898</v>
      </c>
      <c r="B64" s="32" t="s">
        <v>20</v>
      </c>
      <c r="C64" s="32" t="s">
        <v>3</v>
      </c>
      <c r="D64" s="32" t="s">
        <v>64</v>
      </c>
      <c r="E64" s="32">
        <v>41</v>
      </c>
      <c r="F64" s="32">
        <f>VLOOKUP(Таблица1[[#This Row],[Наименование Товара]],Товары_цена[],3,0)</f>
        <v>110</v>
      </c>
      <c r="G64" s="33">
        <f>Таблица1[[#This Row],[Количество]]*Таблица1[[#This Row],[Цена]]</f>
        <v>4510</v>
      </c>
      <c r="H64" s="32"/>
      <c r="I64" s="32"/>
      <c r="J64" s="32">
        <f>Таблица1[[#This Row],[Количество к возврату]]*Таблица1[[#This Row],[Цена]]</f>
        <v>0</v>
      </c>
      <c r="K64" s="52">
        <f>Таблица1[[#This Row],[Стоимость]]-Таблица1[[#This Row],[Стоимость возврата]]</f>
        <v>4510</v>
      </c>
    </row>
    <row r="65" spans="1:11" x14ac:dyDescent="0.2">
      <c r="A65" s="31">
        <v>42899</v>
      </c>
      <c r="B65" s="32" t="s">
        <v>17</v>
      </c>
      <c r="C65" s="32" t="s">
        <v>3</v>
      </c>
      <c r="D65" s="32" t="s">
        <v>65</v>
      </c>
      <c r="E65" s="32">
        <v>20</v>
      </c>
      <c r="F65" s="32">
        <f>VLOOKUP(Таблица1[[#This Row],[Наименование Товара]],Товары_цена[],3,0)</f>
        <v>136</v>
      </c>
      <c r="G65" s="33">
        <f>Таблица1[[#This Row],[Количество]]*Таблица1[[#This Row],[Цена]]</f>
        <v>2720</v>
      </c>
      <c r="H65" s="32"/>
      <c r="I65" s="32"/>
      <c r="J65" s="32">
        <f>Таблица1[[#This Row],[Количество к возврату]]*Таблица1[[#This Row],[Цена]]</f>
        <v>0</v>
      </c>
      <c r="K65" s="52">
        <f>Таблица1[[#This Row],[Стоимость]]-Таблица1[[#This Row],[Стоимость возврата]]</f>
        <v>2720</v>
      </c>
    </row>
    <row r="66" spans="1:11" x14ac:dyDescent="0.2">
      <c r="A66" s="31">
        <v>42901</v>
      </c>
      <c r="B66" s="32" t="s">
        <v>20</v>
      </c>
      <c r="C66" s="32" t="s">
        <v>2</v>
      </c>
      <c r="D66" s="32" t="s">
        <v>7</v>
      </c>
      <c r="E66" s="32">
        <v>100</v>
      </c>
      <c r="F66" s="32">
        <f>VLOOKUP(Таблица1[[#This Row],[Наименование Товара]],Товары_цена[],3,0)</f>
        <v>25</v>
      </c>
      <c r="G66" s="33">
        <f>Таблица1[[#This Row],[Количество]]*Таблица1[[#This Row],[Цена]]</f>
        <v>2500</v>
      </c>
      <c r="H66" s="31">
        <v>42917</v>
      </c>
      <c r="I66" s="32">
        <v>12</v>
      </c>
      <c r="J66" s="32">
        <f>Таблица1[[#This Row],[Количество к возврату]]*Таблица1[[#This Row],[Цена]]</f>
        <v>300</v>
      </c>
      <c r="K66" s="52">
        <f>Таблица1[[#This Row],[Стоимость]]-Таблица1[[#This Row],[Стоимость возврата]]</f>
        <v>2200</v>
      </c>
    </row>
    <row r="67" spans="1:11" x14ac:dyDescent="0.2">
      <c r="A67" s="31">
        <v>42901</v>
      </c>
      <c r="B67" s="32" t="s">
        <v>19</v>
      </c>
      <c r="C67" s="32" t="s">
        <v>2</v>
      </c>
      <c r="D67" s="32" t="s">
        <v>9</v>
      </c>
      <c r="E67" s="32">
        <v>210</v>
      </c>
      <c r="F67" s="32">
        <f>VLOOKUP(Таблица1[[#This Row],[Наименование Товара]],Товары_цена[],3,0)</f>
        <v>32</v>
      </c>
      <c r="G67" s="33">
        <f>Таблица1[[#This Row],[Количество]]*Таблица1[[#This Row],[Цена]]</f>
        <v>6720</v>
      </c>
      <c r="H67" s="31">
        <v>42912</v>
      </c>
      <c r="I67" s="32">
        <v>80</v>
      </c>
      <c r="J67" s="32">
        <f>Таблица1[[#This Row],[Количество к возврату]]*Таблица1[[#This Row],[Цена]]</f>
        <v>2560</v>
      </c>
      <c r="K67" s="52">
        <f>Таблица1[[#This Row],[Стоимость]]-Таблица1[[#This Row],[Стоимость возврата]]</f>
        <v>4160</v>
      </c>
    </row>
    <row r="68" spans="1:11" x14ac:dyDescent="0.2">
      <c r="A68" s="31">
        <v>42931</v>
      </c>
      <c r="B68" s="32" t="s">
        <v>18</v>
      </c>
      <c r="C68" s="32" t="s">
        <v>2</v>
      </c>
      <c r="D68" s="32" t="s">
        <v>9</v>
      </c>
      <c r="E68" s="32">
        <v>100</v>
      </c>
      <c r="F68" s="32">
        <f>VLOOKUP(Таблица1[[#This Row],[Наименование Товара]],Товары_цена[],3,0)</f>
        <v>32</v>
      </c>
      <c r="G68" s="33">
        <f>Таблица1[[#This Row],[Количество]]*Таблица1[[#This Row],[Цена]]</f>
        <v>3200</v>
      </c>
      <c r="H68" s="32"/>
      <c r="I68" s="32"/>
      <c r="J68" s="32">
        <f>Таблица1[[#This Row],[Количество к возврату]]*Таблица1[[#This Row],[Цена]]</f>
        <v>0</v>
      </c>
      <c r="K68" s="52">
        <f>Таблица1[[#This Row],[Стоимость]]-Таблица1[[#This Row],[Стоимость возврата]]</f>
        <v>3200</v>
      </c>
    </row>
    <row r="69" spans="1:11" x14ac:dyDescent="0.2">
      <c r="A69" s="31">
        <v>42932</v>
      </c>
      <c r="B69" s="32" t="s">
        <v>19</v>
      </c>
      <c r="C69" s="32" t="s">
        <v>4</v>
      </c>
      <c r="D69" s="26" t="s">
        <v>26</v>
      </c>
      <c r="E69" s="32">
        <v>40</v>
      </c>
      <c r="F69" s="32">
        <f>VLOOKUP(Таблица1[[#This Row],[Наименование Товара]],Товары_цена[],3,0)</f>
        <v>54</v>
      </c>
      <c r="G69" s="33">
        <f>Таблица1[[#This Row],[Количество]]*Таблица1[[#This Row],[Цена]]</f>
        <v>2160</v>
      </c>
      <c r="H69" s="32"/>
      <c r="I69" s="32"/>
      <c r="J69" s="32">
        <f>Таблица1[[#This Row],[Количество к возврату]]*Таблица1[[#This Row],[Цена]]</f>
        <v>0</v>
      </c>
      <c r="K69" s="52">
        <f>Таблица1[[#This Row],[Стоимость]]-Таблица1[[#This Row],[Стоимость возврата]]</f>
        <v>2160</v>
      </c>
    </row>
    <row r="70" spans="1:11" x14ac:dyDescent="0.2">
      <c r="A70" s="31">
        <v>42933</v>
      </c>
      <c r="B70" s="32" t="s">
        <v>18</v>
      </c>
      <c r="C70" s="32" t="s">
        <v>3</v>
      </c>
      <c r="D70" s="32" t="s">
        <v>28</v>
      </c>
      <c r="E70" s="32">
        <v>60</v>
      </c>
      <c r="F70" s="32">
        <f>VLOOKUP(Таблица1[[#This Row],[Наименование Товара]],Товары_цена[],3,0)</f>
        <v>87</v>
      </c>
      <c r="G70" s="33">
        <f>Таблица1[[#This Row],[Количество]]*Таблица1[[#This Row],[Цена]]</f>
        <v>5220</v>
      </c>
      <c r="H70" s="32"/>
      <c r="I70" s="32"/>
      <c r="J70" s="32">
        <f>Таблица1[[#This Row],[Количество к возврату]]*Таблица1[[#This Row],[Цена]]</f>
        <v>0</v>
      </c>
      <c r="K70" s="52">
        <f>Таблица1[[#This Row],[Стоимость]]-Таблица1[[#This Row],[Стоимость возврата]]</f>
        <v>5220</v>
      </c>
    </row>
    <row r="71" spans="1:11" x14ac:dyDescent="0.2">
      <c r="A71" s="31">
        <v>42934</v>
      </c>
      <c r="B71" s="32" t="s">
        <v>17</v>
      </c>
      <c r="C71" s="32" t="s">
        <v>3</v>
      </c>
      <c r="D71" s="32" t="s">
        <v>64</v>
      </c>
      <c r="E71" s="32">
        <v>90</v>
      </c>
      <c r="F71" s="32">
        <f>VLOOKUP(Таблица1[[#This Row],[Наименование Товара]],Товары_цена[],3,0)</f>
        <v>110</v>
      </c>
      <c r="G71" s="33">
        <f>Таблица1[[#This Row],[Количество]]*Таблица1[[#This Row],[Цена]]</f>
        <v>9900</v>
      </c>
      <c r="H71" s="31">
        <v>42936</v>
      </c>
      <c r="I71" s="32">
        <v>10</v>
      </c>
      <c r="J71" s="32">
        <f>Таблица1[[#This Row],[Количество к возврату]]*Таблица1[[#This Row],[Цена]]</f>
        <v>1100</v>
      </c>
      <c r="K71" s="52">
        <f>Таблица1[[#This Row],[Стоимость]]-Таблица1[[#This Row],[Стоимость возврата]]</f>
        <v>8800</v>
      </c>
    </row>
    <row r="72" spans="1:11" x14ac:dyDescent="0.2">
      <c r="A72" s="31">
        <v>42935</v>
      </c>
      <c r="B72" s="32" t="s">
        <v>20</v>
      </c>
      <c r="C72" s="32" t="s">
        <v>3</v>
      </c>
      <c r="D72" s="32" t="s">
        <v>65</v>
      </c>
      <c r="E72" s="32">
        <v>100</v>
      </c>
      <c r="F72" s="32">
        <f>VLOOKUP(Таблица1[[#This Row],[Наименование Товара]],Товары_цена[],3,0)</f>
        <v>136</v>
      </c>
      <c r="G72" s="33">
        <f>Таблица1[[#This Row],[Количество]]*Таблица1[[#This Row],[Цена]]</f>
        <v>13600</v>
      </c>
      <c r="H72" s="32"/>
      <c r="I72" s="32"/>
      <c r="J72" s="32">
        <f>Таблица1[[#This Row],[Количество к возврату]]*Таблица1[[#This Row],[Цена]]</f>
        <v>0</v>
      </c>
      <c r="K72" s="52">
        <f>Таблица1[[#This Row],[Стоимость]]-Таблица1[[#This Row],[Стоимость возврата]]</f>
        <v>13600</v>
      </c>
    </row>
    <row r="73" spans="1:11" x14ac:dyDescent="0.2">
      <c r="A73" s="31">
        <v>42936</v>
      </c>
      <c r="B73" s="32" t="s">
        <v>17</v>
      </c>
      <c r="C73" s="32" t="s">
        <v>2</v>
      </c>
      <c r="D73" s="32" t="s">
        <v>10</v>
      </c>
      <c r="E73" s="32">
        <v>80</v>
      </c>
      <c r="F73" s="32">
        <f>VLOOKUP(Таблица1[[#This Row],[Наименование Товара]],Товары_цена[],3,0)</f>
        <v>45</v>
      </c>
      <c r="G73" s="33">
        <f>Таблица1[[#This Row],[Количество]]*Таблица1[[#This Row],[Цена]]</f>
        <v>3600</v>
      </c>
      <c r="H73" s="32"/>
      <c r="I73" s="32"/>
      <c r="J73" s="32">
        <f>Таблица1[[#This Row],[Количество к возврату]]*Таблица1[[#This Row],[Цена]]</f>
        <v>0</v>
      </c>
      <c r="K73" s="52">
        <f>Таблица1[[#This Row],[Стоимость]]-Таблица1[[#This Row],[Стоимость возврата]]</f>
        <v>3600</v>
      </c>
    </row>
    <row r="74" spans="1:11" x14ac:dyDescent="0.2">
      <c r="A74" s="31">
        <v>42937</v>
      </c>
      <c r="B74" s="32" t="s">
        <v>20</v>
      </c>
      <c r="C74" s="32" t="s">
        <v>2</v>
      </c>
      <c r="D74" s="26" t="s">
        <v>7</v>
      </c>
      <c r="E74" s="32">
        <v>90</v>
      </c>
      <c r="F74" s="32">
        <f>VLOOKUP(Таблица1[[#This Row],[Наименование Товара]],Товары_цена[],3,0)</f>
        <v>25</v>
      </c>
      <c r="G74" s="33">
        <f>Таблица1[[#This Row],[Количество]]*Таблица1[[#This Row],[Цена]]</f>
        <v>2250</v>
      </c>
      <c r="H74" s="32"/>
      <c r="I74" s="32"/>
      <c r="J74" s="32">
        <f>Таблица1[[#This Row],[Количество к возврату]]*Таблица1[[#This Row],[Цена]]</f>
        <v>0</v>
      </c>
      <c r="K74" s="52">
        <f>Таблица1[[#This Row],[Стоимость]]-Таблица1[[#This Row],[Стоимость возврата]]</f>
        <v>2250</v>
      </c>
    </row>
    <row r="75" spans="1:11" x14ac:dyDescent="0.2">
      <c r="A75" s="31">
        <v>42938</v>
      </c>
      <c r="B75" s="32" t="s">
        <v>19</v>
      </c>
      <c r="C75" s="32" t="s">
        <v>2</v>
      </c>
      <c r="D75" s="26" t="s">
        <v>9</v>
      </c>
      <c r="E75" s="32">
        <v>56</v>
      </c>
      <c r="F75" s="32">
        <f>VLOOKUP(Таблица1[[#This Row],[Наименование Товара]],Товары_цена[],3,0)</f>
        <v>32</v>
      </c>
      <c r="G75" s="33">
        <f>Таблица1[[#This Row],[Количество]]*Таблица1[[#This Row],[Цена]]</f>
        <v>1792</v>
      </c>
      <c r="H75" s="32"/>
      <c r="I75" s="32"/>
      <c r="J75" s="32">
        <f>Таблица1[[#This Row],[Количество к возврату]]*Таблица1[[#This Row],[Цена]]</f>
        <v>0</v>
      </c>
      <c r="K75" s="52">
        <f>Таблица1[[#This Row],[Стоимость]]-Таблица1[[#This Row],[Стоимость возврата]]</f>
        <v>1792</v>
      </c>
    </row>
    <row r="76" spans="1:11" x14ac:dyDescent="0.2">
      <c r="A76" s="31">
        <v>42939</v>
      </c>
      <c r="B76" s="32" t="s">
        <v>18</v>
      </c>
      <c r="C76" s="32" t="s">
        <v>4</v>
      </c>
      <c r="D76" s="26" t="s">
        <v>10</v>
      </c>
      <c r="E76" s="32">
        <v>120</v>
      </c>
      <c r="F76" s="32">
        <f>VLOOKUP(Таблица1[[#This Row],[Наименование Товара]],Товары_цена[],3,0)</f>
        <v>45</v>
      </c>
      <c r="G76" s="33">
        <f>Таблица1[[#This Row],[Количество]]*Таблица1[[#This Row],[Цена]]</f>
        <v>5400</v>
      </c>
      <c r="H76" s="31">
        <v>42943</v>
      </c>
      <c r="I76" s="32">
        <v>40</v>
      </c>
      <c r="J76" s="32">
        <f>Таблица1[[#This Row],[Количество к возврату]]*Таблица1[[#This Row],[Цена]]</f>
        <v>1800</v>
      </c>
      <c r="K76" s="52">
        <f>Таблица1[[#This Row],[Стоимость]]-Таблица1[[#This Row],[Стоимость возврата]]</f>
        <v>3600</v>
      </c>
    </row>
    <row r="77" spans="1:11" x14ac:dyDescent="0.2">
      <c r="A77" s="31">
        <v>42940</v>
      </c>
      <c r="B77" s="32" t="s">
        <v>19</v>
      </c>
      <c r="C77" s="32" t="s">
        <v>3</v>
      </c>
      <c r="D77" s="26" t="s">
        <v>26</v>
      </c>
      <c r="E77" s="32">
        <v>80</v>
      </c>
      <c r="F77" s="32">
        <f>VLOOKUP(Таблица1[[#This Row],[Наименование Товара]],Товары_цена[],3,0)</f>
        <v>54</v>
      </c>
      <c r="G77" s="33">
        <f>Таблица1[[#This Row],[Количество]]*Таблица1[[#This Row],[Цена]]</f>
        <v>4320</v>
      </c>
      <c r="H77" s="32"/>
      <c r="I77" s="32"/>
      <c r="J77" s="32">
        <f>Таблица1[[#This Row],[Количество к возврату]]*Таблица1[[#This Row],[Цена]]</f>
        <v>0</v>
      </c>
      <c r="K77" s="52">
        <f>Таблица1[[#This Row],[Стоимость]]-Таблица1[[#This Row],[Стоимость возврата]]</f>
        <v>4320</v>
      </c>
    </row>
    <row r="78" spans="1:11" x14ac:dyDescent="0.2">
      <c r="A78" s="31">
        <v>42940</v>
      </c>
      <c r="B78" s="32" t="s">
        <v>19</v>
      </c>
      <c r="C78" s="32" t="s">
        <v>3</v>
      </c>
      <c r="D78" s="26" t="s">
        <v>26</v>
      </c>
      <c r="E78" s="32">
        <v>80</v>
      </c>
      <c r="F78" s="32">
        <f>VLOOKUP(Таблица1[[#This Row],[Наименование Товара]],Товары_цена[],3,0)</f>
        <v>54</v>
      </c>
      <c r="G78" s="33">
        <f>Таблица1[[#This Row],[Количество]]*Таблица1[[#This Row],[Цена]]</f>
        <v>4320</v>
      </c>
      <c r="H78" s="32"/>
      <c r="I78" s="32"/>
      <c r="J78" s="32">
        <f>Таблица1[[#This Row],[Количество к возврату]]*Таблица1[[#This Row],[Цена]]</f>
        <v>0</v>
      </c>
      <c r="K78" s="52">
        <f>Таблица1[[#This Row],[Стоимость]]-Таблица1[[#This Row],[Стоимость возврата]]</f>
        <v>4320</v>
      </c>
    </row>
    <row r="79" spans="1:11" x14ac:dyDescent="0.2">
      <c r="A79" s="31">
        <v>42941</v>
      </c>
      <c r="B79" s="32" t="s">
        <v>18</v>
      </c>
      <c r="C79" s="32" t="s">
        <v>3</v>
      </c>
      <c r="D79" s="26" t="s">
        <v>27</v>
      </c>
      <c r="E79" s="32">
        <v>40</v>
      </c>
      <c r="F79" s="32">
        <f>VLOOKUP(Таблица1[[#This Row],[Наименование Товара]],Товары_цена[],3,0)</f>
        <v>65</v>
      </c>
      <c r="G79" s="33">
        <f>Таблица1[[#This Row],[Количество]]*Таблица1[[#This Row],[Цена]]</f>
        <v>2600</v>
      </c>
      <c r="H79" s="32"/>
      <c r="I79" s="32"/>
      <c r="J79" s="32">
        <f>Таблица1[[#This Row],[Количество к возврату]]*Таблица1[[#This Row],[Цена]]</f>
        <v>0</v>
      </c>
      <c r="K79" s="52">
        <f>Таблица1[[#This Row],[Стоимость]]-Таблица1[[#This Row],[Стоимость возврата]]</f>
        <v>2600</v>
      </c>
    </row>
    <row r="80" spans="1:11" x14ac:dyDescent="0.2">
      <c r="A80" s="31">
        <v>42941</v>
      </c>
      <c r="B80" s="32" t="s">
        <v>18</v>
      </c>
      <c r="C80" s="32" t="s">
        <v>3</v>
      </c>
      <c r="D80" s="26" t="s">
        <v>27</v>
      </c>
      <c r="E80" s="32">
        <v>40</v>
      </c>
      <c r="F80" s="32">
        <f>VLOOKUP(Таблица1[[#This Row],[Наименование Товара]],Товары_цена[],3,0)</f>
        <v>65</v>
      </c>
      <c r="G80" s="33">
        <f>Таблица1[[#This Row],[Количество]]*Таблица1[[#This Row],[Цена]]</f>
        <v>2600</v>
      </c>
      <c r="H80" s="32"/>
      <c r="I80" s="32"/>
      <c r="J80" s="32">
        <f>Таблица1[[#This Row],[Количество к возврату]]*Таблица1[[#This Row],[Цена]]</f>
        <v>0</v>
      </c>
      <c r="K80" s="52">
        <f>Таблица1[[#This Row],[Стоимость]]-Таблица1[[#This Row],[Стоимость возврата]]</f>
        <v>2600</v>
      </c>
    </row>
    <row r="81" spans="1:11" x14ac:dyDescent="0.2">
      <c r="A81" s="31">
        <v>42942</v>
      </c>
      <c r="B81" s="32" t="s">
        <v>17</v>
      </c>
      <c r="C81" s="32" t="s">
        <v>3</v>
      </c>
      <c r="D81" s="32" t="s">
        <v>28</v>
      </c>
      <c r="E81" s="32">
        <v>70</v>
      </c>
      <c r="F81" s="32">
        <f>VLOOKUP(Таблица1[[#This Row],[Наименование Товара]],Товары_цена[],3,0)</f>
        <v>87</v>
      </c>
      <c r="G81" s="33">
        <f>Таблица1[[#This Row],[Количество]]*Таблица1[[#This Row],[Цена]]</f>
        <v>6090</v>
      </c>
      <c r="H81" s="31">
        <v>42948</v>
      </c>
      <c r="I81" s="32">
        <v>10</v>
      </c>
      <c r="J81" s="32">
        <f>Таблица1[[#This Row],[Количество к возврату]]*Таблица1[[#This Row],[Цена]]</f>
        <v>870</v>
      </c>
      <c r="K81" s="52">
        <f>Таблица1[[#This Row],[Стоимость]]-Таблица1[[#This Row],[Стоимость возврата]]</f>
        <v>5220</v>
      </c>
    </row>
    <row r="82" spans="1:11" x14ac:dyDescent="0.2">
      <c r="A82" s="31">
        <v>42942</v>
      </c>
      <c r="B82" s="32" t="s">
        <v>17</v>
      </c>
      <c r="C82" s="32" t="s">
        <v>3</v>
      </c>
      <c r="D82" s="32" t="s">
        <v>28</v>
      </c>
      <c r="E82" s="32">
        <v>70</v>
      </c>
      <c r="F82" s="32">
        <f>VLOOKUP(Таблица1[[#This Row],[Наименование Товара]],Товары_цена[],3,0)</f>
        <v>87</v>
      </c>
      <c r="G82" s="33">
        <f>Таблица1[[#This Row],[Количество]]*Таблица1[[#This Row],[Цена]]</f>
        <v>6090</v>
      </c>
      <c r="H82" s="32"/>
      <c r="I82" s="32"/>
      <c r="J82" s="32">
        <f>Таблица1[[#This Row],[Количество к возврату]]*Таблица1[[#This Row],[Цена]]</f>
        <v>0</v>
      </c>
      <c r="K82" s="52">
        <f>Таблица1[[#This Row],[Стоимость]]-Таблица1[[#This Row],[Стоимость возврата]]</f>
        <v>6090</v>
      </c>
    </row>
    <row r="83" spans="1:11" x14ac:dyDescent="0.2">
      <c r="A83" s="31">
        <v>42943</v>
      </c>
      <c r="B83" s="32" t="s">
        <v>20</v>
      </c>
      <c r="C83" s="32" t="s">
        <v>2</v>
      </c>
      <c r="D83" s="26" t="s">
        <v>64</v>
      </c>
      <c r="E83" s="32">
        <v>170</v>
      </c>
      <c r="F83" s="32">
        <f>VLOOKUP(Таблица1[[#This Row],[Наименование Товара]],Товары_цена[],3,0)</f>
        <v>110</v>
      </c>
      <c r="G83" s="33">
        <f>Таблица1[[#This Row],[Количество]]*Таблица1[[#This Row],[Цена]]</f>
        <v>18700</v>
      </c>
      <c r="H83" s="31">
        <v>41850</v>
      </c>
      <c r="I83" s="32">
        <v>40</v>
      </c>
      <c r="J83" s="32">
        <f>Таблица1[[#This Row],[Количество к возврату]]*Таблица1[[#This Row],[Цена]]</f>
        <v>4400</v>
      </c>
      <c r="K83" s="52">
        <f>Таблица1[[#This Row],[Стоимость]]-Таблица1[[#This Row],[Стоимость возврата]]</f>
        <v>14300</v>
      </c>
    </row>
    <row r="84" spans="1:11" x14ac:dyDescent="0.2">
      <c r="A84" s="31">
        <v>42943</v>
      </c>
      <c r="B84" s="32" t="s">
        <v>20</v>
      </c>
      <c r="C84" s="32" t="s">
        <v>2</v>
      </c>
      <c r="D84" s="26" t="s">
        <v>64</v>
      </c>
      <c r="E84" s="32">
        <v>170</v>
      </c>
      <c r="F84" s="32">
        <f>VLOOKUP(Таблица1[[#This Row],[Наименование Товара]],Товары_цена[],3,0)</f>
        <v>110</v>
      </c>
      <c r="G84" s="33">
        <f>Таблица1[[#This Row],[Количество]]*Таблица1[[#This Row],[Цена]]</f>
        <v>18700</v>
      </c>
      <c r="H84" s="32"/>
      <c r="I84" s="32"/>
      <c r="J84" s="32">
        <f>Таблица1[[#This Row],[Количество к возврату]]*Таблица1[[#This Row],[Цена]]</f>
        <v>0</v>
      </c>
      <c r="K84" s="52">
        <f>Таблица1[[#This Row],[Стоимость]]-Таблица1[[#This Row],[Стоимость возврата]]</f>
        <v>18700</v>
      </c>
    </row>
    <row r="85" spans="1:11" x14ac:dyDescent="0.2">
      <c r="A85" s="31">
        <v>42944</v>
      </c>
      <c r="B85" s="32" t="s">
        <v>17</v>
      </c>
      <c r="C85" s="32" t="s">
        <v>2</v>
      </c>
      <c r="D85" s="26" t="s">
        <v>65</v>
      </c>
      <c r="E85" s="32">
        <v>49</v>
      </c>
      <c r="F85" s="32">
        <f>VLOOKUP(Таблица1[[#This Row],[Наименование Товара]],Товары_цена[],3,0)</f>
        <v>136</v>
      </c>
      <c r="G85" s="33">
        <f>Таблица1[[#This Row],[Количество]]*Таблица1[[#This Row],[Цена]]</f>
        <v>6664</v>
      </c>
      <c r="H85" s="32"/>
      <c r="I85" s="32"/>
      <c r="J85" s="32">
        <f>Таблица1[[#This Row],[Количество к возврату]]*Таблица1[[#This Row],[Цена]]</f>
        <v>0</v>
      </c>
      <c r="K85" s="52">
        <f>Таблица1[[#This Row],[Стоимость]]-Таблица1[[#This Row],[Стоимость возврата]]</f>
        <v>6664</v>
      </c>
    </row>
    <row r="86" spans="1:11" x14ac:dyDescent="0.2">
      <c r="A86" s="31">
        <v>42945</v>
      </c>
      <c r="B86" s="32" t="s">
        <v>16</v>
      </c>
      <c r="C86" s="32" t="s">
        <v>2</v>
      </c>
      <c r="D86" s="26" t="s">
        <v>7</v>
      </c>
      <c r="E86" s="32">
        <v>120</v>
      </c>
      <c r="F86" s="32">
        <f>VLOOKUP(Таблица1[[#This Row],[Наименование Товара]],Товары_цена[],3,0)</f>
        <v>25</v>
      </c>
      <c r="G86" s="33">
        <f>Таблица1[[#This Row],[Количество]]*Таблица1[[#This Row],[Цена]]</f>
        <v>3000</v>
      </c>
      <c r="H86" s="32"/>
      <c r="I86" s="32"/>
      <c r="J86" s="32">
        <f>Таблица1[[#This Row],[Количество к возврату]]*Таблица1[[#This Row],[Цена]]</f>
        <v>0</v>
      </c>
      <c r="K86" s="52">
        <f>Таблица1[[#This Row],[Стоимость]]-Таблица1[[#This Row],[Стоимость возврата]]</f>
        <v>3000</v>
      </c>
    </row>
    <row r="87" spans="1:11" x14ac:dyDescent="0.2">
      <c r="A87" s="31">
        <v>42956</v>
      </c>
      <c r="B87" s="32" t="s">
        <v>18</v>
      </c>
      <c r="C87" s="32" t="s">
        <v>4</v>
      </c>
      <c r="D87" s="26" t="s">
        <v>9</v>
      </c>
      <c r="E87" s="32">
        <v>100</v>
      </c>
      <c r="F87" s="32">
        <f>VLOOKUP(Таблица1[[#This Row],[Наименование Товара]],Товары_цена[],3,0)</f>
        <v>32</v>
      </c>
      <c r="G87" s="33">
        <f>Таблица1[[#This Row],[Количество]]*Таблица1[[#This Row],[Цена]]</f>
        <v>3200</v>
      </c>
      <c r="H87" s="32"/>
      <c r="I87" s="32"/>
      <c r="J87" s="32">
        <f>Таблица1[[#This Row],[Количество к возврату]]*Таблица1[[#This Row],[Цена]]</f>
        <v>0</v>
      </c>
      <c r="K87" s="52">
        <f>Таблица1[[#This Row],[Стоимость]]-Таблица1[[#This Row],[Стоимость возврата]]</f>
        <v>3200</v>
      </c>
    </row>
    <row r="88" spans="1:11" x14ac:dyDescent="0.2">
      <c r="A88" s="31">
        <v>42957</v>
      </c>
      <c r="B88" s="32" t="s">
        <v>19</v>
      </c>
      <c r="C88" s="32" t="s">
        <v>3</v>
      </c>
      <c r="D88" s="26" t="s">
        <v>10</v>
      </c>
      <c r="E88" s="32">
        <v>50</v>
      </c>
      <c r="F88" s="32">
        <f>VLOOKUP(Таблица1[[#This Row],[Наименование Товара]],Товары_цена[],3,0)</f>
        <v>45</v>
      </c>
      <c r="G88" s="33">
        <f>Таблица1[[#This Row],[Количество]]*Таблица1[[#This Row],[Цена]]</f>
        <v>2250</v>
      </c>
      <c r="H88" s="31">
        <v>42959</v>
      </c>
      <c r="I88" s="32">
        <v>10</v>
      </c>
      <c r="J88" s="32">
        <f>Таблица1[[#This Row],[Количество к возврату]]*Таблица1[[#This Row],[Цена]]</f>
        <v>450</v>
      </c>
      <c r="K88" s="52">
        <f>Таблица1[[#This Row],[Стоимость]]-Таблица1[[#This Row],[Стоимость возврата]]</f>
        <v>1800</v>
      </c>
    </row>
    <row r="89" spans="1:11" x14ac:dyDescent="0.2">
      <c r="A89" s="31">
        <v>42958</v>
      </c>
      <c r="B89" s="32" t="s">
        <v>18</v>
      </c>
      <c r="C89" s="32" t="s">
        <v>2</v>
      </c>
      <c r="D89" s="26" t="s">
        <v>26</v>
      </c>
      <c r="E89" s="32">
        <v>100</v>
      </c>
      <c r="F89" s="32">
        <f>VLOOKUP(Таблица1[[#This Row],[Наименование Товара]],Товары_цена[],3,0)</f>
        <v>54</v>
      </c>
      <c r="G89" s="33">
        <f>Таблица1[[#This Row],[Количество]]*Таблица1[[#This Row],[Цена]]</f>
        <v>5400</v>
      </c>
      <c r="H89" s="32"/>
      <c r="I89" s="32"/>
      <c r="J89" s="32">
        <f>Таблица1[[#This Row],[Количество к возврату]]*Таблица1[[#This Row],[Цена]]</f>
        <v>0</v>
      </c>
      <c r="K89" s="52">
        <f>Таблица1[[#This Row],[Стоимость]]-Таблица1[[#This Row],[Стоимость возврата]]</f>
        <v>5400</v>
      </c>
    </row>
    <row r="90" spans="1:11" x14ac:dyDescent="0.2">
      <c r="A90" s="31">
        <v>42959</v>
      </c>
      <c r="B90" s="32" t="s">
        <v>17</v>
      </c>
      <c r="C90" s="32" t="s">
        <v>2</v>
      </c>
      <c r="D90" s="26" t="s">
        <v>27</v>
      </c>
      <c r="E90" s="32">
        <v>180</v>
      </c>
      <c r="F90" s="32">
        <f>VLOOKUP(Таблица1[[#This Row],[Наименование Товара]],Товары_цена[],3,0)</f>
        <v>65</v>
      </c>
      <c r="G90" s="33">
        <f>Таблица1[[#This Row],[Количество]]*Таблица1[[#This Row],[Цена]]</f>
        <v>11700</v>
      </c>
      <c r="H90" s="32"/>
      <c r="I90" s="32"/>
      <c r="J90" s="32">
        <f>Таблица1[[#This Row],[Количество к возврату]]*Таблица1[[#This Row],[Цена]]</f>
        <v>0</v>
      </c>
      <c r="K90" s="52">
        <f>Таблица1[[#This Row],[Стоимость]]-Таблица1[[#This Row],[Стоимость возврата]]</f>
        <v>11700</v>
      </c>
    </row>
    <row r="91" spans="1:11" x14ac:dyDescent="0.2">
      <c r="A91" s="31">
        <v>42960</v>
      </c>
      <c r="B91" s="32" t="s">
        <v>20</v>
      </c>
      <c r="C91" s="32" t="s">
        <v>4</v>
      </c>
      <c r="D91" s="32" t="s">
        <v>28</v>
      </c>
      <c r="E91" s="32">
        <v>170</v>
      </c>
      <c r="F91" s="32">
        <f>VLOOKUP(Таблица1[[#This Row],[Наименование Товара]],Товары_цена[],3,0)</f>
        <v>87</v>
      </c>
      <c r="G91" s="33">
        <f>Таблица1[[#This Row],[Количество]]*Таблица1[[#This Row],[Цена]]</f>
        <v>14790</v>
      </c>
      <c r="H91" s="32"/>
      <c r="I91" s="32"/>
      <c r="J91" s="32">
        <f>Таблица1[[#This Row],[Количество к возврату]]*Таблица1[[#This Row],[Цена]]</f>
        <v>0</v>
      </c>
      <c r="K91" s="52">
        <f>Таблица1[[#This Row],[Стоимость]]-Таблица1[[#This Row],[Стоимость возврата]]</f>
        <v>14790</v>
      </c>
    </row>
    <row r="92" spans="1:11" x14ac:dyDescent="0.2">
      <c r="A92" s="31">
        <v>42961</v>
      </c>
      <c r="B92" s="32" t="s">
        <v>17</v>
      </c>
      <c r="C92" s="32" t="s">
        <v>3</v>
      </c>
      <c r="D92" s="26" t="s">
        <v>64</v>
      </c>
      <c r="E92" s="32">
        <v>80</v>
      </c>
      <c r="F92" s="32">
        <f>VLOOKUP(Таблица1[[#This Row],[Наименование Товара]],Товары_цена[],3,0)</f>
        <v>110</v>
      </c>
      <c r="G92" s="33">
        <f>Таблица1[[#This Row],[Количество]]*Таблица1[[#This Row],[Цена]]</f>
        <v>8800</v>
      </c>
      <c r="H92" s="32"/>
      <c r="I92" s="32"/>
      <c r="J92" s="32">
        <f>Таблица1[[#This Row],[Количество к возврату]]*Таблица1[[#This Row],[Цена]]</f>
        <v>0</v>
      </c>
      <c r="K92" s="52">
        <f>Таблица1[[#This Row],[Стоимость]]-Таблица1[[#This Row],[Стоимость возврата]]</f>
        <v>8800</v>
      </c>
    </row>
    <row r="93" spans="1:11" x14ac:dyDescent="0.2">
      <c r="A93" s="31">
        <v>42961</v>
      </c>
      <c r="B93" s="32" t="s">
        <v>17</v>
      </c>
      <c r="C93" s="32" t="s">
        <v>3</v>
      </c>
      <c r="D93" s="26" t="s">
        <v>64</v>
      </c>
      <c r="E93" s="32">
        <v>80</v>
      </c>
      <c r="F93" s="32">
        <f>VLOOKUP(Таблица1[[#This Row],[Наименование Товара]],Товары_цена[],3,0)</f>
        <v>110</v>
      </c>
      <c r="G93" s="33">
        <f>Таблица1[[#This Row],[Количество]]*Таблица1[[#This Row],[Цена]]</f>
        <v>8800</v>
      </c>
      <c r="H93" s="31">
        <v>42967</v>
      </c>
      <c r="I93" s="32">
        <v>20</v>
      </c>
      <c r="J93" s="32">
        <f>Таблица1[[#This Row],[Количество к возврату]]*Таблица1[[#This Row],[Цена]]</f>
        <v>2200</v>
      </c>
      <c r="K93" s="52">
        <f>Таблица1[[#This Row],[Стоимость]]-Таблица1[[#This Row],[Стоимость возврата]]</f>
        <v>6600</v>
      </c>
    </row>
    <row r="94" spans="1:11" x14ac:dyDescent="0.2">
      <c r="A94" s="31">
        <v>42962</v>
      </c>
      <c r="B94" s="32" t="s">
        <v>16</v>
      </c>
      <c r="C94" s="32" t="s">
        <v>3</v>
      </c>
      <c r="D94" s="26" t="s">
        <v>65</v>
      </c>
      <c r="E94" s="32">
        <v>60</v>
      </c>
      <c r="F94" s="32">
        <f>VLOOKUP(Таблица1[[#This Row],[Наименование Товара]],Товары_цена[],3,0)</f>
        <v>136</v>
      </c>
      <c r="G94" s="33">
        <f>Таблица1[[#This Row],[Количество]]*Таблица1[[#This Row],[Цена]]</f>
        <v>8160</v>
      </c>
      <c r="H94" s="32"/>
      <c r="I94" s="32"/>
      <c r="J94" s="32">
        <f>Таблица1[[#This Row],[Количество к возврату]]*Таблица1[[#This Row],[Цена]]</f>
        <v>0</v>
      </c>
      <c r="K94" s="52">
        <f>Таблица1[[#This Row],[Стоимость]]-Таблица1[[#This Row],[Стоимость возврата]]</f>
        <v>8160</v>
      </c>
    </row>
    <row r="95" spans="1:11" x14ac:dyDescent="0.2">
      <c r="A95" s="31">
        <v>42962</v>
      </c>
      <c r="B95" s="32" t="s">
        <v>16</v>
      </c>
      <c r="C95" s="32" t="s">
        <v>3</v>
      </c>
      <c r="D95" s="26" t="s">
        <v>64</v>
      </c>
      <c r="E95" s="32">
        <v>60</v>
      </c>
      <c r="F95" s="32">
        <f>VLOOKUP(Таблица1[[#This Row],[Наименование Товара]],Товары_цена[],3,0)</f>
        <v>110</v>
      </c>
      <c r="G95" s="33">
        <f>Таблица1[[#This Row],[Количество]]*Таблица1[[#This Row],[Цена]]</f>
        <v>6600</v>
      </c>
      <c r="H95" s="32"/>
      <c r="I95" s="32"/>
      <c r="J95" s="32">
        <f>Таблица1[[#This Row],[Количество к возврату]]*Таблица1[[#This Row],[Цена]]</f>
        <v>0</v>
      </c>
      <c r="K95" s="52">
        <f>Таблица1[[#This Row],[Стоимость]]-Таблица1[[#This Row],[Стоимость возврата]]</f>
        <v>6600</v>
      </c>
    </row>
    <row r="96" spans="1:11" x14ac:dyDescent="0.2">
      <c r="A96" s="31">
        <v>42963</v>
      </c>
      <c r="B96" s="32" t="s">
        <v>18</v>
      </c>
      <c r="C96" s="32" t="s">
        <v>3</v>
      </c>
      <c r="D96" s="26" t="s">
        <v>7</v>
      </c>
      <c r="E96" s="32">
        <v>130</v>
      </c>
      <c r="F96" s="32">
        <f>VLOOKUP(Таблица1[[#This Row],[Наименование Товара]],Товары_цена[],3,0)</f>
        <v>25</v>
      </c>
      <c r="G96" s="33">
        <f>Таблица1[[#This Row],[Количество]]*Таблица1[[#This Row],[Цена]]</f>
        <v>3250</v>
      </c>
      <c r="H96" s="31">
        <v>42967</v>
      </c>
      <c r="I96" s="32">
        <v>40</v>
      </c>
      <c r="J96" s="32">
        <f>Таблица1[[#This Row],[Количество к возврату]]*Таблица1[[#This Row],[Цена]]</f>
        <v>1000</v>
      </c>
      <c r="K96" s="52">
        <f>Таблица1[[#This Row],[Стоимость]]-Таблица1[[#This Row],[Стоимость возврата]]</f>
        <v>2250</v>
      </c>
    </row>
    <row r="97" spans="1:11" x14ac:dyDescent="0.2">
      <c r="A97" s="31">
        <v>42963</v>
      </c>
      <c r="B97" s="32" t="s">
        <v>18</v>
      </c>
      <c r="C97" s="32" t="s">
        <v>3</v>
      </c>
      <c r="D97" s="26" t="s">
        <v>9</v>
      </c>
      <c r="E97" s="32">
        <v>130</v>
      </c>
      <c r="F97" s="32">
        <f>VLOOKUP(Таблица1[[#This Row],[Наименование Товара]],Товары_цена[],3,0)</f>
        <v>32</v>
      </c>
      <c r="G97" s="33">
        <f>Таблица1[[#This Row],[Количество]]*Таблица1[[#This Row],[Цена]]</f>
        <v>4160</v>
      </c>
      <c r="H97" s="32"/>
      <c r="I97" s="32"/>
      <c r="J97" s="32">
        <f>Таблица1[[#This Row],[Количество к возврату]]*Таблица1[[#This Row],[Цена]]</f>
        <v>0</v>
      </c>
      <c r="K97" s="52">
        <f>Таблица1[[#This Row],[Стоимость]]-Таблица1[[#This Row],[Стоимость возврата]]</f>
        <v>4160</v>
      </c>
    </row>
    <row r="98" spans="1:11" x14ac:dyDescent="0.2">
      <c r="A98" s="31">
        <v>42964</v>
      </c>
      <c r="B98" s="32" t="s">
        <v>17</v>
      </c>
      <c r="C98" s="32" t="s">
        <v>4</v>
      </c>
      <c r="D98" s="26" t="s">
        <v>9</v>
      </c>
      <c r="E98" s="32">
        <v>56</v>
      </c>
      <c r="F98" s="32">
        <f>VLOOKUP(Таблица1[[#This Row],[Наименование Товара]],Товары_цена[],3,0)</f>
        <v>32</v>
      </c>
      <c r="G98" s="33">
        <f>Таблица1[[#This Row],[Количество]]*Таблица1[[#This Row],[Цена]]</f>
        <v>1792</v>
      </c>
      <c r="H98" s="32"/>
      <c r="I98" s="32"/>
      <c r="J98" s="32">
        <f>Таблица1[[#This Row],[Количество к возврату]]*Таблица1[[#This Row],[Цена]]</f>
        <v>0</v>
      </c>
      <c r="K98" s="52">
        <f>Таблица1[[#This Row],[Стоимость]]-Таблица1[[#This Row],[Стоимость возврата]]</f>
        <v>1792</v>
      </c>
    </row>
    <row r="99" spans="1:11" x14ac:dyDescent="0.2">
      <c r="A99" s="31">
        <v>42964</v>
      </c>
      <c r="B99" s="32" t="s">
        <v>16</v>
      </c>
      <c r="C99" s="32" t="s">
        <v>4</v>
      </c>
      <c r="D99" s="32" t="s">
        <v>28</v>
      </c>
      <c r="E99" s="32">
        <v>56</v>
      </c>
      <c r="F99" s="32">
        <f>VLOOKUP(Таблица1[[#This Row],[Наименование Товара]],Товары_цена[],3,0)</f>
        <v>87</v>
      </c>
      <c r="G99" s="33">
        <f>Таблица1[[#This Row],[Количество]]*Таблица1[[#This Row],[Цена]]</f>
        <v>4872</v>
      </c>
      <c r="H99" s="32"/>
      <c r="I99" s="32"/>
      <c r="J99" s="32">
        <f>Таблица1[[#This Row],[Количество к возврату]]*Таблица1[[#This Row],[Цена]]</f>
        <v>0</v>
      </c>
      <c r="K99" s="52">
        <f>Таблица1[[#This Row],[Стоимость]]-Таблица1[[#This Row],[Стоимость возврата]]</f>
        <v>4872</v>
      </c>
    </row>
    <row r="100" spans="1:11" x14ac:dyDescent="0.2">
      <c r="A100" s="31">
        <v>42965</v>
      </c>
      <c r="B100" s="32" t="s">
        <v>18</v>
      </c>
      <c r="C100" s="32" t="s">
        <v>4</v>
      </c>
      <c r="D100" s="26" t="s">
        <v>10</v>
      </c>
      <c r="E100" s="32">
        <v>135</v>
      </c>
      <c r="F100" s="32">
        <f>VLOOKUP(Таблица1[[#This Row],[Наименование Товара]],Товары_цена[],3,0)</f>
        <v>45</v>
      </c>
      <c r="G100" s="33">
        <f>Таблица1[[#This Row],[Количество]]*Таблица1[[#This Row],[Цена]]</f>
        <v>6075</v>
      </c>
      <c r="H100" s="31">
        <v>42969</v>
      </c>
      <c r="I100" s="32">
        <v>34</v>
      </c>
      <c r="J100" s="32">
        <f>Таблица1[[#This Row],[Количество к возврату]]*Таблица1[[#This Row],[Цена]]</f>
        <v>1530</v>
      </c>
      <c r="K100" s="52">
        <f>Таблица1[[#This Row],[Стоимость]]-Таблица1[[#This Row],[Стоимость возврата]]</f>
        <v>4545</v>
      </c>
    </row>
    <row r="101" spans="1:11" x14ac:dyDescent="0.2">
      <c r="A101" s="31">
        <v>42965</v>
      </c>
      <c r="B101" s="32" t="s">
        <v>19</v>
      </c>
      <c r="C101" s="32" t="s">
        <v>4</v>
      </c>
      <c r="D101" s="26" t="s">
        <v>10</v>
      </c>
      <c r="E101" s="32">
        <v>135</v>
      </c>
      <c r="F101" s="32">
        <f>VLOOKUP(Таблица1[[#This Row],[Наименование Товара]],Товары_цена[],3,0)</f>
        <v>45</v>
      </c>
      <c r="G101" s="33">
        <f>Таблица1[[#This Row],[Количество]]*Таблица1[[#This Row],[Цена]]</f>
        <v>6075</v>
      </c>
      <c r="H101" s="32"/>
      <c r="I101" s="32"/>
      <c r="J101" s="32">
        <f>Таблица1[[#This Row],[Количество к возврату]]*Таблица1[[#This Row],[Цена]]</f>
        <v>0</v>
      </c>
      <c r="K101" s="52">
        <f>Таблица1[[#This Row],[Стоимость]]-Таблица1[[#This Row],[Стоимость возврата]]</f>
        <v>6075</v>
      </c>
    </row>
    <row r="102" spans="1:11" x14ac:dyDescent="0.2">
      <c r="A102" s="31">
        <v>42966</v>
      </c>
      <c r="B102" s="32" t="s">
        <v>18</v>
      </c>
      <c r="C102" s="32" t="s">
        <v>3</v>
      </c>
      <c r="D102" s="26" t="s">
        <v>26</v>
      </c>
      <c r="E102" s="32">
        <v>80</v>
      </c>
      <c r="F102" s="32">
        <f>VLOOKUP(Таблица1[[#This Row],[Наименование Товара]],Товары_цена[],3,0)</f>
        <v>54</v>
      </c>
      <c r="G102" s="33">
        <f>Таблица1[[#This Row],[Количество]]*Таблица1[[#This Row],[Цена]]</f>
        <v>4320</v>
      </c>
      <c r="H102" s="32"/>
      <c r="I102" s="32"/>
      <c r="J102" s="32">
        <f>Таблица1[[#This Row],[Количество к возврату]]*Таблица1[[#This Row],[Цена]]</f>
        <v>0</v>
      </c>
      <c r="K102" s="52">
        <f>Таблица1[[#This Row],[Стоимость]]-Таблица1[[#This Row],[Стоимость возврата]]</f>
        <v>4320</v>
      </c>
    </row>
    <row r="103" spans="1:11" x14ac:dyDescent="0.2">
      <c r="A103" s="31">
        <v>42966</v>
      </c>
      <c r="B103" s="32" t="s">
        <v>17</v>
      </c>
      <c r="C103" s="32" t="s">
        <v>3</v>
      </c>
      <c r="D103" s="26" t="s">
        <v>65</v>
      </c>
      <c r="E103" s="32">
        <v>80</v>
      </c>
      <c r="F103" s="32">
        <f>VLOOKUP(Таблица1[[#This Row],[Наименование Товара]],Товары_цена[],3,0)</f>
        <v>136</v>
      </c>
      <c r="G103" s="33">
        <f>Таблица1[[#This Row],[Количество]]*Таблица1[[#This Row],[Цена]]</f>
        <v>10880</v>
      </c>
      <c r="H103" s="32"/>
      <c r="I103" s="32"/>
      <c r="J103" s="32">
        <f>Таблица1[[#This Row],[Количество к возврату]]*Таблица1[[#This Row],[Цена]]</f>
        <v>0</v>
      </c>
      <c r="K103" s="52">
        <f>Таблица1[[#This Row],[Стоимость]]-Таблица1[[#This Row],[Стоимость возврата]]</f>
        <v>10880</v>
      </c>
    </row>
    <row r="104" spans="1:11" x14ac:dyDescent="0.2">
      <c r="A104" s="31">
        <v>42967</v>
      </c>
      <c r="B104" s="32" t="s">
        <v>20</v>
      </c>
      <c r="C104" s="32" t="s">
        <v>2</v>
      </c>
      <c r="D104" s="26" t="s">
        <v>27</v>
      </c>
      <c r="E104" s="32">
        <v>80</v>
      </c>
      <c r="F104" s="32">
        <f>VLOOKUP(Таблица1[[#This Row],[Наименование Товара]],Товары_цена[],3,0)</f>
        <v>65</v>
      </c>
      <c r="G104" s="33">
        <f>Таблица1[[#This Row],[Количество]]*Таблица1[[#This Row],[Цена]]</f>
        <v>5200</v>
      </c>
      <c r="H104" s="32"/>
      <c r="I104" s="32"/>
      <c r="J104" s="32">
        <f>Таблица1[[#This Row],[Количество к возврату]]*Таблица1[[#This Row],[Цена]]</f>
        <v>0</v>
      </c>
      <c r="K104" s="52">
        <f>Таблица1[[#This Row],[Стоимость]]-Таблица1[[#This Row],[Стоимость возврата]]</f>
        <v>5200</v>
      </c>
    </row>
    <row r="105" spans="1:11" x14ac:dyDescent="0.2">
      <c r="A105" s="31">
        <v>42967</v>
      </c>
      <c r="B105" s="32" t="s">
        <v>20</v>
      </c>
      <c r="C105" s="32" t="s">
        <v>2</v>
      </c>
      <c r="D105" s="26" t="s">
        <v>9</v>
      </c>
      <c r="E105" s="32">
        <v>80</v>
      </c>
      <c r="F105" s="32">
        <f>VLOOKUP(Таблица1[[#This Row],[Наименование Товара]],Товары_цена[],3,0)</f>
        <v>32</v>
      </c>
      <c r="G105" s="33">
        <f>Таблица1[[#This Row],[Количество]]*Таблица1[[#This Row],[Цена]]</f>
        <v>2560</v>
      </c>
      <c r="H105" s="32"/>
      <c r="I105" s="32"/>
      <c r="J105" s="32">
        <f>Таблица1[[#This Row],[Количество к возврату]]*Таблица1[[#This Row],[Цена]]</f>
        <v>0</v>
      </c>
      <c r="K105" s="52">
        <f>Таблица1[[#This Row],[Стоимость]]-Таблица1[[#This Row],[Стоимость возврата]]</f>
        <v>2560</v>
      </c>
    </row>
    <row r="106" spans="1:11" x14ac:dyDescent="0.2">
      <c r="A106" s="31">
        <v>42968</v>
      </c>
      <c r="B106" s="32" t="s">
        <v>17</v>
      </c>
      <c r="C106" s="32" t="s">
        <v>2</v>
      </c>
      <c r="D106" s="32" t="s">
        <v>28</v>
      </c>
      <c r="E106" s="32">
        <v>150</v>
      </c>
      <c r="F106" s="32">
        <f>VLOOKUP(Таблица1[[#This Row],[Наименование Товара]],Товары_цена[],3,0)</f>
        <v>87</v>
      </c>
      <c r="G106" s="33">
        <f>Таблица1[[#This Row],[Количество]]*Таблица1[[#This Row],[Цена]]</f>
        <v>13050</v>
      </c>
      <c r="H106" s="32"/>
      <c r="I106" s="32"/>
      <c r="J106" s="32">
        <f>Таблица1[[#This Row],[Количество к возврату]]*Таблица1[[#This Row],[Цена]]</f>
        <v>0</v>
      </c>
      <c r="K106" s="52">
        <f>Таблица1[[#This Row],[Стоимость]]-Таблица1[[#This Row],[Стоимость возврата]]</f>
        <v>13050</v>
      </c>
    </row>
    <row r="107" spans="1:11" x14ac:dyDescent="0.2">
      <c r="A107" s="31">
        <v>42968</v>
      </c>
      <c r="B107" s="32" t="s">
        <v>17</v>
      </c>
      <c r="C107" s="32" t="s">
        <v>2</v>
      </c>
      <c r="D107" s="26" t="s">
        <v>64</v>
      </c>
      <c r="E107" s="32">
        <v>150</v>
      </c>
      <c r="F107" s="32">
        <f>VLOOKUP(Таблица1[[#This Row],[Наименование Товара]],Товары_цена[],3,0)</f>
        <v>110</v>
      </c>
      <c r="G107" s="33">
        <f>Таблица1[[#This Row],[Количество]]*Таблица1[[#This Row],[Цена]]</f>
        <v>16500</v>
      </c>
      <c r="H107" s="31">
        <v>42972</v>
      </c>
      <c r="I107" s="32">
        <v>45</v>
      </c>
      <c r="J107" s="32">
        <f>Таблица1[[#This Row],[Количество к возврату]]*Таблица1[[#This Row],[Цена]]</f>
        <v>4950</v>
      </c>
      <c r="K107" s="52">
        <f>Таблица1[[#This Row],[Стоимость]]-Таблица1[[#This Row],[Стоимость возврата]]</f>
        <v>11550</v>
      </c>
    </row>
    <row r="108" spans="1:11" x14ac:dyDescent="0.2">
      <c r="A108" s="31">
        <v>42969</v>
      </c>
      <c r="B108" s="32" t="s">
        <v>16</v>
      </c>
      <c r="C108" s="32" t="s">
        <v>4</v>
      </c>
      <c r="D108" s="26" t="s">
        <v>64</v>
      </c>
      <c r="E108" s="32">
        <v>135</v>
      </c>
      <c r="F108" s="32">
        <f>VLOOKUP(Таблица1[[#This Row],[Наименование Товара]],Товары_цена[],3,0)</f>
        <v>110</v>
      </c>
      <c r="G108" s="33">
        <f>Таблица1[[#This Row],[Количество]]*Таблица1[[#This Row],[Цена]]</f>
        <v>14850</v>
      </c>
      <c r="H108" s="31">
        <v>42971</v>
      </c>
      <c r="I108" s="32">
        <v>20</v>
      </c>
      <c r="J108" s="32">
        <f>Таблица1[[#This Row],[Количество к возврату]]*Таблица1[[#This Row],[Цена]]</f>
        <v>2200</v>
      </c>
      <c r="K108" s="52">
        <f>Таблица1[[#This Row],[Стоимость]]-Таблица1[[#This Row],[Стоимость возврата]]</f>
        <v>12650</v>
      </c>
    </row>
    <row r="109" spans="1:11" x14ac:dyDescent="0.2">
      <c r="A109" s="31">
        <v>42969</v>
      </c>
      <c r="B109" s="32" t="s">
        <v>16</v>
      </c>
      <c r="C109" s="32" t="s">
        <v>4</v>
      </c>
      <c r="D109" s="26" t="s">
        <v>7</v>
      </c>
      <c r="E109" s="32">
        <v>135</v>
      </c>
      <c r="F109" s="32">
        <f>VLOOKUP(Таблица1[[#This Row],[Наименование Товара]],Товары_цена[],3,0)</f>
        <v>25</v>
      </c>
      <c r="G109" s="33">
        <f>Таблица1[[#This Row],[Количество]]*Таблица1[[#This Row],[Цена]]</f>
        <v>3375</v>
      </c>
      <c r="H109" s="32"/>
      <c r="I109" s="32"/>
      <c r="J109" s="32">
        <f>Таблица1[[#This Row],[Количество к возврату]]*Таблица1[[#This Row],[Цена]]</f>
        <v>0</v>
      </c>
      <c r="K109" s="52">
        <f>Таблица1[[#This Row],[Стоимость]]-Таблица1[[#This Row],[Стоимость возврата]]</f>
        <v>3375</v>
      </c>
    </row>
    <row r="110" spans="1:11" x14ac:dyDescent="0.2">
      <c r="A110" s="31">
        <v>42970</v>
      </c>
      <c r="B110" s="32" t="s">
        <v>18</v>
      </c>
      <c r="C110" s="32" t="s">
        <v>3</v>
      </c>
      <c r="D110" s="26" t="s">
        <v>65</v>
      </c>
      <c r="E110" s="32">
        <v>80</v>
      </c>
      <c r="F110" s="32">
        <f>VLOOKUP(Таблица1[[#This Row],[Наименование Товара]],Товары_цена[],3,0)</f>
        <v>136</v>
      </c>
      <c r="G110" s="33">
        <f>Таблица1[[#This Row],[Количество]]*Таблица1[[#This Row],[Цена]]</f>
        <v>10880</v>
      </c>
      <c r="H110" s="32"/>
      <c r="I110" s="32"/>
      <c r="J110" s="32">
        <f>Таблица1[[#This Row],[Количество к возврату]]*Таблица1[[#This Row],[Цена]]</f>
        <v>0</v>
      </c>
      <c r="K110" s="52">
        <f>Таблица1[[#This Row],[Стоимость]]-Таблица1[[#This Row],[Стоимость возврата]]</f>
        <v>10880</v>
      </c>
    </row>
    <row r="111" spans="1:11" x14ac:dyDescent="0.2">
      <c r="A111" s="31">
        <v>42970</v>
      </c>
      <c r="B111" s="32" t="s">
        <v>16</v>
      </c>
      <c r="C111" s="32" t="s">
        <v>3</v>
      </c>
      <c r="D111" s="26" t="s">
        <v>64</v>
      </c>
      <c r="E111" s="32">
        <v>80</v>
      </c>
      <c r="F111" s="32">
        <f>VLOOKUP(Таблица1[[#This Row],[Наименование Товара]],Товары_цена[],3,0)</f>
        <v>110</v>
      </c>
      <c r="G111" s="33">
        <f>Таблица1[[#This Row],[Количество]]*Таблица1[[#This Row],[Цена]]</f>
        <v>8800</v>
      </c>
      <c r="H111" s="31">
        <v>42972</v>
      </c>
      <c r="I111" s="32">
        <v>20</v>
      </c>
      <c r="J111" s="32">
        <f>Таблица1[[#This Row],[Количество к возврату]]*Таблица1[[#This Row],[Цена]]</f>
        <v>2200</v>
      </c>
      <c r="K111" s="52">
        <f>Таблица1[[#This Row],[Стоимость]]-Таблица1[[#This Row],[Стоимость возврата]]</f>
        <v>6600</v>
      </c>
    </row>
    <row r="112" spans="1:11" x14ac:dyDescent="0.2">
      <c r="A112" s="31">
        <v>43346</v>
      </c>
      <c r="B112" s="32" t="s">
        <v>19</v>
      </c>
      <c r="C112" s="32" t="s">
        <v>2</v>
      </c>
      <c r="D112" s="26" t="s">
        <v>7</v>
      </c>
      <c r="E112" s="32">
        <v>80</v>
      </c>
      <c r="F112" s="32">
        <f>VLOOKUP(Таблица1[[#This Row],[Наименование Товара]],Товары_цена[],3,0)</f>
        <v>25</v>
      </c>
      <c r="G112" s="33">
        <f>Таблица1[[#This Row],[Количество]]*Таблица1[[#This Row],[Цена]]</f>
        <v>2000</v>
      </c>
      <c r="H112" s="32"/>
      <c r="I112" s="32"/>
      <c r="J112" s="32">
        <f>Таблица1[[#This Row],[Количество к возврату]]*Таблица1[[#This Row],[Цена]]</f>
        <v>0</v>
      </c>
      <c r="K112" s="52">
        <f>Таблица1[[#This Row],[Стоимость]]-Таблица1[[#This Row],[Стоимость возврата]]</f>
        <v>2000</v>
      </c>
    </row>
    <row r="113" spans="1:11" x14ac:dyDescent="0.2">
      <c r="A113" s="31">
        <v>43346</v>
      </c>
      <c r="B113" s="32" t="s">
        <v>19</v>
      </c>
      <c r="C113" s="32" t="s">
        <v>2</v>
      </c>
      <c r="D113" s="26" t="s">
        <v>27</v>
      </c>
      <c r="E113" s="32">
        <v>80</v>
      </c>
      <c r="F113" s="32">
        <f>VLOOKUP(Таблица1[[#This Row],[Наименование Товара]],Товары_цена[],3,0)</f>
        <v>65</v>
      </c>
      <c r="G113" s="33">
        <f>Таблица1[[#This Row],[Количество]]*Таблица1[[#This Row],[Цена]]</f>
        <v>5200</v>
      </c>
      <c r="H113" s="32"/>
      <c r="I113" s="32"/>
      <c r="J113" s="32">
        <f>Таблица1[[#This Row],[Количество к возврату]]*Таблица1[[#This Row],[Цена]]</f>
        <v>0</v>
      </c>
      <c r="K113" s="52">
        <f>Таблица1[[#This Row],[Стоимость]]-Таблица1[[#This Row],[Стоимость возврата]]</f>
        <v>5200</v>
      </c>
    </row>
    <row r="114" spans="1:11" x14ac:dyDescent="0.2">
      <c r="A114" s="31">
        <v>43347</v>
      </c>
      <c r="B114" s="32" t="s">
        <v>17</v>
      </c>
      <c r="C114" s="32" t="s">
        <v>3</v>
      </c>
      <c r="D114" s="26" t="s">
        <v>64</v>
      </c>
      <c r="E114" s="32">
        <v>90</v>
      </c>
      <c r="F114" s="32">
        <f>VLOOKUP(Таблица1[[#This Row],[Наименование Товара]],Товары_цена[],3,0)</f>
        <v>110</v>
      </c>
      <c r="G114" s="33">
        <f>Таблица1[[#This Row],[Количество]]*Таблица1[[#This Row],[Цена]]</f>
        <v>9900</v>
      </c>
      <c r="H114" s="32"/>
      <c r="I114" s="32"/>
      <c r="J114" s="32">
        <f>Таблица1[[#This Row],[Количество к возврату]]*Таблица1[[#This Row],[Цена]]</f>
        <v>0</v>
      </c>
      <c r="K114" s="52">
        <f>Таблица1[[#This Row],[Стоимость]]-Таблица1[[#This Row],[Стоимость возврата]]</f>
        <v>9900</v>
      </c>
    </row>
    <row r="115" spans="1:11" x14ac:dyDescent="0.2">
      <c r="A115" s="31">
        <v>43347</v>
      </c>
      <c r="B115" s="32" t="s">
        <v>17</v>
      </c>
      <c r="C115" s="32" t="s">
        <v>3</v>
      </c>
      <c r="D115" s="26" t="s">
        <v>65</v>
      </c>
      <c r="E115" s="32">
        <v>80</v>
      </c>
      <c r="F115" s="32">
        <f>VLOOKUP(Таблица1[[#This Row],[Наименование Товара]],Товары_цена[],3,0)</f>
        <v>136</v>
      </c>
      <c r="G115" s="33">
        <f>Таблица1[[#This Row],[Количество]]*Таблица1[[#This Row],[Цена]]</f>
        <v>10880</v>
      </c>
      <c r="H115" s="32"/>
      <c r="I115" s="32"/>
      <c r="J115" s="32">
        <f>Таблица1[[#This Row],[Количество к возврату]]*Таблица1[[#This Row],[Цена]]</f>
        <v>0</v>
      </c>
      <c r="K115" s="52">
        <f>Таблица1[[#This Row],[Стоимость]]-Таблица1[[#This Row],[Стоимость возврата]]</f>
        <v>10880</v>
      </c>
    </row>
    <row r="116" spans="1:11" x14ac:dyDescent="0.2">
      <c r="A116" s="31">
        <v>43348</v>
      </c>
      <c r="B116" s="32" t="s">
        <v>16</v>
      </c>
      <c r="C116" s="32" t="s">
        <v>3</v>
      </c>
      <c r="D116" s="26" t="s">
        <v>65</v>
      </c>
      <c r="E116" s="32">
        <v>160</v>
      </c>
      <c r="F116" s="32">
        <f>VLOOKUP(Таблица1[[#This Row],[Наименование Товара]],Товары_цена[],3,0)</f>
        <v>136</v>
      </c>
      <c r="G116" s="33">
        <f>Таблица1[[#This Row],[Количество]]*Таблица1[[#This Row],[Цена]]</f>
        <v>21760</v>
      </c>
      <c r="H116" s="31">
        <v>42986</v>
      </c>
      <c r="I116" s="32">
        <v>30</v>
      </c>
      <c r="J116" s="32">
        <f>Таблица1[[#This Row],[Количество к возврату]]*Таблица1[[#This Row],[Цена]]</f>
        <v>4080</v>
      </c>
      <c r="K116" s="52">
        <f>Таблица1[[#This Row],[Стоимость]]-Таблица1[[#This Row],[Стоимость возврата]]</f>
        <v>17680</v>
      </c>
    </row>
    <row r="117" spans="1:11" x14ac:dyDescent="0.2">
      <c r="A117" s="31">
        <v>43348</v>
      </c>
      <c r="B117" s="32" t="s">
        <v>18</v>
      </c>
      <c r="C117" s="32" t="s">
        <v>3</v>
      </c>
      <c r="D117" s="26" t="s">
        <v>26</v>
      </c>
      <c r="E117" s="32">
        <v>110</v>
      </c>
      <c r="F117" s="32">
        <f>VLOOKUP(Таблица1[[#This Row],[Наименование Товара]],Товары_цена[],3,0)</f>
        <v>54</v>
      </c>
      <c r="G117" s="33">
        <f>Таблица1[[#This Row],[Количество]]*Таблица1[[#This Row],[Цена]]</f>
        <v>5940</v>
      </c>
      <c r="H117" s="32"/>
      <c r="I117" s="32"/>
      <c r="J117" s="32">
        <f>Таблица1[[#This Row],[Количество к возврату]]*Таблица1[[#This Row],[Цена]]</f>
        <v>0</v>
      </c>
      <c r="K117" s="52">
        <f>Таблица1[[#This Row],[Стоимость]]-Таблица1[[#This Row],[Стоимость возврата]]</f>
        <v>5940</v>
      </c>
    </row>
    <row r="118" spans="1:11" x14ac:dyDescent="0.2">
      <c r="A118" s="31">
        <v>43349</v>
      </c>
      <c r="B118" s="32" t="s">
        <v>18</v>
      </c>
      <c r="C118" s="32" t="s">
        <v>4</v>
      </c>
      <c r="D118" s="26" t="s">
        <v>7</v>
      </c>
      <c r="E118" s="32">
        <v>230</v>
      </c>
      <c r="F118" s="32">
        <f>VLOOKUP(Таблица1[[#This Row],[Наименование Товара]],Товары_цена[],3,0)</f>
        <v>25</v>
      </c>
      <c r="G118" s="33">
        <f>Таблица1[[#This Row],[Количество]]*Таблица1[[#This Row],[Цена]]</f>
        <v>5750</v>
      </c>
      <c r="H118" s="32"/>
      <c r="I118" s="32"/>
      <c r="J118" s="32">
        <f>Таблица1[[#This Row],[Количество к возврату]]*Таблица1[[#This Row],[Цена]]</f>
        <v>0</v>
      </c>
      <c r="K118" s="52">
        <f>Таблица1[[#This Row],[Стоимость]]-Таблица1[[#This Row],[Стоимость возврата]]</f>
        <v>5750</v>
      </c>
    </row>
    <row r="119" spans="1:11" x14ac:dyDescent="0.2">
      <c r="A119" s="31">
        <v>43349</v>
      </c>
      <c r="B119" s="32" t="s">
        <v>18</v>
      </c>
      <c r="C119" s="32" t="s">
        <v>4</v>
      </c>
      <c r="D119" s="26" t="s">
        <v>10</v>
      </c>
      <c r="E119" s="32">
        <v>230</v>
      </c>
      <c r="F119" s="32">
        <f>VLOOKUP(Таблица1[[#This Row],[Наименование Товара]],Товары_цена[],3,0)</f>
        <v>45</v>
      </c>
      <c r="G119" s="33">
        <f>Таблица1[[#This Row],[Количество]]*Таблица1[[#This Row],[Цена]]</f>
        <v>10350</v>
      </c>
      <c r="H119" s="31">
        <v>42989</v>
      </c>
      <c r="I119" s="32">
        <v>30</v>
      </c>
      <c r="J119" s="32">
        <f>Таблица1[[#This Row],[Количество к возврату]]*Таблица1[[#This Row],[Цена]]</f>
        <v>1350</v>
      </c>
      <c r="K119" s="52">
        <f>Таблица1[[#This Row],[Стоимость]]-Таблица1[[#This Row],[Стоимость возврата]]</f>
        <v>9000</v>
      </c>
    </row>
    <row r="120" spans="1:11" x14ac:dyDescent="0.2">
      <c r="A120" s="31">
        <v>43350</v>
      </c>
      <c r="B120" s="32" t="s">
        <v>19</v>
      </c>
      <c r="C120" s="32" t="s">
        <v>4</v>
      </c>
      <c r="D120" s="26" t="s">
        <v>9</v>
      </c>
      <c r="E120" s="32">
        <v>60</v>
      </c>
      <c r="F120" s="32">
        <f>VLOOKUP(Таблица1[[#This Row],[Наименование Товара]],Товары_цена[],3,0)</f>
        <v>32</v>
      </c>
      <c r="G120" s="33">
        <f>Таблица1[[#This Row],[Количество]]*Таблица1[[#This Row],[Цена]]</f>
        <v>1920</v>
      </c>
      <c r="H120" s="32"/>
      <c r="I120" s="32"/>
      <c r="J120" s="32">
        <f>Таблица1[[#This Row],[Количество к возврату]]*Таблица1[[#This Row],[Цена]]</f>
        <v>0</v>
      </c>
      <c r="K120" s="52">
        <f>Таблица1[[#This Row],[Стоимость]]-Таблица1[[#This Row],[Стоимость возврата]]</f>
        <v>1920</v>
      </c>
    </row>
    <row r="121" spans="1:11" x14ac:dyDescent="0.2">
      <c r="A121" s="31">
        <v>43350</v>
      </c>
      <c r="B121" s="32" t="s">
        <v>19</v>
      </c>
      <c r="C121" s="32" t="s">
        <v>4</v>
      </c>
      <c r="D121" s="26" t="s">
        <v>65</v>
      </c>
      <c r="E121" s="32">
        <v>25</v>
      </c>
      <c r="F121" s="32">
        <f>VLOOKUP(Таблица1[[#This Row],[Наименование Товара]],Товары_цена[],3,0)</f>
        <v>136</v>
      </c>
      <c r="G121" s="33">
        <f>Таблица1[[#This Row],[Количество]]*Таблица1[[#This Row],[Цена]]</f>
        <v>3400</v>
      </c>
      <c r="H121" s="32"/>
      <c r="I121" s="32"/>
      <c r="J121" s="32">
        <f>Таблица1[[#This Row],[Количество к возврату]]*Таблица1[[#This Row],[Цена]]</f>
        <v>0</v>
      </c>
      <c r="K121" s="52">
        <f>Таблица1[[#This Row],[Стоимость]]-Таблица1[[#This Row],[Стоимость возврата]]</f>
        <v>3400</v>
      </c>
    </row>
    <row r="122" spans="1:11" x14ac:dyDescent="0.2">
      <c r="A122" s="31">
        <v>43353</v>
      </c>
      <c r="B122" s="32" t="s">
        <v>18</v>
      </c>
      <c r="C122" s="32" t="s">
        <v>3</v>
      </c>
      <c r="D122" s="26" t="s">
        <v>10</v>
      </c>
      <c r="E122" s="32">
        <v>170</v>
      </c>
      <c r="F122" s="32">
        <f>VLOOKUP(Таблица1[[#This Row],[Наименование Товара]],Товары_цена[],3,0)</f>
        <v>45</v>
      </c>
      <c r="G122" s="33">
        <f>Таблица1[[#This Row],[Количество]]*Таблица1[[#This Row],[Цена]]</f>
        <v>7650</v>
      </c>
      <c r="H122" s="32"/>
      <c r="I122" s="32"/>
      <c r="J122" s="32">
        <f>Таблица1[[#This Row],[Количество к возврату]]*Таблица1[[#This Row],[Цена]]</f>
        <v>0</v>
      </c>
      <c r="K122" s="52">
        <f>Таблица1[[#This Row],[Стоимость]]-Таблица1[[#This Row],[Стоимость возврата]]</f>
        <v>7650</v>
      </c>
    </row>
    <row r="123" spans="1:11" x14ac:dyDescent="0.2">
      <c r="A123" s="31">
        <v>43353</v>
      </c>
      <c r="B123" s="32" t="s">
        <v>18</v>
      </c>
      <c r="C123" s="32" t="s">
        <v>3</v>
      </c>
      <c r="D123" s="26" t="s">
        <v>7</v>
      </c>
      <c r="E123" s="32">
        <v>170</v>
      </c>
      <c r="F123" s="32">
        <f>VLOOKUP(Таблица1[[#This Row],[Наименование Товара]],Товары_цена[],3,0)</f>
        <v>25</v>
      </c>
      <c r="G123" s="33">
        <f>Таблица1[[#This Row],[Количество]]*Таблица1[[#This Row],[Цена]]</f>
        <v>4250</v>
      </c>
      <c r="H123" s="32"/>
      <c r="I123" s="32"/>
      <c r="J123" s="32">
        <f>Таблица1[[#This Row],[Количество к возврату]]*Таблица1[[#This Row],[Цена]]</f>
        <v>0</v>
      </c>
      <c r="K123" s="52">
        <f>Таблица1[[#This Row],[Стоимость]]-Таблица1[[#This Row],[Стоимость возврата]]</f>
        <v>4250</v>
      </c>
    </row>
    <row r="124" spans="1:11" x14ac:dyDescent="0.2">
      <c r="A124" s="31">
        <v>43354</v>
      </c>
      <c r="B124" s="32" t="s">
        <v>18</v>
      </c>
      <c r="C124" s="32" t="s">
        <v>2</v>
      </c>
      <c r="D124" s="26" t="s">
        <v>26</v>
      </c>
      <c r="E124" s="32">
        <v>56</v>
      </c>
      <c r="F124" s="32">
        <f>VLOOKUP(Таблица1[[#This Row],[Наименование Товара]],Товары_цена[],3,0)</f>
        <v>54</v>
      </c>
      <c r="G124" s="33">
        <f>Таблица1[[#This Row],[Количество]]*Таблица1[[#This Row],[Цена]]</f>
        <v>3024</v>
      </c>
      <c r="H124" s="32"/>
      <c r="I124" s="32"/>
      <c r="J124" s="32">
        <f>Таблица1[[#This Row],[Количество к возврату]]*Таблица1[[#This Row],[Цена]]</f>
        <v>0</v>
      </c>
      <c r="K124" s="52">
        <f>Таблица1[[#This Row],[Стоимость]]-Таблица1[[#This Row],[Стоимость возврата]]</f>
        <v>3024</v>
      </c>
    </row>
    <row r="125" spans="1:11" x14ac:dyDescent="0.2">
      <c r="A125" s="31">
        <v>43354</v>
      </c>
      <c r="B125" s="32" t="s">
        <v>17</v>
      </c>
      <c r="C125" s="32" t="s">
        <v>2</v>
      </c>
      <c r="D125" s="26" t="s">
        <v>26</v>
      </c>
      <c r="E125" s="32">
        <v>56</v>
      </c>
      <c r="F125" s="32">
        <f>VLOOKUP(Таблица1[[#This Row],[Наименование Товара]],Товары_цена[],3,0)</f>
        <v>54</v>
      </c>
      <c r="G125" s="33">
        <f>Таблица1[[#This Row],[Количество]]*Таблица1[[#This Row],[Цена]]</f>
        <v>3024</v>
      </c>
      <c r="H125" s="31">
        <v>42993</v>
      </c>
      <c r="I125" s="32">
        <v>21</v>
      </c>
      <c r="J125" s="32">
        <f>Таблица1[[#This Row],[Количество к возврату]]*Таблица1[[#This Row],[Цена]]</f>
        <v>1134</v>
      </c>
      <c r="K125" s="52">
        <f>Таблица1[[#This Row],[Стоимость]]-Таблица1[[#This Row],[Стоимость возврата]]</f>
        <v>1890</v>
      </c>
    </row>
    <row r="126" spans="1:11" x14ac:dyDescent="0.2">
      <c r="A126" s="31">
        <v>43355</v>
      </c>
      <c r="B126" s="32" t="s">
        <v>20</v>
      </c>
      <c r="C126" s="32" t="s">
        <v>2</v>
      </c>
      <c r="D126" s="26" t="s">
        <v>27</v>
      </c>
      <c r="E126" s="32">
        <v>90</v>
      </c>
      <c r="F126" s="32">
        <f>VLOOKUP(Таблица1[[#This Row],[Наименование Товара]],Товары_цена[],3,0)</f>
        <v>65</v>
      </c>
      <c r="G126" s="33">
        <f>Таблица1[[#This Row],[Количество]]*Таблица1[[#This Row],[Цена]]</f>
        <v>5850</v>
      </c>
      <c r="H126" s="32"/>
      <c r="I126" s="32"/>
      <c r="J126" s="32">
        <f>Таблица1[[#This Row],[Количество к возврату]]*Таблица1[[#This Row],[Цена]]</f>
        <v>0</v>
      </c>
      <c r="K126" s="52">
        <f>Таблица1[[#This Row],[Стоимость]]-Таблица1[[#This Row],[Стоимость возврата]]</f>
        <v>5850</v>
      </c>
    </row>
    <row r="127" spans="1:11" x14ac:dyDescent="0.2">
      <c r="A127" s="31">
        <v>43355</v>
      </c>
      <c r="B127" s="32" t="s">
        <v>20</v>
      </c>
      <c r="C127" s="32" t="s">
        <v>2</v>
      </c>
      <c r="D127" s="26" t="s">
        <v>26</v>
      </c>
      <c r="E127" s="32">
        <v>90</v>
      </c>
      <c r="F127" s="32">
        <f>VLOOKUP(Таблица1[[#This Row],[Наименование Товара]],Товары_цена[],3,0)</f>
        <v>54</v>
      </c>
      <c r="G127" s="33">
        <f>Таблица1[[#This Row],[Количество]]*Таблица1[[#This Row],[Цена]]</f>
        <v>4860</v>
      </c>
      <c r="H127" s="32"/>
      <c r="I127" s="32"/>
      <c r="J127" s="32">
        <f>Таблица1[[#This Row],[Количество к возврату]]*Таблица1[[#This Row],[Цена]]</f>
        <v>0</v>
      </c>
      <c r="K127" s="52">
        <f>Таблица1[[#This Row],[Стоимость]]-Таблица1[[#This Row],[Стоимость возврата]]</f>
        <v>4860</v>
      </c>
    </row>
    <row r="128" spans="1:11" x14ac:dyDescent="0.2">
      <c r="A128" s="31">
        <v>43356</v>
      </c>
      <c r="B128" s="32" t="s">
        <v>16</v>
      </c>
      <c r="C128" s="32" t="s">
        <v>4</v>
      </c>
      <c r="D128" s="32" t="s">
        <v>28</v>
      </c>
      <c r="E128" s="32">
        <v>70</v>
      </c>
      <c r="F128" s="32">
        <f>VLOOKUP(Таблица1[[#This Row],[Наименование Товара]],Товары_цена[],3,0)</f>
        <v>87</v>
      </c>
      <c r="G128" s="33">
        <f>Таблица1[[#This Row],[Количество]]*Таблица1[[#This Row],[Цена]]</f>
        <v>6090</v>
      </c>
      <c r="H128" s="32"/>
      <c r="I128" s="32"/>
      <c r="J128" s="32">
        <f>Таблица1[[#This Row],[Количество к возврату]]*Таблица1[[#This Row],[Цена]]</f>
        <v>0</v>
      </c>
      <c r="K128" s="52">
        <f>Таблица1[[#This Row],[Стоимость]]-Таблица1[[#This Row],[Стоимость возврата]]</f>
        <v>6090</v>
      </c>
    </row>
    <row r="129" spans="1:11" x14ac:dyDescent="0.2">
      <c r="A129" s="31">
        <v>43356</v>
      </c>
      <c r="B129" s="32" t="s">
        <v>17</v>
      </c>
      <c r="C129" s="32" t="s">
        <v>4</v>
      </c>
      <c r="D129" s="32" t="s">
        <v>28</v>
      </c>
      <c r="E129" s="32">
        <v>70</v>
      </c>
      <c r="F129" s="32">
        <f>VLOOKUP(Таблица1[[#This Row],[Наименование Товара]],Товары_цена[],3,0)</f>
        <v>87</v>
      </c>
      <c r="G129" s="33">
        <f>Таблица1[[#This Row],[Количество]]*Таблица1[[#This Row],[Цена]]</f>
        <v>6090</v>
      </c>
      <c r="H129" s="32"/>
      <c r="I129" s="32"/>
      <c r="J129" s="32">
        <f>Таблица1[[#This Row],[Количество к возврату]]*Таблица1[[#This Row],[Цена]]</f>
        <v>0</v>
      </c>
      <c r="K129" s="52">
        <f>Таблица1[[#This Row],[Стоимость]]-Таблица1[[#This Row],[Стоимость возврата]]</f>
        <v>6090</v>
      </c>
    </row>
    <row r="130" spans="1:11" x14ac:dyDescent="0.2">
      <c r="A130" s="31">
        <v>43357</v>
      </c>
      <c r="B130" s="32" t="s">
        <v>18</v>
      </c>
      <c r="C130" s="32" t="s">
        <v>3</v>
      </c>
      <c r="D130" s="26" t="s">
        <v>64</v>
      </c>
      <c r="E130" s="32">
        <v>50</v>
      </c>
      <c r="F130" s="32">
        <f>VLOOKUP(Таблица1[[#This Row],[Наименование Товара]],Товары_цена[],3,0)</f>
        <v>110</v>
      </c>
      <c r="G130" s="33">
        <f>Таблица1[[#This Row],[Количество]]*Таблица1[[#This Row],[Цена]]</f>
        <v>5500</v>
      </c>
      <c r="H130" s="32"/>
      <c r="I130" s="32"/>
      <c r="J130" s="32">
        <f>Таблица1[[#This Row],[Количество к возврату]]*Таблица1[[#This Row],[Цена]]</f>
        <v>0</v>
      </c>
      <c r="K130" s="52">
        <f>Таблица1[[#This Row],[Стоимость]]-Таблица1[[#This Row],[Стоимость возврата]]</f>
        <v>5500</v>
      </c>
    </row>
    <row r="131" spans="1:11" x14ac:dyDescent="0.2">
      <c r="A131" s="31">
        <v>43357</v>
      </c>
      <c r="B131" s="32" t="s">
        <v>16</v>
      </c>
      <c r="C131" s="32" t="s">
        <v>3</v>
      </c>
      <c r="D131" s="26" t="s">
        <v>64</v>
      </c>
      <c r="E131" s="32">
        <v>50</v>
      </c>
      <c r="F131" s="32">
        <f>VLOOKUP(Таблица1[[#This Row],[Наименование Товара]],Товары_цена[],3,0)</f>
        <v>110</v>
      </c>
      <c r="G131" s="33">
        <f>Таблица1[[#This Row],[Количество]]*Таблица1[[#This Row],[Цена]]</f>
        <v>5500</v>
      </c>
      <c r="H131" s="36"/>
      <c r="I131" s="36"/>
      <c r="J131" s="36">
        <f>Таблица1[[#This Row],[Количество к возврату]]*Таблица1[[#This Row],[Цена]]</f>
        <v>0</v>
      </c>
      <c r="K131" s="52">
        <f>Таблица1[[#This Row],[Стоимость]]-Таблица1[[#This Row],[Стоимость возврата]]</f>
        <v>5500</v>
      </c>
    </row>
  </sheetData>
  <conditionalFormatting sqref="E2:F67">
    <cfRule type="cellIs" dxfId="32" priority="5" operator="between">
      <formula>1</formula>
      <formula>45</formula>
    </cfRule>
  </conditionalFormatting>
  <conditionalFormatting sqref="E68:F131">
    <cfRule type="cellIs" dxfId="31" priority="4" operator="between">
      <formula>1</formula>
      <formula>45</formula>
    </cfRule>
  </conditionalFormatting>
  <conditionalFormatting sqref="E68:F87">
    <cfRule type="cellIs" dxfId="30" priority="3" operator="between">
      <formula>1</formula>
      <formula>45</formula>
    </cfRule>
  </conditionalFormatting>
  <conditionalFormatting sqref="E88:F100">
    <cfRule type="cellIs" dxfId="29" priority="2" operator="between">
      <formula>1</formula>
      <formula>45</formula>
    </cfRule>
  </conditionalFormatting>
  <conditionalFormatting sqref="E101:F131">
    <cfRule type="cellIs" dxfId="28" priority="1" operator="between">
      <formula>1</formula>
      <formula>45</formula>
    </cfRule>
  </conditionalFormatting>
  <dataValidations count="3">
    <dataValidation type="list" allowBlank="1" showInputMessage="1" showErrorMessage="1" sqref="C1:C1048576" xr:uid="{B6833B12-AEC1-8543-9419-C6B666A27DF0}">
      <formula1>клиент</formula1>
    </dataValidation>
    <dataValidation type="list" allowBlank="1" showInputMessage="1" showErrorMessage="1" sqref="B1:B1048576" xr:uid="{46A9DF4C-5619-7243-98DE-C53C3387BFFE}">
      <formula1>ФИО1</formula1>
    </dataValidation>
    <dataValidation type="list" allowBlank="1" showInputMessage="1" showErrorMessage="1" sqref="D2:D131" xr:uid="{E9AF3660-58E2-EC4B-BA6A-8336ACAFC2FF}">
      <formula1>Товар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26</vt:i4>
      </vt:variant>
    </vt:vector>
  </HeadingPairs>
  <TitlesOfParts>
    <vt:vector size="38" baseType="lpstr">
      <vt:lpstr>Отчет2 ТЕСТ</vt:lpstr>
      <vt:lpstr>Отчет1 ТЕСТ</vt:lpstr>
      <vt:lpstr>Премии</vt:lpstr>
      <vt:lpstr>Отчет1</vt:lpstr>
      <vt:lpstr>Отчет2</vt:lpstr>
      <vt:lpstr>Сводная таблица 1</vt:lpstr>
      <vt:lpstr>Сводная таблица 2</vt:lpstr>
      <vt:lpstr>Сводная таблица 3</vt:lpstr>
      <vt:lpstr>Продажи</vt:lpstr>
      <vt:lpstr> Информация Клиенты</vt:lpstr>
      <vt:lpstr>ИнформацияТовары</vt:lpstr>
      <vt:lpstr>Информация Менеджеры</vt:lpstr>
      <vt:lpstr>Дата</vt:lpstr>
      <vt:lpstr>индекс_товара</vt:lpstr>
      <vt:lpstr>индексКлиенты</vt:lpstr>
      <vt:lpstr>'Отчет1 ТЕСТ'!Итог_стоимость</vt:lpstr>
      <vt:lpstr>Итог_стоимость</vt:lpstr>
      <vt:lpstr>'Отчет1 ТЕСТ'!ИтогЕИ</vt:lpstr>
      <vt:lpstr>ИтогЕИ</vt:lpstr>
      <vt:lpstr>клиент</vt:lpstr>
      <vt:lpstr>Количество</vt:lpstr>
      <vt:lpstr>Количество_к_возврату</vt:lpstr>
      <vt:lpstr>'Отчет1 ТЕСТ'!Конец_периода</vt:lpstr>
      <vt:lpstr>Конец_периода</vt:lpstr>
      <vt:lpstr>Наименование_клиента</vt:lpstr>
      <vt:lpstr>Наименование_Товара</vt:lpstr>
      <vt:lpstr>'Отчет1 ТЕСТ'!Начало_периода</vt:lpstr>
      <vt:lpstr>Начало_периода</vt:lpstr>
      <vt:lpstr>Стоимость</vt:lpstr>
      <vt:lpstr>Стоимость_возврата</vt:lpstr>
      <vt:lpstr>Товар</vt:lpstr>
      <vt:lpstr>ФИО_менеджера</vt:lpstr>
      <vt:lpstr>ФИО1</vt:lpstr>
      <vt:lpstr>'Отчет1 ТЕСТ'!ХарактеристикаТовара</vt:lpstr>
      <vt:lpstr>'Отчет2 ТЕСТ'!ХарактеристикаТовара</vt:lpstr>
      <vt:lpstr>ХарактеристикаТовара</vt:lpstr>
      <vt:lpstr>Цена_продажи</vt:lpstr>
      <vt:lpstr>Цены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Microsoft Office User</cp:lastModifiedBy>
  <dcterms:created xsi:type="dcterms:W3CDTF">2017-07-24T12:01:24Z</dcterms:created>
  <dcterms:modified xsi:type="dcterms:W3CDTF">2021-11-28T17:50:09Z</dcterms:modified>
  <cp:category/>
</cp:coreProperties>
</file>