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filterPrivacy="1" defaultThemeVersion="166925"/>
  <xr:revisionPtr revIDLastSave="0" documentId="13_ncr:1_{EA315944-3217-1245-8B30-712C25C9D1DA}" xr6:coauthVersionLast="47" xr6:coauthVersionMax="47" xr10:uidLastSave="{00000000-0000-0000-0000-000000000000}"/>
  <bookViews>
    <workbookView xWindow="1540" yWindow="800" windowWidth="36500" windowHeight="16660" xr2:uid="{078DC951-35FF-E64A-942F-6BCE178BB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 s="1"/>
  <c r="G22" i="1" s="1"/>
  <c r="F22" i="1"/>
  <c r="F20" i="1"/>
  <c r="H21" i="1" l="1"/>
  <c r="H20" i="1" s="1"/>
  <c r="H22" i="1" s="1"/>
  <c r="I21" i="1" s="1"/>
  <c r="I23" i="1" l="1"/>
  <c r="J18" i="1"/>
  <c r="J11" i="1"/>
  <c r="J13" i="1"/>
  <c r="H19" i="1"/>
  <c r="F12" i="1"/>
  <c r="G12" i="1"/>
  <c r="H12" i="1" s="1"/>
  <c r="I12" i="1" s="1"/>
  <c r="E25" i="1"/>
  <c r="E26" i="1" s="1"/>
  <c r="E23" i="1"/>
  <c r="G15" i="1"/>
  <c r="B45" i="1"/>
  <c r="H25" i="1" s="1"/>
  <c r="H26" i="1" s="1"/>
  <c r="B15" i="1"/>
  <c r="B16" i="1" s="1"/>
  <c r="B17" i="1" s="1"/>
  <c r="J17" i="1" s="1"/>
  <c r="F17" i="1" s="1"/>
  <c r="G17" i="1" s="1"/>
  <c r="H17" i="1" s="1"/>
  <c r="I17" i="1" s="1"/>
  <c r="I18" i="1" l="1"/>
  <c r="J23" i="1"/>
  <c r="F15" i="1"/>
  <c r="H15" i="1"/>
  <c r="F25" i="1"/>
  <c r="F26" i="1" s="1"/>
  <c r="E13" i="1"/>
  <c r="E16" i="1" s="1"/>
  <c r="G25" i="1"/>
  <c r="G26" i="1" s="1"/>
  <c r="F14" i="1" l="1"/>
  <c r="F16" i="1" s="1"/>
  <c r="I15" i="1"/>
  <c r="G14" i="1" l="1"/>
  <c r="G16" i="1"/>
  <c r="H14" i="1" s="1"/>
  <c r="H16" i="1" l="1"/>
  <c r="I14" i="1"/>
  <c r="I16" i="1" s="1"/>
  <c r="I26" i="1" s="1"/>
  <c r="E27" i="1" s="1"/>
</calcChain>
</file>

<file path=xl/sharedStrings.xml><?xml version="1.0" encoding="utf-8"?>
<sst xmlns="http://schemas.openxmlformats.org/spreadsheetml/2006/main" count="51" uniqueCount="45">
  <si>
    <t>Инвестиции</t>
  </si>
  <si>
    <t>Эффективная ставка</t>
  </si>
  <si>
    <t>Депозит</t>
  </si>
  <si>
    <t>остаток на конец года</t>
  </si>
  <si>
    <t>Инвестционный счет</t>
  </si>
  <si>
    <t>начисление процентов</t>
  </si>
  <si>
    <t>поступления при закрытии продуктов</t>
  </si>
  <si>
    <t>Портфель</t>
  </si>
  <si>
    <t>Облигации</t>
  </si>
  <si>
    <t>Погашение номинала</t>
  </si>
  <si>
    <t>Купонный доход</t>
  </si>
  <si>
    <t>Всего инвестиции</t>
  </si>
  <si>
    <t>Платежи по кредиту</t>
  </si>
  <si>
    <t>Агрегированный поток</t>
  </si>
  <si>
    <t>Ставка годовая</t>
  </si>
  <si>
    <t>Кол-во начислений</t>
  </si>
  <si>
    <t>Номинал</t>
  </si>
  <si>
    <t>Купон</t>
  </si>
  <si>
    <t>Кол-во выплат в год</t>
  </si>
  <si>
    <t>Срок</t>
  </si>
  <si>
    <t>Защитный пут</t>
  </si>
  <si>
    <t>Цена исполнения, руб.</t>
  </si>
  <si>
    <t>Кол-во акциий</t>
  </si>
  <si>
    <t>Инвестиционный счет</t>
  </si>
  <si>
    <t>Кредит</t>
  </si>
  <si>
    <t>Номинал, руб.</t>
  </si>
  <si>
    <t>срок, лет</t>
  </si>
  <si>
    <t>кол-во начислений в году</t>
  </si>
  <si>
    <t>Ставка по кредиту</t>
  </si>
  <si>
    <t>Ежегодный платеж</t>
  </si>
  <si>
    <t>Инвестиционный фонд (Акции и пут)</t>
  </si>
  <si>
    <t>ставка доходности (рисковая)</t>
  </si>
  <si>
    <t>Безрисковая ставка</t>
  </si>
  <si>
    <t>Рыночный риск</t>
  </si>
  <si>
    <t>Ожидаемый риск</t>
  </si>
  <si>
    <t>Риск безрисковой ставки</t>
  </si>
  <si>
    <t>доля рисковой части xm</t>
  </si>
  <si>
    <t>доля безрисковой части</t>
  </si>
  <si>
    <t>доходность портфеля с риском клиента</t>
  </si>
  <si>
    <t>Цена, руб./акция</t>
  </si>
  <si>
    <t>Внутренняя ставка доходностьи (ВСД)</t>
  </si>
  <si>
    <t>Рыночная стоимость начало</t>
  </si>
  <si>
    <t>Рыночная стоимость конец</t>
  </si>
  <si>
    <t>% на купон</t>
  </si>
  <si>
    <t>Накопленный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</si>
</sst>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9" fontId="4" fillId="0" borderId="1" xfId="0" applyNumberFormat="1" applyFont="1" applyBorder="1"/>
    <xf numFmtId="0" fontId="4" fillId="0" borderId="0" xfId="0" applyFont="1"/>
    <xf numFmtId="9" fontId="4" fillId="0" borderId="0" xfId="0" applyNumberFormat="1" applyFont="1"/>
    <xf numFmtId="164" fontId="4" fillId="0" borderId="0" xfId="1" applyNumberFormat="1" applyFont="1"/>
    <xf numFmtId="10" fontId="4" fillId="0" borderId="1" xfId="0" applyNumberFormat="1" applyFont="1" applyBorder="1"/>
    <xf numFmtId="0" fontId="5" fillId="2" borderId="1" xfId="0" applyFont="1" applyFill="1" applyBorder="1"/>
    <xf numFmtId="0" fontId="5" fillId="3" borderId="1" xfId="0" applyFont="1" applyFill="1" applyBorder="1"/>
    <xf numFmtId="164" fontId="5" fillId="0" borderId="1" xfId="1" applyNumberFormat="1" applyFont="1" applyBorder="1"/>
    <xf numFmtId="0" fontId="5" fillId="0" borderId="1" xfId="0" applyFont="1" applyBorder="1"/>
    <xf numFmtId="10" fontId="5" fillId="0" borderId="1" xfId="2" applyNumberFormat="1" applyFont="1" applyBorder="1"/>
    <xf numFmtId="0" fontId="5" fillId="3" borderId="1" xfId="0" applyFont="1" applyFill="1" applyBorder="1" applyAlignment="1">
      <alignment horizontal="left" indent="2"/>
    </xf>
    <xf numFmtId="9" fontId="5" fillId="0" borderId="1" xfId="0" applyNumberFormat="1" applyFont="1" applyBorder="1"/>
    <xf numFmtId="10" fontId="5" fillId="0" borderId="1" xfId="0" applyNumberFormat="1" applyFont="1" applyBorder="1"/>
    <xf numFmtId="164" fontId="6" fillId="0" borderId="1" xfId="0" applyNumberFormat="1" applyFont="1" applyBorder="1"/>
    <xf numFmtId="2" fontId="5" fillId="0" borderId="1" xfId="1" applyNumberFormat="1" applyFont="1" applyBorder="1"/>
    <xf numFmtId="2" fontId="5" fillId="0" borderId="1" xfId="0" applyNumberFormat="1" applyFont="1" applyBorder="1"/>
    <xf numFmtId="2" fontId="5" fillId="2" borderId="1" xfId="0" applyNumberFormat="1" applyFont="1" applyFill="1" applyBorder="1"/>
    <xf numFmtId="0" fontId="5" fillId="4" borderId="1" xfId="0" applyFont="1" applyFill="1" applyBorder="1"/>
    <xf numFmtId="2" fontId="5" fillId="4" borderId="1" xfId="1" applyNumberFormat="1" applyFont="1" applyFill="1" applyBorder="1"/>
    <xf numFmtId="2" fontId="5" fillId="4" borderId="1" xfId="0" applyNumberFormat="1" applyFont="1" applyFill="1" applyBorder="1"/>
    <xf numFmtId="2" fontId="5" fillId="2" borderId="1" xfId="1" applyNumberFormat="1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left" indent="2"/>
    </xf>
    <xf numFmtId="164" fontId="2" fillId="0" borderId="1" xfId="1" applyNumberFormat="1" applyFont="1" applyBorder="1"/>
    <xf numFmtId="2" fontId="2" fillId="0" borderId="1" xfId="0" applyNumberFormat="1" applyFont="1" applyBorder="1"/>
    <xf numFmtId="2" fontId="2" fillId="0" borderId="1" xfId="0" quotePrefix="1" applyNumberFormat="1" applyFont="1" applyBorder="1"/>
    <xf numFmtId="9" fontId="2" fillId="0" borderId="1" xfId="0" applyNumberFormat="1" applyFont="1" applyBorder="1"/>
    <xf numFmtId="2" fontId="5" fillId="0" borderId="1" xfId="0" applyNumberFormat="1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0646-BC40-394C-8DD5-8DED15B5E491}">
  <dimension ref="A4:J46"/>
  <sheetViews>
    <sheetView tabSelected="1" topLeftCell="A4" zoomScaleNormal="107" workbookViewId="0">
      <selection activeCell="D8" sqref="D8"/>
    </sheetView>
  </sheetViews>
  <sheetFormatPr baseColWidth="10" defaultColWidth="9.1640625" defaultRowHeight="14" x14ac:dyDescent="0.15"/>
  <cols>
    <col min="1" max="1" width="40.1640625" style="1" bestFit="1" customWidth="1"/>
    <col min="2" max="2" width="11.5" style="1" bestFit="1" customWidth="1"/>
    <col min="3" max="3" width="13" style="1" customWidth="1"/>
    <col min="4" max="4" width="44" style="1" customWidth="1"/>
    <col min="5" max="5" width="15.5" style="1" customWidth="1"/>
    <col min="6" max="6" width="20.33203125" style="1" customWidth="1"/>
    <col min="7" max="7" width="19.83203125" style="1" bestFit="1" customWidth="1"/>
    <col min="8" max="8" width="15.83203125" style="1" customWidth="1"/>
    <col min="9" max="9" width="36.33203125" style="1" customWidth="1"/>
    <col min="10" max="10" width="27.1640625" style="1" customWidth="1"/>
    <col min="11" max="16384" width="9.1640625" style="1"/>
  </cols>
  <sheetData>
    <row r="4" spans="1:10" x14ac:dyDescent="0.15">
      <c r="A4" s="6"/>
      <c r="B4" s="6"/>
      <c r="C4" s="6"/>
      <c r="D4" s="6"/>
      <c r="E4" s="6"/>
      <c r="F4" s="6"/>
      <c r="G4" s="6"/>
    </row>
    <row r="5" spans="1:10" x14ac:dyDescent="0.15">
      <c r="A5" s="26" t="s">
        <v>2</v>
      </c>
      <c r="B5" s="27"/>
      <c r="C5" s="6"/>
      <c r="D5" s="6"/>
      <c r="E5" s="6"/>
      <c r="F5" s="6"/>
      <c r="G5" s="6"/>
    </row>
    <row r="6" spans="1:10" x14ac:dyDescent="0.15">
      <c r="A6" s="3" t="s">
        <v>14</v>
      </c>
      <c r="B6" s="5">
        <v>0.08</v>
      </c>
      <c r="C6" s="6"/>
      <c r="D6" s="6"/>
      <c r="E6" s="6"/>
      <c r="F6" s="6"/>
      <c r="G6" s="6"/>
    </row>
    <row r="7" spans="1:10" x14ac:dyDescent="0.15">
      <c r="A7" s="3" t="s">
        <v>15</v>
      </c>
      <c r="B7" s="3">
        <v>12</v>
      </c>
      <c r="C7" s="6"/>
      <c r="D7" s="6"/>
      <c r="E7" s="6"/>
      <c r="F7" s="6"/>
      <c r="G7" s="6"/>
    </row>
    <row r="8" spans="1:10" x14ac:dyDescent="0.15">
      <c r="A8" s="6"/>
      <c r="B8" s="6"/>
      <c r="C8" s="6"/>
      <c r="D8" s="6"/>
      <c r="E8" s="6"/>
      <c r="F8" s="6"/>
      <c r="G8" s="6"/>
    </row>
    <row r="9" spans="1:10" x14ac:dyDescent="0.15">
      <c r="A9" s="26" t="s">
        <v>7</v>
      </c>
      <c r="B9" s="27"/>
      <c r="C9" s="6"/>
      <c r="D9" s="6"/>
      <c r="E9" s="6"/>
      <c r="F9" s="6"/>
      <c r="G9" s="6"/>
    </row>
    <row r="10" spans="1:10" ht="16" x14ac:dyDescent="0.2">
      <c r="A10" s="3" t="s">
        <v>31</v>
      </c>
      <c r="B10" s="9">
        <v>0.1</v>
      </c>
      <c r="C10" s="6"/>
      <c r="D10" s="10"/>
      <c r="E10" s="10" t="s">
        <v>0</v>
      </c>
      <c r="F10" s="10">
        <v>1</v>
      </c>
      <c r="G10" s="10">
        <v>2</v>
      </c>
      <c r="H10" s="10">
        <v>3</v>
      </c>
      <c r="I10" s="10">
        <v>4</v>
      </c>
      <c r="J10" s="10" t="s">
        <v>1</v>
      </c>
    </row>
    <row r="11" spans="1:10" s="2" customFormat="1" ht="16" x14ac:dyDescent="0.2">
      <c r="A11" s="3" t="s">
        <v>32</v>
      </c>
      <c r="B11" s="9">
        <v>0.05</v>
      </c>
      <c r="C11" s="6"/>
      <c r="D11" s="22" t="s">
        <v>2</v>
      </c>
      <c r="E11" s="12"/>
      <c r="F11" s="13"/>
      <c r="G11" s="13"/>
      <c r="H11" s="13"/>
      <c r="I11" s="13"/>
      <c r="J11" s="14">
        <f>(1+$B$6/$B$7)^$B$7-1</f>
        <v>8.2999506807510004E-2</v>
      </c>
    </row>
    <row r="12" spans="1:10" ht="16" x14ac:dyDescent="0.2">
      <c r="A12" s="3" t="s">
        <v>33</v>
      </c>
      <c r="B12" s="9">
        <v>0.25</v>
      </c>
      <c r="C12" s="6"/>
      <c r="D12" s="15" t="s">
        <v>3</v>
      </c>
      <c r="E12" s="19">
        <v>20000</v>
      </c>
      <c r="F12" s="20">
        <f>E12*(1+$B$6/$B$7)^$B$7</f>
        <v>21659.990136150202</v>
      </c>
      <c r="G12" s="20">
        <f>F12*(1+$B$6/$B$7)^$B$7</f>
        <v>23457.7586349062</v>
      </c>
      <c r="H12" s="20">
        <f>G12*(1+$B$6/$B$7)^$B$7</f>
        <v>25404.741032413025</v>
      </c>
      <c r="I12" s="21">
        <f>H12*(1+$B$6/$B$7)^$B$7</f>
        <v>27513.322008675819</v>
      </c>
      <c r="J12" s="13"/>
    </row>
    <row r="13" spans="1:10" ht="16" x14ac:dyDescent="0.2">
      <c r="A13" s="3" t="s">
        <v>34</v>
      </c>
      <c r="B13" s="9">
        <v>0.1</v>
      </c>
      <c r="C13" s="6"/>
      <c r="D13" s="22" t="s">
        <v>4</v>
      </c>
      <c r="E13" s="23">
        <f>E24-E12-E17-E18-E23</f>
        <v>95000</v>
      </c>
      <c r="F13" s="24"/>
      <c r="G13" s="24"/>
      <c r="H13" s="24"/>
      <c r="I13" s="20"/>
      <c r="J13" s="14">
        <f>(1+$B$37/$B$38)^$B$38-1</f>
        <v>5.116189788173342E-2</v>
      </c>
    </row>
    <row r="14" spans="1:10" ht="16" x14ac:dyDescent="0.2">
      <c r="A14" s="3" t="s">
        <v>35</v>
      </c>
      <c r="B14" s="9">
        <v>0</v>
      </c>
      <c r="C14" s="6"/>
      <c r="D14" s="15" t="s">
        <v>5</v>
      </c>
      <c r="E14" s="19"/>
      <c r="F14" s="19">
        <f>E16*$J$13</f>
        <v>4860.380298764675</v>
      </c>
      <c r="G14" s="19">
        <f>F16*$J$13</f>
        <v>5313.6941708033964</v>
      </c>
      <c r="H14" s="19">
        <f>G16*$J$13</f>
        <v>5800.6706000511795</v>
      </c>
      <c r="I14" s="19">
        <f>H16*$J$13</f>
        <v>11439.757288210478</v>
      </c>
      <c r="J14" s="16"/>
    </row>
    <row r="15" spans="1:10" ht="16" x14ac:dyDescent="0.2">
      <c r="A15" s="3" t="s">
        <v>36</v>
      </c>
      <c r="B15" s="9">
        <f>B13/B12</f>
        <v>0.4</v>
      </c>
      <c r="C15" s="6"/>
      <c r="D15" s="15" t="s">
        <v>6</v>
      </c>
      <c r="E15" s="19"/>
      <c r="F15" s="19">
        <f>F20</f>
        <v>4000</v>
      </c>
      <c r="G15" s="20">
        <f>G20</f>
        <v>4204.6475915269339</v>
      </c>
      <c r="H15" s="20">
        <f>H19+H20</f>
        <v>104419.76534223331</v>
      </c>
      <c r="I15" s="20">
        <f>I12+I17+I23</f>
        <v>224513.32200867584</v>
      </c>
      <c r="J15" s="16"/>
    </row>
    <row r="16" spans="1:10" ht="16" x14ac:dyDescent="0.2">
      <c r="A16" s="3" t="s">
        <v>37</v>
      </c>
      <c r="B16" s="9">
        <f>1-B15</f>
        <v>0.6</v>
      </c>
      <c r="C16" s="6"/>
      <c r="D16" s="15" t="s">
        <v>3</v>
      </c>
      <c r="E16" s="19">
        <f>E13</f>
        <v>95000</v>
      </c>
      <c r="F16" s="20">
        <f>E16+F14+F15</f>
        <v>103860.38029876468</v>
      </c>
      <c r="G16" s="20">
        <f t="shared" ref="G16" si="0">F16+G14+G15</f>
        <v>113378.72206109502</v>
      </c>
      <c r="H16" s="20">
        <f t="shared" ref="H16" si="1">G16+H14+H15</f>
        <v>223599.1580033795</v>
      </c>
      <c r="I16" s="20">
        <f>H16+I14+I15</f>
        <v>459552.23730026581</v>
      </c>
      <c r="J16" s="16"/>
    </row>
    <row r="17" spans="1:10" ht="16" x14ac:dyDescent="0.2">
      <c r="A17" s="3" t="s">
        <v>38</v>
      </c>
      <c r="B17" s="9">
        <f>B16*B11+B15*B10</f>
        <v>7.0000000000000007E-2</v>
      </c>
      <c r="C17" s="6"/>
      <c r="D17" s="10" t="s">
        <v>7</v>
      </c>
      <c r="E17" s="25">
        <v>100000</v>
      </c>
      <c r="F17" s="21">
        <f>E17*(1+$J$17)</f>
        <v>101705.85250018114</v>
      </c>
      <c r="G17" s="21">
        <f>F17*(1+$J$17)</f>
        <v>103440.80432788601</v>
      </c>
      <c r="H17" s="21">
        <f>G17*(1+$J$17)</f>
        <v>105205.35187472074</v>
      </c>
      <c r="I17" s="21">
        <f>H17*(1+$J$17)</f>
        <v>107000.00000000003</v>
      </c>
      <c r="J17" s="17">
        <f>(1+B17)^(1/I10)-1</f>
        <v>1.7058525001811375E-2</v>
      </c>
    </row>
    <row r="18" spans="1:10" ht="16" x14ac:dyDescent="0.2">
      <c r="A18" s="6"/>
      <c r="B18" s="7"/>
      <c r="C18" s="6"/>
      <c r="D18" s="10" t="s">
        <v>8</v>
      </c>
      <c r="E18" s="25">
        <v>100000</v>
      </c>
      <c r="F18" s="21"/>
      <c r="G18" s="21"/>
      <c r="H18" s="21"/>
      <c r="I18" s="20">
        <f>SUM(F19:H19)+SUM(F20:H20)</f>
        <v>112624.41293376025</v>
      </c>
      <c r="J18" s="17">
        <f>$B$25</f>
        <v>0.04</v>
      </c>
    </row>
    <row r="19" spans="1:10" ht="16" x14ac:dyDescent="0.2">
      <c r="A19" s="6"/>
      <c r="B19" s="7"/>
      <c r="C19" s="6"/>
      <c r="D19" s="15" t="s">
        <v>9</v>
      </c>
      <c r="E19" s="19"/>
      <c r="F19" s="20">
        <v>0</v>
      </c>
      <c r="G19" s="20">
        <v>0</v>
      </c>
      <c r="H19" s="21">
        <f>$B$24</f>
        <v>100000</v>
      </c>
      <c r="I19" s="20">
        <v>0</v>
      </c>
      <c r="J19" s="16"/>
    </row>
    <row r="20" spans="1:10" ht="16" x14ac:dyDescent="0.2">
      <c r="A20" s="6"/>
      <c r="B20" s="6"/>
      <c r="C20" s="6"/>
      <c r="D20" s="15" t="s">
        <v>10</v>
      </c>
      <c r="E20" s="19"/>
      <c r="F20" s="21">
        <f>$B$24*$B$25+F21</f>
        <v>4000</v>
      </c>
      <c r="G20" s="21">
        <f t="shared" ref="G20:I20" si="2">$B$24*$B$25+G21</f>
        <v>4204.6475915269339</v>
      </c>
      <c r="H20" s="21">
        <f t="shared" si="2"/>
        <v>4419.7653422333115</v>
      </c>
      <c r="I20" s="33">
        <v>0</v>
      </c>
      <c r="J20" s="16"/>
    </row>
    <row r="21" spans="1:10" x14ac:dyDescent="0.15">
      <c r="A21" s="6"/>
      <c r="B21" s="6"/>
      <c r="C21" s="6"/>
      <c r="D21" s="28" t="s">
        <v>43</v>
      </c>
      <c r="E21" s="29"/>
      <c r="F21" s="30"/>
      <c r="G21" s="31">
        <f>FV($B$37/$B$38,$B$38,,-F22)-F22</f>
        <v>204.64759152693387</v>
      </c>
      <c r="H21" s="31">
        <f>FV($B$37/$B$38,$B$38,,-G22)-G22</f>
        <v>419.76534223331146</v>
      </c>
      <c r="I21" s="31">
        <f>FV($B$37/$B$38,$B$38,,-H22)-H22</f>
        <v>5762.0787135072169</v>
      </c>
      <c r="J21" s="32"/>
    </row>
    <row r="22" spans="1:10" x14ac:dyDescent="0.15">
      <c r="A22" s="6"/>
      <c r="B22" s="6"/>
      <c r="C22" s="6"/>
      <c r="D22" s="28" t="s">
        <v>44</v>
      </c>
      <c r="E22" s="29"/>
      <c r="F22" s="30">
        <f>F20+F19</f>
        <v>4000</v>
      </c>
      <c r="G22" s="31">
        <f>F22+G20+G19</f>
        <v>8204.647591526933</v>
      </c>
      <c r="H22" s="31">
        <f>G22+H20+H19</f>
        <v>112624.41293376025</v>
      </c>
      <c r="I22" s="30"/>
      <c r="J22" s="32"/>
    </row>
    <row r="23" spans="1:10" ht="16" x14ac:dyDescent="0.2">
      <c r="A23" s="26" t="s">
        <v>8</v>
      </c>
      <c r="B23" s="27"/>
      <c r="C23" s="6"/>
      <c r="D23" s="11" t="s">
        <v>30</v>
      </c>
      <c r="E23" s="23">
        <f>B30*B34+B32*B34</f>
        <v>105000</v>
      </c>
      <c r="F23" s="24"/>
      <c r="G23" s="24"/>
      <c r="H23" s="24"/>
      <c r="I23" s="21">
        <f>MAX(B33,B31)*10</f>
        <v>90000</v>
      </c>
      <c r="J23" s="14">
        <f>(I23/E23)^(1/I10)-1</f>
        <v>-3.7804541804238534E-2</v>
      </c>
    </row>
    <row r="24" spans="1:10" ht="16" x14ac:dyDescent="0.2">
      <c r="A24" s="3" t="s">
        <v>16</v>
      </c>
      <c r="B24" s="4">
        <v>100000</v>
      </c>
      <c r="C24" s="6"/>
      <c r="D24" s="11" t="s">
        <v>11</v>
      </c>
      <c r="E24" s="19">
        <v>420000</v>
      </c>
      <c r="F24" s="20"/>
      <c r="G24" s="20"/>
      <c r="H24" s="20"/>
      <c r="I24" s="20"/>
      <c r="J24" s="14"/>
    </row>
    <row r="25" spans="1:10" ht="16" x14ac:dyDescent="0.2">
      <c r="A25" s="3" t="s">
        <v>17</v>
      </c>
      <c r="B25" s="5">
        <v>0.04</v>
      </c>
      <c r="C25" s="6"/>
      <c r="D25" s="11" t="s">
        <v>12</v>
      </c>
      <c r="E25" s="20">
        <f>B41</f>
        <v>150000</v>
      </c>
      <c r="F25" s="20">
        <f>-$B$45</f>
        <v>-62452.347083926034</v>
      </c>
      <c r="G25" s="20">
        <f>-$B$45</f>
        <v>-62452.347083926034</v>
      </c>
      <c r="H25" s="20">
        <f>-$B$45</f>
        <v>-62452.347083926034</v>
      </c>
      <c r="I25" s="20"/>
      <c r="J25" s="13"/>
    </row>
    <row r="26" spans="1:10" ht="16" x14ac:dyDescent="0.2">
      <c r="A26" s="3" t="s">
        <v>18</v>
      </c>
      <c r="B26" s="3">
        <v>1</v>
      </c>
      <c r="C26" s="6"/>
      <c r="D26" s="11" t="s">
        <v>13</v>
      </c>
      <c r="E26" s="20">
        <f>-E24+E25</f>
        <v>-270000</v>
      </c>
      <c r="F26" s="20">
        <f>F25</f>
        <v>-62452.347083926034</v>
      </c>
      <c r="G26" s="20">
        <f>G25</f>
        <v>-62452.347083926034</v>
      </c>
      <c r="H26" s="20">
        <f>H25</f>
        <v>-62452.347083926034</v>
      </c>
      <c r="I26" s="20">
        <f>I16</f>
        <v>459552.23730026581</v>
      </c>
      <c r="J26" s="13"/>
    </row>
    <row r="27" spans="1:10" ht="16" x14ac:dyDescent="0.2">
      <c r="A27" s="3" t="s">
        <v>19</v>
      </c>
      <c r="B27" s="3">
        <v>3</v>
      </c>
      <c r="C27" s="6"/>
      <c r="D27" s="11" t="s">
        <v>40</v>
      </c>
      <c r="E27" s="14">
        <f>IRR(E26:I26)</f>
        <v>1.5061040443751228E-3</v>
      </c>
      <c r="F27" s="18"/>
      <c r="G27" s="18"/>
      <c r="H27" s="18"/>
      <c r="I27" s="18"/>
      <c r="J27" s="13"/>
    </row>
    <row r="28" spans="1:10" x14ac:dyDescent="0.15">
      <c r="A28" s="6"/>
      <c r="B28" s="6"/>
      <c r="C28" s="6"/>
      <c r="D28" s="6"/>
      <c r="E28" s="6"/>
      <c r="F28" s="6"/>
      <c r="G28" s="6"/>
    </row>
    <row r="29" spans="1:10" x14ac:dyDescent="0.15">
      <c r="A29" s="26" t="s">
        <v>20</v>
      </c>
      <c r="B29" s="27"/>
      <c r="C29" s="6"/>
      <c r="D29" s="6"/>
      <c r="E29" s="6"/>
      <c r="F29" s="6"/>
      <c r="G29" s="6"/>
    </row>
    <row r="30" spans="1:10" x14ac:dyDescent="0.15">
      <c r="A30" s="3" t="s">
        <v>41</v>
      </c>
      <c r="B30" s="4">
        <v>10000</v>
      </c>
      <c r="C30" s="6"/>
      <c r="D30" s="6"/>
      <c r="E30" s="6"/>
      <c r="F30" s="6"/>
      <c r="G30" s="6"/>
    </row>
    <row r="31" spans="1:10" x14ac:dyDescent="0.15">
      <c r="A31" s="3" t="s">
        <v>42</v>
      </c>
      <c r="B31" s="4">
        <v>8500</v>
      </c>
      <c r="C31" s="6"/>
      <c r="D31" s="6"/>
      <c r="E31" s="6"/>
      <c r="F31" s="6"/>
      <c r="G31" s="6"/>
    </row>
    <row r="32" spans="1:10" x14ac:dyDescent="0.15">
      <c r="A32" s="3" t="s">
        <v>39</v>
      </c>
      <c r="B32" s="4">
        <v>500</v>
      </c>
      <c r="C32" s="6"/>
      <c r="D32" s="6"/>
      <c r="E32" s="6"/>
      <c r="F32" s="6"/>
      <c r="G32" s="6"/>
    </row>
    <row r="33" spans="1:7" x14ac:dyDescent="0.15">
      <c r="A33" s="3" t="s">
        <v>21</v>
      </c>
      <c r="B33" s="4">
        <v>9000</v>
      </c>
      <c r="C33" s="6"/>
      <c r="D33" s="6"/>
      <c r="E33" s="6"/>
      <c r="F33" s="6"/>
      <c r="G33" s="6"/>
    </row>
    <row r="34" spans="1:7" x14ac:dyDescent="0.15">
      <c r="A34" s="3" t="s">
        <v>22</v>
      </c>
      <c r="B34" s="4">
        <v>10</v>
      </c>
      <c r="C34" s="6"/>
      <c r="D34" s="6"/>
      <c r="E34" s="6"/>
      <c r="F34" s="6"/>
      <c r="G34" s="6"/>
    </row>
    <row r="35" spans="1:7" x14ac:dyDescent="0.15">
      <c r="A35" s="6"/>
      <c r="B35" s="8"/>
      <c r="C35" s="6"/>
      <c r="D35" s="6"/>
      <c r="E35" s="6"/>
      <c r="F35" s="6"/>
      <c r="G35" s="6"/>
    </row>
    <row r="36" spans="1:7" x14ac:dyDescent="0.15">
      <c r="A36" s="26" t="s">
        <v>23</v>
      </c>
      <c r="B36" s="27"/>
      <c r="C36" s="6"/>
      <c r="D36" s="6"/>
      <c r="E36" s="6"/>
      <c r="F36" s="6"/>
      <c r="G36" s="6"/>
    </row>
    <row r="37" spans="1:7" x14ac:dyDescent="0.15">
      <c r="A37" s="3" t="s">
        <v>14</v>
      </c>
      <c r="B37" s="5">
        <v>0.05</v>
      </c>
      <c r="C37" s="6"/>
      <c r="D37" s="6"/>
      <c r="E37" s="6"/>
      <c r="F37" s="6"/>
      <c r="G37" s="6"/>
    </row>
    <row r="38" spans="1:7" x14ac:dyDescent="0.15">
      <c r="A38" s="3" t="s">
        <v>15</v>
      </c>
      <c r="B38" s="3">
        <v>12</v>
      </c>
      <c r="C38" s="6"/>
      <c r="D38" s="6"/>
      <c r="E38" s="6"/>
      <c r="F38" s="6"/>
      <c r="G38" s="6"/>
    </row>
    <row r="39" spans="1:7" x14ac:dyDescent="0.15">
      <c r="A39" s="6"/>
      <c r="B39" s="6"/>
      <c r="C39" s="6"/>
      <c r="D39" s="6"/>
      <c r="F39" s="6"/>
      <c r="G39" s="6"/>
    </row>
    <row r="40" spans="1:7" x14ac:dyDescent="0.15">
      <c r="A40" s="26" t="s">
        <v>24</v>
      </c>
      <c r="B40" s="27"/>
      <c r="C40" s="6"/>
      <c r="D40" s="6"/>
      <c r="F40" s="6"/>
      <c r="G40" s="6"/>
    </row>
    <row r="41" spans="1:7" x14ac:dyDescent="0.15">
      <c r="A41" s="3" t="s">
        <v>25</v>
      </c>
      <c r="B41" s="4">
        <v>150000</v>
      </c>
      <c r="C41" s="6"/>
      <c r="D41" s="6"/>
      <c r="F41" s="6"/>
      <c r="G41" s="6"/>
    </row>
    <row r="42" spans="1:7" x14ac:dyDescent="0.15">
      <c r="A42" s="3" t="s">
        <v>26</v>
      </c>
      <c r="B42" s="3">
        <v>3</v>
      </c>
      <c r="C42" s="6"/>
      <c r="D42" s="6"/>
      <c r="F42" s="6"/>
      <c r="G42" s="6"/>
    </row>
    <row r="43" spans="1:7" x14ac:dyDescent="0.15">
      <c r="A43" s="3" t="s">
        <v>27</v>
      </c>
      <c r="B43" s="3">
        <v>1</v>
      </c>
      <c r="C43" s="6"/>
      <c r="D43" s="6"/>
      <c r="F43" s="6"/>
      <c r="G43" s="6"/>
    </row>
    <row r="44" spans="1:7" x14ac:dyDescent="0.15">
      <c r="A44" s="3" t="s">
        <v>28</v>
      </c>
      <c r="B44" s="5">
        <v>0.12</v>
      </c>
      <c r="C44" s="6"/>
      <c r="D44" s="6"/>
      <c r="E44" s="6"/>
      <c r="F44" s="6"/>
      <c r="G44" s="6"/>
    </row>
    <row r="45" spans="1:7" x14ac:dyDescent="0.15">
      <c r="A45" s="3" t="s">
        <v>29</v>
      </c>
      <c r="B45" s="4">
        <f>-PMT($B$44,B42,B41,0,)</f>
        <v>62452.347083926034</v>
      </c>
      <c r="C45" s="6"/>
      <c r="D45" s="6"/>
      <c r="E45" s="6"/>
      <c r="F45" s="6"/>
      <c r="G45" s="6"/>
    </row>
    <row r="46" spans="1:7" x14ac:dyDescent="0.15">
      <c r="A46" s="6"/>
      <c r="B46" s="6"/>
      <c r="C46" s="6"/>
      <c r="D46" s="6"/>
      <c r="E46" s="6"/>
      <c r="F46" s="6"/>
      <c r="G46" s="6"/>
    </row>
  </sheetData>
  <mergeCells count="6">
    <mergeCell ref="A5:B5"/>
    <mergeCell ref="A9:B9"/>
    <mergeCell ref="A40:B40"/>
    <mergeCell ref="A36:B36"/>
    <mergeCell ref="A29:B29"/>
    <mergeCell ref="A23: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2021-10-20T11:56:42Z</dcterms:created>
  <dcterms:modified xsi:type="dcterms:W3CDTF">2021-10-27T10:28:43Z</dcterms:modified>
</cp:coreProperties>
</file>